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yuuji\Dropbox\Kaissa Consumer\Mosaic\buckets\CANCER\NEO\source\"/>
    </mc:Choice>
  </mc:AlternateContent>
  <xr:revisionPtr revIDLastSave="0" documentId="8_{3BAF070B-CDB4-46A2-8A7B-5595FE6794DE}" xr6:coauthVersionLast="47" xr6:coauthVersionMax="47" xr10:uidLastSave="{00000000-0000-0000-0000-000000000000}"/>
  <bookViews>
    <workbookView xWindow="-98" yWindow="-98" windowWidth="21795" windowHeight="12975" tabRatio="700" firstSheet="1" activeTab="3" xr2:uid="{00000000-000D-0000-FFFF-FFFF00000000}"/>
  </bookViews>
  <sheets>
    <sheet name="__FDSCACHE__" sheetId="30" state="veryHidden" r:id="rId1"/>
    <sheet name="Intro" sheetId="1" r:id="rId2"/>
    <sheet name="IS" sheetId="2" r:id="rId3"/>
    <sheet name="Rev" sheetId="34" r:id="rId4"/>
    <sheet name="BS" sheetId="4" r:id="rId5"/>
    <sheet name="CF" sheetId="5" r:id="rId6"/>
    <sheet name="Other Accts" sheetId="8" r:id="rId7"/>
    <sheet name="Valuation" sheetId="7" r:id="rId8"/>
    <sheet name="DCF" sheetId="36" r:id="rId9"/>
    <sheet name="BM Upload2" sheetId="37" r:id="rId10"/>
    <sheet name="QtrComp" sheetId="39" state="hidden" r:id="rId11"/>
    <sheet name="Guide" sheetId="38" r:id="rId12"/>
    <sheet name="Sheet1" sheetId="40" r:id="rId13"/>
    <sheet name="ESO" sheetId="13"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___ae2" localSheetId="9" hidden="1">{"'Inventory &amp; Anal-Cur Wkbk'!$A$7:$AP$71"}</definedName>
    <definedName name="_____ae2" localSheetId="11" hidden="1">{"'Inventory &amp; Anal-Cur Wkbk'!$A$7:$AP$71"}</definedName>
    <definedName name="_____ae2" localSheetId="10" hidden="1">{"'Inventory &amp; Anal-Cur Wkbk'!$A$7:$AP$71"}</definedName>
    <definedName name="_____ae2" hidden="1">{"'Inventory &amp; Anal-Cur Wkbk'!$A$7:$AP$71"}</definedName>
    <definedName name="____ae2" localSheetId="9" hidden="1">{"'Inventory &amp; Anal-Cur Wkbk'!$A$7:$AP$71"}</definedName>
    <definedName name="____ae2" localSheetId="11" hidden="1">{"'Inventory &amp; Anal-Cur Wkbk'!$A$7:$AP$71"}</definedName>
    <definedName name="____ae2" localSheetId="10" hidden="1">{"'Inventory &amp; Anal-Cur Wkbk'!$A$7:$AP$71"}</definedName>
    <definedName name="____ae2" hidden="1">{"'Inventory &amp; Anal-Cur Wkbk'!$A$7:$AP$71"}</definedName>
    <definedName name="___ae2" localSheetId="9" hidden="1">{"'Inventory &amp; Anal-Cur Wkbk'!$A$7:$AP$71"}</definedName>
    <definedName name="___ae2" localSheetId="11" hidden="1">{"'Inventory &amp; Anal-Cur Wkbk'!$A$7:$AP$71"}</definedName>
    <definedName name="___ae2" localSheetId="10" hidden="1">{"'Inventory &amp; Anal-Cur Wkbk'!$A$7:$AP$71"}</definedName>
    <definedName name="___ae2" hidden="1">{"'Inventory &amp; Anal-Cur Wkbk'!$A$7:$AP$71"}</definedName>
    <definedName name="__123Graph_A" localSheetId="9" hidden="1">#REF!</definedName>
    <definedName name="__123Graph_A" hidden="1">#REF!</definedName>
    <definedName name="__123Graph_X" localSheetId="9" hidden="1">#REF!</definedName>
    <definedName name="__123Graph_X" hidden="1">#REF!</definedName>
    <definedName name="__ae2" localSheetId="9" hidden="1">{"'Inventory &amp; Anal-Cur Wkbk'!$A$7:$AP$71"}</definedName>
    <definedName name="__ae2" localSheetId="11" hidden="1">{"'Inventory &amp; Anal-Cur Wkbk'!$A$7:$AP$71"}</definedName>
    <definedName name="__ae2" localSheetId="10" hidden="1">{"'Inventory &amp; Anal-Cur Wkbk'!$A$7:$AP$71"}</definedName>
    <definedName name="__ae2" hidden="1">{"'Inventory &amp; Anal-Cur Wkbk'!$A$7:$AP$71"}</definedName>
    <definedName name="__FDS_HYPERLINK_TOGGLE_STATE__" hidden="1">"ON"</definedName>
    <definedName name="__IntlFixup" hidden="1">TRUE</definedName>
    <definedName name="_15__xlnm.Print_Area">#N/A</definedName>
    <definedName name="_1994" localSheetId="9">#REF!</definedName>
    <definedName name="_1994">#REF!</definedName>
    <definedName name="_1995" localSheetId="9">#REF!</definedName>
    <definedName name="_1995">#REF!</definedName>
    <definedName name="_1996" localSheetId="9">#REF!</definedName>
    <definedName name="_1996">#REF!</definedName>
    <definedName name="_1997" localSheetId="9">#REF!</definedName>
    <definedName name="_1997">#REF!</definedName>
    <definedName name="_1998" localSheetId="9">#REF!</definedName>
    <definedName name="_1998">#REF!</definedName>
    <definedName name="_1999" localSheetId="9">#REF!</definedName>
    <definedName name="_1999">#REF!</definedName>
    <definedName name="_1Q94" localSheetId="9">#REF!</definedName>
    <definedName name="_1Q94">#REF!</definedName>
    <definedName name="_1Q95" localSheetId="9">#REF!</definedName>
    <definedName name="_1Q95">#REF!</definedName>
    <definedName name="_2007" localSheetId="9">[1]BalanceSheet!#REF!</definedName>
    <definedName name="_2007">[1]BalanceSheet!#REF!</definedName>
    <definedName name="_2008" localSheetId="9">[1]BalanceSheet!#REF!</definedName>
    <definedName name="_2008">[1]BalanceSheet!#REF!</definedName>
    <definedName name="_2Q94" localSheetId="9">#REF!</definedName>
    <definedName name="_2Q94">#REF!</definedName>
    <definedName name="_2Q95" localSheetId="9">#REF!</definedName>
    <definedName name="_2Q95">#REF!</definedName>
    <definedName name="_3Q94" localSheetId="9">#REF!</definedName>
    <definedName name="_3Q94">#REF!</definedName>
    <definedName name="_3Q95" localSheetId="9">#REF!</definedName>
    <definedName name="_3Q95">#REF!</definedName>
    <definedName name="_4Q94" localSheetId="9">#REF!</definedName>
    <definedName name="_4Q94">#REF!</definedName>
    <definedName name="_4Q95" localSheetId="9">#REF!</definedName>
    <definedName name="_4Q95">#REF!</definedName>
    <definedName name="_ae2" localSheetId="9" hidden="1">{"'Inventory &amp; Anal-Cur Wkbk'!$A$7:$AP$71"}</definedName>
    <definedName name="_ae2" localSheetId="11" hidden="1">{"'Inventory &amp; Anal-Cur Wkbk'!$A$7:$AP$71"}</definedName>
    <definedName name="_ae2" localSheetId="10" hidden="1">{"'Inventory &amp; Anal-Cur Wkbk'!$A$7:$AP$71"}</definedName>
    <definedName name="_ae2" hidden="1">{"'Inventory &amp; Anal-Cur Wkbk'!$A$7:$AP$71"}</definedName>
    <definedName name="_bdm.0ad3f9c357fc4106bc36485b6f410662.edm" localSheetId="9" hidden="1">#REF!</definedName>
    <definedName name="_bdm.0ad3f9c357fc4106bc36485b6f410662.edm" hidden="1">#REF!</definedName>
    <definedName name="_bdm.A029747E96B24A8E803E9CF50358C0A2.edm" hidden="1">#REF!</definedName>
    <definedName name="_bdm.C12A7987434B4687A9538FFCFB346D93.edm" hidden="1">#REF!</definedName>
    <definedName name="_bdm.DFD5DF1C214C41B9AFE61AF2628D2881.edm" hidden="1">#REF!</definedName>
    <definedName name="_bdm.E6413F1497B1441DB94B136222F72940.edm" hidden="1">#REF!</definedName>
    <definedName name="_bdm.EAE148E967614464973C462DD0F27E07.edm" localSheetId="9" hidden="1">#REF!</definedName>
    <definedName name="_bdm.EAE148E967614464973C462DD0F27E07.edm" hidden="1">#REF!</definedName>
    <definedName name="_dcf2">[2]Sheet15!#REF!</definedName>
    <definedName name="_xlnm._FilterDatabase" hidden="1">#REF!</definedName>
    <definedName name="_Key1" localSheetId="3">[3]BMY!#REF!</definedName>
    <definedName name="_Key1">[3]BMY!#REF!</definedName>
    <definedName name="_Order1">0</definedName>
    <definedName name="_Order2" hidden="1">255</definedName>
    <definedName name="_Regression_Int" hidden="1">1</definedName>
    <definedName name="_Sort" localSheetId="3">[3]BMY!#REF!</definedName>
    <definedName name="_Sort">[3]BMY!#REF!</definedName>
    <definedName name="_Table1_In1" localSheetId="9" hidden="1">#REF!</definedName>
    <definedName name="_Table1_In1" localSheetId="11" hidden="1">#REF!</definedName>
    <definedName name="_Table1_In1" localSheetId="10" hidden="1">#REF!</definedName>
    <definedName name="_Table1_In1" hidden="1">#REF!</definedName>
    <definedName name="_Table1_Out" localSheetId="9" hidden="1">#REF!</definedName>
    <definedName name="_Table1_Out" hidden="1">#REF!</definedName>
    <definedName name="_top4">#REF!</definedName>
    <definedName name="a" localSheetId="9">[4]NOPAT_VDF!$C$90:$AE$90</definedName>
    <definedName name="a" localSheetId="8">[5]NOPAT_VDF!$C$90:$AE$90</definedName>
    <definedName name="a">[6]NOPAT_VDF!$C$90:$AE$90</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sas" localSheetId="9" hidden="1">{"PR1","pr1",TRUE,"Sch PR-1"}</definedName>
    <definedName name="aassas" localSheetId="8" hidden="1">{"PR1","pr1",TRUE,"Sch PR-1"}</definedName>
    <definedName name="aassas" localSheetId="11" hidden="1">{"PR1","pr1",TRUE,"Sch PR-1"}</definedName>
    <definedName name="aassas" localSheetId="10" hidden="1">{"PR1","pr1",TRUE,"Sch PR-1"}</definedName>
    <definedName name="aassas" localSheetId="3" hidden="1">{"PR1","pr1",TRUE,"Sch PR-1"}</definedName>
    <definedName name="aassas" hidden="1">{"PR1","pr1",TRUE,"Sch PR-1"}</definedName>
    <definedName name="abit">0.000000001</definedName>
    <definedName name="Acc_payable" localSheetId="9">'[7]Invested capital_VDF'!$C$17:$AE$17</definedName>
    <definedName name="Acc_payable">'[6]Invested capital_VDF'!$C$17:$AE$17</definedName>
    <definedName name="Acc_payable_growth_fore" localSheetId="9">[4]Forecasts_VDF!$H$150:$K$150</definedName>
    <definedName name="Acc_payable_growth_fore" localSheetId="8">[5]Forecasts_VDF!$H$150:$K$150</definedName>
    <definedName name="Acc_payable_growth_fore">[6]Forecasts_VDF!$H$150:$K$150</definedName>
    <definedName name="Acc_Rec" localSheetId="9">'[7]Invested capital_VDF'!$C$7:$AE$7</definedName>
    <definedName name="Acc_Rec" localSheetId="8">'[5]Invested capital_VDF'!$C$7:$AE$7</definedName>
    <definedName name="Acc_Rec">'[6]Invested capital_VDF'!$C$7:$AE$7</definedName>
    <definedName name="Acc_Rec_growth_fore" localSheetId="9">[4]Forecasts_VDF!$H$147:$K$147</definedName>
    <definedName name="Acc_Rec_growth_fore" localSheetId="8">[5]Forecasts_VDF!$H$147:$K$147</definedName>
    <definedName name="Acc_Rec_growth_fore">[6]Forecasts_VDF!$H$147:$K$147</definedName>
    <definedName name="Acc_Rec_turns" localSheetId="9">'[7]Invested capital_VDF'!$C$95:$Q$95</definedName>
    <definedName name="Acc_Rec_turns" localSheetId="8">'[5]Invested capital_VDF'!$C$95:$Q$95</definedName>
    <definedName name="Acc_Rec_turns">'[6]Invested capital_VDF'!$C$95:$Q$95</definedName>
    <definedName name="Accel_Ratio" localSheetId="9">'[7]Summary Page_VDF'!$E$9</definedName>
    <definedName name="Accel_Ratio" localSheetId="8">'[5]Summary Page_VDF'!$E$9</definedName>
    <definedName name="Accel_Ratio">'[6]Summary Page_VDF'!$E$9</definedName>
    <definedName name="Accrued_compensation" localSheetId="9">'[7]Invested capital_VDF'!$C$20:$AE$20</definedName>
    <definedName name="Accrued_compensation">'[6]Invested capital_VDF'!$C$20:$AE$20</definedName>
    <definedName name="Accrued_compensation_growth_fore" localSheetId="9">[4]Forecasts_VDF!$H$153:$K$153</definedName>
    <definedName name="Accrued_compensation_growth_fore" localSheetId="8">[5]Forecasts_VDF!$H$153:$K$153</definedName>
    <definedName name="Accrued_compensation_growth_fore">[6]Forecasts_VDF!$H$153:$K$153</definedName>
    <definedName name="Accrued_expenses" localSheetId="9">'[7]Invested capital_VDF'!$C$18:$AE$18</definedName>
    <definedName name="Accrued_expenses" localSheetId="8">'[5]Invested capital_VDF'!$C$18:$AE$18</definedName>
    <definedName name="Accrued_expenses">'[6]Invested capital_VDF'!$C$18:$AE$18</definedName>
    <definedName name="Accrued_expenses_growth_fore" localSheetId="9">[4]Forecasts_VDF!$H$151:$K$151</definedName>
    <definedName name="Accrued_expenses_growth_fore" localSheetId="8">[5]Forecasts_VDF!$H$151:$K$151</definedName>
    <definedName name="Accrued_expenses_growth_fore">[6]Forecasts_VDF!$H$151:$K$151</definedName>
    <definedName name="Accum_Cap_Expenses" localSheetId="9">'[7]Invested capital_VDF'!$C$40:$AE$40</definedName>
    <definedName name="Accum_Cap_Expenses" localSheetId="8">'[5]Invested capital_VDF'!$C$40:$AE$40</definedName>
    <definedName name="Accum_Cap_Expenses">'[6]Invested capital_VDF'!$C$40:$AE$40</definedName>
    <definedName name="Accum_Cap_Expenses_growth_fore" localSheetId="9">[4]Forecasts_VDF!$H$164:$K$164</definedName>
    <definedName name="Accum_Cap_Expenses_growth_fore" localSheetId="8">[5]Forecasts_VDF!$H$164:$K$164</definedName>
    <definedName name="Accum_Cap_Expenses_growth_fore">[6]Forecasts_VDF!$H$164:$K$164</definedName>
    <definedName name="Accum_Goodwill_Amort" localSheetId="9">'[7]Invested capital_VDF'!$C$37:$AE$37</definedName>
    <definedName name="Accum_Goodwill_Amort" localSheetId="8">'[5]Invested capital_VDF'!$C$37:$AE$37</definedName>
    <definedName name="Accum_Goodwill_Amort">'[6]Invested capital_VDF'!$C$37:$AE$37</definedName>
    <definedName name="Accum_Goodwill_Amort_growth_fore" localSheetId="9">[4]Forecasts_VDF!$H$163:$K$163</definedName>
    <definedName name="Accum_Goodwill_Amort_growth_fore" localSheetId="8">[5]Forecasts_VDF!$H$163:$K$163</definedName>
    <definedName name="Accum_Goodwill_Amort_growth_fore">[6]Forecasts_VDF!$H$163:$K$163</definedName>
    <definedName name="Accum_Other_Amort." localSheetId="9">'[7]Invested capital_VDF'!$C$39:$AZ$39</definedName>
    <definedName name="Accum_Other_Amort." localSheetId="8">'[5]Invested capital_VDF'!$C$39:$AZ$39</definedName>
    <definedName name="Accum_Other_Amort.">'[6]Invested capital_VDF'!$C$39:$AZ$39</definedName>
    <definedName name="ACwvu._Current_." hidden="1">#REF!</definedName>
    <definedName name="ACwvu.FIATOdd." hidden="1">#REF!</definedName>
    <definedName name="adasdasdasdasd" localSheetId="9" hidden="1">{"PR1","pr1",TRUE,"Sch PR-1"}</definedName>
    <definedName name="adasdasdasdasd" localSheetId="8" hidden="1">{"PR1","pr1",TRUE,"Sch PR-1"}</definedName>
    <definedName name="adasdasdasdasd" localSheetId="11" hidden="1">{"PR1","pr1",TRUE,"Sch PR-1"}</definedName>
    <definedName name="adasdasdasdasd" localSheetId="10" hidden="1">{"PR1","pr1",TRUE,"Sch PR-1"}</definedName>
    <definedName name="adasdasdasdasd" localSheetId="3" hidden="1">{"PR1","pr1",TRUE,"Sch PR-1"}</definedName>
    <definedName name="adasdasdasdasd" hidden="1">{"PR1","pr1",TRUE,"Sch PR-1"}</definedName>
    <definedName name="adg" localSheetId="9" hidden="1">{"'Sheet1'!$A$1:$O$40"}</definedName>
    <definedName name="adg" localSheetId="11" hidden="1">{"'Sheet1'!$A$1:$O$40"}</definedName>
    <definedName name="adg" localSheetId="10" hidden="1">{"'Sheet1'!$A$1:$O$40"}</definedName>
    <definedName name="adg" hidden="1">{"'Sheet1'!$A$1:$O$40"}</definedName>
    <definedName name="Adj_net_oper_fore" localSheetId="9">[4]Forecasts_VDF!$E$25:$X$25</definedName>
    <definedName name="Adj_net_oper_fore" localSheetId="8">[5]Forecasts_VDF!$E$25:$X$25</definedName>
    <definedName name="Adj_net_oper_fore">[6]Forecasts_VDF!$E$25:$X$25</definedName>
    <definedName name="Adjusted_Common_Equity" localSheetId="9">'[7]Invested capital_VDF'!$C$83:$AE$83</definedName>
    <definedName name="Adjusted_Common_Equity" localSheetId="8">'[5]Invested capital_VDF'!$C$83:$AE$83</definedName>
    <definedName name="Adjusted_Common_Equity">'[6]Invested capital_VDF'!$C$83:$AE$83</definedName>
    <definedName name="Adjusted_Income_Available_to_Common" localSheetId="9">[7]NOPAT_VDF!$C$57:$AU$57</definedName>
    <definedName name="Adjusted_Income_Available_to_Common" localSheetId="8">[5]NOPAT_VDF!$C$57:$AU$57</definedName>
    <definedName name="Adjusted_Income_Available_to_Common">[6]NOPAT_VDF!$C$57:$AU$57</definedName>
    <definedName name="Adjusted_Net_Operating_Profit" localSheetId="9">[4]NOPAT_VDF!$C$26:$AU$26</definedName>
    <definedName name="Adjusted_Net_Operating_Profit" localSheetId="8">[5]NOPAT_VDF!$C$26:$AU$26</definedName>
    <definedName name="Adjusted_Net_Operating_Profit">[6]NOPAT_VDF!$C$26:$AU$26</definedName>
    <definedName name="adv">#REF!</definedName>
    <definedName name="ae" localSheetId="9" hidden="1">{"'Inventory &amp; Anal-Cur Wkbk'!$A$7:$AP$71"}</definedName>
    <definedName name="ae" localSheetId="11" hidden="1">{"'Inventory &amp; Anal-Cur Wkbk'!$A$7:$AP$71"}</definedName>
    <definedName name="ae" localSheetId="10" hidden="1">{"'Inventory &amp; Anal-Cur Wkbk'!$A$7:$AP$71"}</definedName>
    <definedName name="ae" hidden="1">{"'Inventory &amp; Anal-Cur Wkbk'!$A$7:$AP$71"}</definedName>
    <definedName name="AEH_qrtly_results_new">#REF!</definedName>
    <definedName name="AEH_qtr_results">#REF!</definedName>
    <definedName name="AEH_qtrly_results" localSheetId="9">#REF!</definedName>
    <definedName name="AEH_qtrly_results" localSheetId="8">#REF!</definedName>
    <definedName name="AEH_qtrly_results" localSheetId="3">#REF!</definedName>
    <definedName name="AEH_qtrly_results">#REF!</definedName>
    <definedName name="After_tax_charge" localSheetId="9">[7]NOPAT_VDF!$C$60:$AZ$60</definedName>
    <definedName name="After_tax_charge" localSheetId="8">[5]NOPAT_VDF!$C$60:$AZ$60</definedName>
    <definedName name="After_tax_charge">[6]NOPAT_VDF!$C$60:$AZ$60</definedName>
    <definedName name="After_Tax_charges_gains" localSheetId="9">[7]NOPAT_VDF!$C$92:$AZ$92</definedName>
    <definedName name="After_Tax_charges_gains" localSheetId="8">[5]NOPAT_VDF!$C$92:$AZ$92</definedName>
    <definedName name="After_Tax_charges_gains">[6]NOPAT_VDF!$C$92:$AZ$92</definedName>
    <definedName name="Ag">[8]NOPAT_VDF!$C$90:$AE$90</definedName>
    <definedName name="AHC_CAPEX" localSheetId="9">[9]BalanceSheet!$A$75:$IV$75</definedName>
    <definedName name="AHC_CAPEX">[9]BalanceSheet!$A$75:$IV$75</definedName>
    <definedName name="AHC_CAPEX_2004" localSheetId="9">[9]BalanceSheet!$S$75</definedName>
    <definedName name="AHC_CAPEX_2004">[9]BalanceSheet!$S$75</definedName>
    <definedName name="AHC_CAPEX_2005" localSheetId="9">[9]BalanceSheet!$T$75</definedName>
    <definedName name="AHC_CAPEX_2005">[9]BalanceSheet!$T$75</definedName>
    <definedName name="AHC_CAPEX_2006" localSheetId="9">[9]BalanceSheet!$U$75</definedName>
    <definedName name="AHC_CAPEX_2006">[9]BalanceSheet!$U$75</definedName>
    <definedName name="AHC_CAPEX_2007" localSheetId="9">[9]BalanceSheet!$V$75</definedName>
    <definedName name="AHC_CAPEX_2007">[9]BalanceSheet!$V$75</definedName>
    <definedName name="AHC_CAPEX_Chems" localSheetId="9">[9]BalanceSheet!$A$82:$IV$82</definedName>
    <definedName name="AHC_CAPEX_Chems">[9]BalanceSheet!$A$82:$IV$82</definedName>
    <definedName name="AHC_CAPEX_EP" localSheetId="9">[9]BalanceSheet!$A$76:$IV$76</definedName>
    <definedName name="AHC_CAPEX_EP">[9]BalanceSheet!$A$76:$IV$76</definedName>
    <definedName name="AHC_CAPEX_EP_2004" localSheetId="9">[9]BalanceSheet!$S$76</definedName>
    <definedName name="AHC_CAPEX_EP_2004">[9]BalanceSheet!$S$76</definedName>
    <definedName name="AHC_CAPEX_EP_2005" localSheetId="9">[9]BalanceSheet!$T$76</definedName>
    <definedName name="AHC_CAPEX_EP_2005">[9]BalanceSheet!$T$76</definedName>
    <definedName name="AHC_CAPEX_EP_2006" localSheetId="9">[9]BalanceSheet!$U$76</definedName>
    <definedName name="AHC_CAPEX_EP_2006">[9]BalanceSheet!$U$76</definedName>
    <definedName name="AHC_CAPEX_EP_2007" localSheetId="9">[9]BalanceSheet!$V$76</definedName>
    <definedName name="AHC_CAPEX_EP_2007">[9]BalanceSheet!$V$76</definedName>
    <definedName name="AHC_CAPEX_Other" localSheetId="9">[9]BalanceSheet!$A$85:$IV$85</definedName>
    <definedName name="AHC_CAPEX_Other">[9]BalanceSheet!$A$85:$IV$85</definedName>
    <definedName name="AHC_CAPEX_Other_2004" localSheetId="9">[9]BalanceSheet!$S$85</definedName>
    <definedName name="AHC_CAPEX_Other_2004">[9]BalanceSheet!$S$85</definedName>
    <definedName name="AHC_CAPEX_Other_2005" localSheetId="9">[9]BalanceSheet!$T$85</definedName>
    <definedName name="AHC_CAPEX_Other_2005">[9]BalanceSheet!$T$85</definedName>
    <definedName name="AHC_CAPEX_Other_2006" localSheetId="9">[9]BalanceSheet!$U$85</definedName>
    <definedName name="AHC_CAPEX_Other_2006">[9]BalanceSheet!$U$85</definedName>
    <definedName name="AHC_CAPEX_Other_2007" localSheetId="9">[9]BalanceSheet!$V$85</definedName>
    <definedName name="AHC_CAPEX_Other_2007">[9]BalanceSheet!$V$85</definedName>
    <definedName name="AHC_CAPEX_RM" localSheetId="9">[9]BalanceSheet!$A$79:$IV$79</definedName>
    <definedName name="AHC_CAPEX_RM">[9]BalanceSheet!$A$79:$IV$79</definedName>
    <definedName name="AHC_CAPEX_RM_2004" localSheetId="9">[9]BalanceSheet!$S$79</definedName>
    <definedName name="AHC_CAPEX_RM_2004">[9]BalanceSheet!$S$79</definedName>
    <definedName name="AHC_CAPEX_RM_2005" localSheetId="9">[9]BalanceSheet!$T$79</definedName>
    <definedName name="AHC_CAPEX_RM_2005">[9]BalanceSheet!$T$79</definedName>
    <definedName name="AHC_CAPEX_RM_2006" localSheetId="9">[9]BalanceSheet!$U$79</definedName>
    <definedName name="AHC_CAPEX_RM_2006">[9]BalanceSheet!$U$79</definedName>
    <definedName name="AHC_CAPEX_RM_2007" localSheetId="9">[9]BalanceSheet!$V$79</definedName>
    <definedName name="AHC_CAPEX_RM_2007">[9]BalanceSheet!$V$79</definedName>
    <definedName name="akldf" localSheetId="11"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akldf" localSheetId="10"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akldf"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alfj"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lfj"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lfj"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nnual" localSheetId="9">#REF!</definedName>
    <definedName name="Annual" localSheetId="8">#REF!</definedName>
    <definedName name="Annual" localSheetId="3">#REF!</definedName>
    <definedName name="Annual">#REF!</definedName>
    <definedName name="Annual_enrollment_print" localSheetId="9">#REF!</definedName>
    <definedName name="Annual_enrollment_print" localSheetId="3">#REF!</definedName>
    <definedName name="Annual_enrollment_print">#REF!</definedName>
    <definedName name="Annual_EPS_print" localSheetId="9">#REF!</definedName>
    <definedName name="Annual_EPS_print" localSheetId="3">#REF!</definedName>
    <definedName name="Annual_EPS_print">#REF!</definedName>
    <definedName name="Annual_results" localSheetId="9">'[10]Annual EPS'!$A$1:$A$60</definedName>
    <definedName name="Annual_results" localSheetId="8">'[11]Annual EPS'!$A$1:$A$60</definedName>
    <definedName name="Annual_results">'[12]Annual EPS'!$A$1:$A$60</definedName>
    <definedName name="annual2">[13]model!$B$91:$AD$184</definedName>
    <definedName name="anscount" hidden="1">1</definedName>
    <definedName name="AS2DocOpenMode" hidden="1">"AS2DocumentEdit"</definedName>
    <definedName name="AS2ReportLS" hidden="1">1</definedName>
    <definedName name="AS2SyncStepLS" hidden="1">0</definedName>
    <definedName name="AS2VersionLS" hidden="1">300</definedName>
    <definedName name="asasasasas" localSheetId="9" hidden="1">{"PR1","pr1",TRUE,"Sch PR-1"}</definedName>
    <definedName name="asasasasas" localSheetId="8" hidden="1">{"PR1","pr1",TRUE,"Sch PR-1"}</definedName>
    <definedName name="asasasasas" localSheetId="11" hidden="1">{"PR1","pr1",TRUE,"Sch PR-1"}</definedName>
    <definedName name="asasasasas" localSheetId="10" hidden="1">{"PR1","pr1",TRUE,"Sch PR-1"}</definedName>
    <definedName name="asasasasas" localSheetId="3" hidden="1">{"PR1","pr1",TRUE,"Sch PR-1"}</definedName>
    <definedName name="asasasasas" hidden="1">{"PR1","pr1",TRUE,"Sch PR-1"}</definedName>
    <definedName name="assasdafsda" localSheetId="9" hidden="1">{"PR1","pr1",TRUE,"Sch PR-1"}</definedName>
    <definedName name="assasdafsda" localSheetId="8" hidden="1">{"PR1","pr1",TRUE,"Sch PR-1"}</definedName>
    <definedName name="assasdafsda" localSheetId="11" hidden="1">{"PR1","pr1",TRUE,"Sch PR-1"}</definedName>
    <definedName name="assasdafsda" localSheetId="10" hidden="1">{"PR1","pr1",TRUE,"Sch PR-1"}</definedName>
    <definedName name="assasdafsda" localSheetId="3" hidden="1">{"PR1","pr1",TRUE,"Sch PR-1"}</definedName>
    <definedName name="assasdafsda" hidden="1">{"PR1","pr1",TRUE,"Sch PR-1"}</definedName>
    <definedName name="assetturns07">'[14]earnings-model'!$Z$183</definedName>
    <definedName name="Average_invested_capital" localSheetId="9">'[4]Invested capital_VDF'!$C$89:$AZ$89</definedName>
    <definedName name="Average_invested_capital" localSheetId="8">'[5]Invested capital_VDF'!$C$89:$AZ$89</definedName>
    <definedName name="Average_invested_capital">'[6]Invested capital_VDF'!$C$89:$AZ$89</definedName>
    <definedName name="Average_invested_capital_DCF" localSheetId="9">[4]DCF_VDF!$C$78:$AZ$78</definedName>
    <definedName name="Average_invested_capital_DCF" localSheetId="8">[5]DCF_VDF!$C$78:$AZ$78</definedName>
    <definedName name="Average_invested_capital_DCF">[6]DCF_VDF!$C$78:$AZ$78</definedName>
    <definedName name="Average_thereafter" localSheetId="9">'[7]PV of Op Leases_VDF'!$C$16:$AX$16</definedName>
    <definedName name="Average_thereafter" localSheetId="8">'[5]PV of Op Leases_VDF'!$C$16:$AX$16</definedName>
    <definedName name="Average_thereafter">'[6]PV of Op Leases_VDF'!$C$16:$AX$16</definedName>
    <definedName name="b" localSheetId="11">#REF!</definedName>
    <definedName name="b" localSheetId="10">#REF!</definedName>
    <definedName name="b">#REF!</definedName>
    <definedName name="back"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ack"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ack"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acklogsorders" localSheetId="11">#REF!</definedName>
    <definedName name="backlogsorders" localSheetId="10">#REF!</definedName>
    <definedName name="backlogsorders">#REF!</definedName>
    <definedName name="Balance_sheets" localSheetId="9">#REF!</definedName>
    <definedName name="Balance_sheets" localSheetId="8">#REF!</definedName>
    <definedName name="Balance_sheets" localSheetId="3">#REF!</definedName>
    <definedName name="Balance_sheets">#REF!</definedName>
    <definedName name="BalanceSheet">#REF!</definedName>
    <definedName name="balsheet" localSheetId="9">#REF!</definedName>
    <definedName name="balsheet" localSheetId="3">#REF!</definedName>
    <definedName name="balsheet">#REF!</definedName>
    <definedName name="BalShGraphs">#REF!</definedName>
    <definedName name="balsht1991">#REF!</definedName>
    <definedName name="balsht1992">#REF!</definedName>
    <definedName name="balsht1993">#REF!</definedName>
    <definedName name="balsht1994">#REF!</definedName>
    <definedName name="balsht1995">#REF!</definedName>
    <definedName name="balsht1996">#REF!</definedName>
    <definedName name="balsht1997">#REF!</definedName>
    <definedName name="balsht1998">#REF!</definedName>
    <definedName name="balsht1999">#REF!</definedName>
    <definedName name="balsht2000">#REF!</definedName>
    <definedName name="BAX_annual_results" localSheetId="9">#REF!</definedName>
    <definedName name="BAX_annual_results" localSheetId="3">#REF!</definedName>
    <definedName name="BAX_annual_results">#REF!</definedName>
    <definedName name="BAX_qtrly_results" localSheetId="9">#REF!</definedName>
    <definedName name="BAX_qtrly_results" localSheetId="3">#REF!</definedName>
    <definedName name="BAX_qtrly_results">#REF!</definedName>
    <definedName name="BB_EEO_BEST_DATA">#REF!</definedName>
    <definedName name="BB_EEO_BEST_FEED">#REF!</definedName>
    <definedName name="BB_EEO_TICKER">#REF!</definedName>
    <definedName name="Beta" localSheetId="9">'[7]Summary Page_VDF'!$G$12</definedName>
    <definedName name="Beta" localSheetId="8">'[5]Summary Page_VDF'!$G$12</definedName>
    <definedName name="Beta">'[6]Summary Page_VDF'!$G$12</definedName>
    <definedName name="BG_Del" hidden="1">15</definedName>
    <definedName name="BG_Ins" hidden="1">4</definedName>
    <definedName name="BG_Mod" hidden="1">6</definedName>
    <definedName name="BHI" localSheetId="9">[15]cmp!#REF!</definedName>
    <definedName name="BHI">[15]cmp!#REF!</definedName>
    <definedName name="BJS" localSheetId="9">[15]cmp!#REF!</definedName>
    <definedName name="BJS">[15]cmp!#REF!</definedName>
    <definedName name="Bond_rating" localSheetId="9">'[7]Summary Page_VDF'!$H$12</definedName>
    <definedName name="Bond_rating" localSheetId="8">'[5]Summary Page_VDF'!$H$12</definedName>
    <definedName name="Bond_rating">'[6]Summary Page_VDF'!$H$12</definedName>
    <definedName name="Book_value_per_share" localSheetId="9">'[7]Invested capital_VDF'!$R$85:$AU$85</definedName>
    <definedName name="Book_value_per_share">'[6]Invested capital_VDF'!$R$85:$AU$85</definedName>
    <definedName name="Brazil_PMI">OFFSET('[16]PMI Data'!$T$5,0,0,COUNTA('[16]PMI Data'!$T$6:$T$6000)+1,2)</definedName>
    <definedName name="BRC" localSheetId="9">[15]cmp!#REF!</definedName>
    <definedName name="BRC" localSheetId="11">[15]cmp!#REF!</definedName>
    <definedName name="BRC" localSheetId="10">[15]cmp!#REF!</definedName>
    <definedName name="BRC">[15]cmp!#REF!</definedName>
    <definedName name="BSGraphs" localSheetId="11">#REF!</definedName>
    <definedName name="BSGraphs" localSheetId="10">#REF!</definedName>
    <definedName name="BSGraphs">#REF!</definedName>
    <definedName name="bsheet" localSheetId="9">#REF!</definedName>
    <definedName name="bsheet" localSheetId="3">#REF!</definedName>
    <definedName name="bsheet">#REF!</definedName>
    <definedName name="Business_segment_proforma" localSheetId="9">#REF!</definedName>
    <definedName name="Business_segment_proforma" localSheetId="8">#REF!</definedName>
    <definedName name="Business_segment_proforma" localSheetId="3">#REF!</definedName>
    <definedName name="Business_segment_proforma">#REF!</definedName>
    <definedName name="Cap" localSheetId="9">#REF!</definedName>
    <definedName name="Cap" localSheetId="3">#REF!</definedName>
    <definedName name="Cap">#REF!</definedName>
    <definedName name="Cap._RnD_Asset_net_of_RnD_amort." localSheetId="9">'[7]Invested capital_VDF'!$C$32:$AE$32</definedName>
    <definedName name="Cap._RnD_Asset_net_of_RnD_amort." localSheetId="8">'[5]Invested capital_VDF'!$C$32:$AE$32</definedName>
    <definedName name="Cap._RnD_Asset_net_of_RnD_amort.">'[6]Invested capital_VDF'!$C$32:$AE$32</definedName>
    <definedName name="Capacity" localSheetId="9">#REF!</definedName>
    <definedName name="Capacity" localSheetId="11">#REF!</definedName>
    <definedName name="Capacity" localSheetId="10">#REF!</definedName>
    <definedName name="Capacity" localSheetId="3">#REF!</definedName>
    <definedName name="Capacity">#REF!</definedName>
    <definedName name="Cash" localSheetId="9">'[7]Invested capital_VDF'!$C$4:$AU$4</definedName>
    <definedName name="Cash" localSheetId="8">'[5]Invested capital_VDF'!$C$4:$AU$4</definedName>
    <definedName name="Cash">'[6]Invested capital_VDF'!$C$4:$AU$4</definedName>
    <definedName name="Cash_DCF" localSheetId="9">[4]DCF_VDF!$C$33:$AZ$33</definedName>
    <definedName name="Cash_DCF" localSheetId="8">[5]DCF_VDF!$C$33:$AZ$33</definedName>
    <definedName name="Cash_DCF">[6]DCF_VDF!$C$33:$AZ$33</definedName>
    <definedName name="Cash_fore" localSheetId="9">[4]Forecasts_VDF!$E$43:$W$43</definedName>
    <definedName name="Cash_fore" localSheetId="8">[5]Forecasts_VDF!$E$43:$W$43</definedName>
    <definedName name="Cash_fore">[6]Forecasts_VDF!$E$43:$W$43</definedName>
    <definedName name="Cash_growth" localSheetId="9">[7]NOPAT_VDF!$M$152:$Q$152</definedName>
    <definedName name="Cash_growth" localSheetId="8">[5]NOPAT_VDF!$M$152:$Q$152</definedName>
    <definedName name="Cash_growth">[6]NOPAT_VDF!$M$152:$Q$152</definedName>
    <definedName name="Cash_growth_fore" localSheetId="9">[4]Forecasts_VDF!$E$55:$W$55</definedName>
    <definedName name="Cash_growth_fore" localSheetId="8">[5]Forecasts_VDF!$E$55:$W$55</definedName>
    <definedName name="Cash_growth_fore">[6]Forecasts_VDF!$E$55:$W$55</definedName>
    <definedName name="Cash_Operating_Taxes" localSheetId="9">[4]NOPAT_VDF!$C$39:$AU$39</definedName>
    <definedName name="Cash_Operating_Taxes" localSheetId="8">[5]NOPAT_VDF!$C$39:$AU$39</definedName>
    <definedName name="Cash_Operating_Taxes">[6]NOPAT_VDF!$C$39:$AU$39</definedName>
    <definedName name="Cash_operating_taxes_fore" localSheetId="9">[4]Forecasts_VDF!$E$28:$G$28</definedName>
    <definedName name="Cash_operating_taxes_fore" localSheetId="8">[5]Forecasts_VDF!$E$28:$G$28</definedName>
    <definedName name="Cash_operating_taxes_fore">[6]Forecasts_VDF!$E$28:$G$28</definedName>
    <definedName name="cash1991" localSheetId="11">#REF!</definedName>
    <definedName name="cash1991" localSheetId="10">#REF!</definedName>
    <definedName name="cash1991">#REF!</definedName>
    <definedName name="cash1992" localSheetId="11">#REF!</definedName>
    <definedName name="cash1992" localSheetId="10">#REF!</definedName>
    <definedName name="cash1992">#REF!</definedName>
    <definedName name="cash1993" localSheetId="11">#REF!</definedName>
    <definedName name="cash1993" localSheetId="10">#REF!</definedName>
    <definedName name="cash1993">#REF!</definedName>
    <definedName name="cash1994">#REF!</definedName>
    <definedName name="cash1995">#REF!</definedName>
    <definedName name="cash1996">#REF!</definedName>
    <definedName name="cash1997">#REF!</definedName>
    <definedName name="cash1998">#REF!</definedName>
    <definedName name="cash1999">#REF!</definedName>
    <definedName name="cash2000">#REF!</definedName>
    <definedName name="CashFloGrphs">#REF!</definedName>
    <definedName name="cashflow" localSheetId="9">#REF!</definedName>
    <definedName name="cashflow" localSheetId="3">#REF!</definedName>
    <definedName name="cashflow">#REF!</definedName>
    <definedName name="CashFlowGraphs">#REF!</definedName>
    <definedName name="cb_sChart19DDC996_opts" hidden="1">"1, 10, 1, False, 2, False, False, , 0, False, False, 2, 2"</definedName>
    <definedName name="cb_sChart1D4AB240_opts" hidden="1">"1, 9, 1, False, 2, False, False, , 0, False, True, 2, 2"</definedName>
    <definedName name="cb_sChart1D5372A5_opts" hidden="1">"1, 5, 1, False, 2, False, False, , 0, False, False, 1, 1"</definedName>
    <definedName name="cb_sChartE2218BA_opts" hidden="1">"1, 4, 1, False, 2, False, False, , 0, False, True, 1, 1"</definedName>
    <definedName name="cb_sChartE221ADA_opts" hidden="1">"1, 5, 1, False, 2, False, False, , 0, False, False, 1, 1"</definedName>
    <definedName name="CF_BOE_1998">'[9]E&amp;P'!$J$379</definedName>
    <definedName name="CF_BOE_1999" localSheetId="9">'[9]E&amp;P'!$K$379</definedName>
    <definedName name="CF_BOE_1999">'[9]E&amp;P'!$K$379</definedName>
    <definedName name="CF_BOE_2000" localSheetId="9">'[9]E&amp;P'!$L$379</definedName>
    <definedName name="CF_BOE_2000">'[9]E&amp;P'!$L$379</definedName>
    <definedName name="CF_BOE_2001" localSheetId="9">'[9]E&amp;P'!$M$379</definedName>
    <definedName name="CF_BOE_2001">'[9]E&amp;P'!$M$379</definedName>
    <definedName name="CF_BOE_2002" localSheetId="9">'[9]E&amp;P'!$N$379</definedName>
    <definedName name="CF_BOE_2002">'[9]E&amp;P'!$N$379</definedName>
    <definedName name="CF_BOE_2003" localSheetId="9">'[9]E&amp;P'!$O$379</definedName>
    <definedName name="CF_BOE_2003">'[9]E&amp;P'!$O$379</definedName>
    <definedName name="CF_BOE_2004" localSheetId="9">'[9]E&amp;P'!$P$379</definedName>
    <definedName name="CF_BOE_2004">'[9]E&amp;P'!$P$379</definedName>
    <definedName name="CF_BOE_2005" localSheetId="9">'[9]E&amp;P'!$Q$379</definedName>
    <definedName name="CF_BOE_2005">'[9]E&amp;P'!$Q$379</definedName>
    <definedName name="CF_BOE_2006" localSheetId="9">'[9]E&amp;P'!$R$379</definedName>
    <definedName name="CF_BOE_2006">'[9]E&amp;P'!$R$379</definedName>
    <definedName name="CF_BOE_2007" localSheetId="9">'[9]E&amp;P'!$S$379</definedName>
    <definedName name="CF_BOE_2007">'[9]E&amp;P'!$S$379</definedName>
    <definedName name="CF_BOE_2008" localSheetId="9">'[9]E&amp;P'!$T$379</definedName>
    <definedName name="CF_BOE_2008">'[9]E&amp;P'!$T$379</definedName>
    <definedName name="cflow" localSheetId="9">#REF!</definedName>
    <definedName name="cflow" localSheetId="11">#REF!</definedName>
    <definedName name="cflow" localSheetId="10">#REF!</definedName>
    <definedName name="cflow" localSheetId="3">#REF!</definedName>
    <definedName name="cflow">#REF!</definedName>
    <definedName name="CFPS_Curr_Yr" localSheetId="9">#REF!</definedName>
    <definedName name="CFPS_Curr_Yr">#REF!</definedName>
    <definedName name="CFPS_Lst_Yr" localSheetId="9">#REF!</definedName>
    <definedName name="CFPS_Lst_Yr">#REF!</definedName>
    <definedName name="CFPS_Next_Yr" localSheetId="9">#REF!</definedName>
    <definedName name="CFPS_Next_Yr">#REF!</definedName>
    <definedName name="Chg_in_fixed_assets" localSheetId="9">[7]DCF_VDF!$C$19:$AZ$19</definedName>
    <definedName name="Chg_in_fixed_assets" localSheetId="8">[5]DCF_VDF!$C$19:$AZ$19</definedName>
    <definedName name="Chg_in_fixed_assets">[6]DCF_VDF!$C$19:$AZ$19</definedName>
    <definedName name="Chg_in_other_assets" localSheetId="9">[7]DCF_VDF!$C$20:$AZ$20</definedName>
    <definedName name="Chg_in_other_assets" localSheetId="8">[5]DCF_VDF!$C$20:$AZ$20</definedName>
    <definedName name="Chg_in_other_assets">[6]DCF_VDF!$C$20:$AZ$20</definedName>
    <definedName name="Chg_in_working_capital" localSheetId="9">[7]DCF_VDF!$C$18:$AZ$18</definedName>
    <definedName name="Chg_in_working_capital">[6]DCF_VDF!$C$18:$AZ$18</definedName>
    <definedName name="China_PMI">OFFSET('[16]PMI Data'!$P$5,0,0,COUNTA('[16]PMI Data'!$P$6:$P$6000)+1,2)</definedName>
    <definedName name="CIQWBGuid" hidden="1">"b2d17336-804c-4737-a114-4638d825cdf0"</definedName>
    <definedName name="Closing_price" localSheetId="9">'[7]Summary Page_VDF'!$C$54:$G$54</definedName>
    <definedName name="Closing_price">'[6]Summary Page_VDF'!$C$54:$G$54</definedName>
    <definedName name="CNS" localSheetId="9">[3]BMY!#REF!</definedName>
    <definedName name="CNS" localSheetId="11">[3]BMY!#REF!</definedName>
    <definedName name="CNS" localSheetId="10">[3]BMY!#REF!</definedName>
    <definedName name="CNS" localSheetId="3">[3]BMY!#REF!</definedName>
    <definedName name="CNS">[3]BMY!#REF!</definedName>
    <definedName name="co">[17]AMETEK!$A$2</definedName>
    <definedName name="Combined_sales_by_segment" localSheetId="9">#REF!</definedName>
    <definedName name="Combined_sales_by_segment" localSheetId="8">#REF!</definedName>
    <definedName name="Combined_sales_by_segment" localSheetId="3">#REF!</definedName>
    <definedName name="Combined_sales_by_segment">#REF!</definedName>
    <definedName name="Commercial_paper" localSheetId="9">'[7]Invested capital_VDF'!$C$53:$AU$53</definedName>
    <definedName name="Commercial_paper" localSheetId="8">'[5]Invested capital_VDF'!$C$53:$AU$53</definedName>
    <definedName name="Commercial_paper">'[6]Invested capital_VDF'!$C$53:$AU$53</definedName>
    <definedName name="Company" localSheetId="9">'[7]Summary Page_VDF'!$B$5</definedName>
    <definedName name="Company" localSheetId="8">'[5]Summary Page_VDF'!$B$5</definedName>
    <definedName name="Company">'[6]Summary Page_VDF'!$B$5</definedName>
    <definedName name="CONVERGE" localSheetId="9">#REF!</definedName>
    <definedName name="CONVERGE" localSheetId="11">#REF!</definedName>
    <definedName name="CONVERGE" localSheetId="10">#REF!</definedName>
    <definedName name="CONVERGE">#REF!</definedName>
    <definedName name="COP_BS_EP_2004" localSheetId="9">[18]BalanceSheet!$Q$68</definedName>
    <definedName name="COP_BS_EP_2004">[18]BalanceSheet!$Q$68</definedName>
    <definedName name="COP_BS_EP_2005" localSheetId="9">[18]BalanceSheet!$R$68</definedName>
    <definedName name="COP_BS_EP_2005">[18]BalanceSheet!$R$68</definedName>
    <definedName name="COP_BS_EP_2006" localSheetId="9">[18]BalanceSheet!$S$68</definedName>
    <definedName name="COP_BS_EP_2006">[18]BalanceSheet!$S$68</definedName>
    <definedName name="Cor" localSheetId="9">#REF!</definedName>
    <definedName name="Cor" localSheetId="11">#REF!</definedName>
    <definedName name="Cor" localSheetId="10">#REF!</definedName>
    <definedName name="Cor" localSheetId="3">#REF!</definedName>
    <definedName name="Cor">#REF!</definedName>
    <definedName name="Corporate_Value" localSheetId="9">[7]DCF_VDF!$C$32:$AZ$32</definedName>
    <definedName name="Corporate_Value">[6]DCF_VDF!$C$32:$AZ$32</definedName>
    <definedName name="Cost_of_sales_net_of_D_A" localSheetId="9">[7]NOPAT_VDF!$C$103:$AU$103</definedName>
    <definedName name="Cost_of_sales_net_of_D_A">[6]NOPAT_VDF!$C$103:$AU$103</definedName>
    <definedName name="csDesignMode">1</definedName>
    <definedName name="Cumulative_PV_of_EVA" localSheetId="9">[7]DCF_VDF!$C$50:$BZ$50</definedName>
    <definedName name="Cumulative_PV_of_EVA">[6]DCF_VDF!$C$50:$BZ$50</definedName>
    <definedName name="Cumulative_PV_of_FCF" localSheetId="9">[7]DCF_VDF!$C$27:$AZ$27</definedName>
    <definedName name="Cumulative_PV_of_FCF">[6]DCF_VDF!$C$27:$AZ$27</definedName>
    <definedName name="CurFcst" localSheetId="11">#REF!</definedName>
    <definedName name="CurFcst" localSheetId="10">#REF!</definedName>
    <definedName name="CurFcst">#REF!</definedName>
    <definedName name="CurMonth" localSheetId="11">#REF!</definedName>
    <definedName name="CurMonth" localSheetId="10">#REF!</definedName>
    <definedName name="CurMonth">#REF!</definedName>
    <definedName name="CurQtr" localSheetId="11">#REF!</definedName>
    <definedName name="CurQtr" localSheetId="10">#REF!</definedName>
    <definedName name="CurQtr">#REF!</definedName>
    <definedName name="Current_assets" localSheetId="9">'[7]Invested capital_VDF'!$C$15:$AE$15</definedName>
    <definedName name="Current_assets">'[6]Invested capital_VDF'!$C$15:$AE$15</definedName>
    <definedName name="Customer_deposits" localSheetId="9">'[7]Invested capital_VDF'!$C$19:$AE$19</definedName>
    <definedName name="Customer_deposits">'[6]Invested capital_VDF'!$C$19:$AE$19</definedName>
    <definedName name="Customer_deposits_growth_fore" localSheetId="9">[4]Forecasts_VDF!$H$152:$K$152</definedName>
    <definedName name="Customer_deposits_growth_fore" localSheetId="8">[5]Forecasts_VDF!$H$152:$K$152</definedName>
    <definedName name="Customer_deposits_growth_fore">[6]Forecasts_VDF!$H$152:$K$152</definedName>
    <definedName name="CysticF" localSheetId="9">#REF!</definedName>
    <definedName name="CysticF" localSheetId="11">#REF!</definedName>
    <definedName name="CysticF" localSheetId="10">#REF!</definedName>
    <definedName name="CysticF" localSheetId="3">#REF!</definedName>
    <definedName name="CysticF">#REF!</definedName>
    <definedName name="d" localSheetId="9">#REF!</definedName>
    <definedName name="d" localSheetId="3">#REF!</definedName>
    <definedName name="d">#REF!</definedName>
    <definedName name="DAN">[19]APCCMP!$A$2:$W$72</definedName>
    <definedName name="date">[20]Cover!$H$1</definedName>
    <definedName name="DCF_1995" localSheetId="9">[7]DCF_VDF!$C$3:$C$167</definedName>
    <definedName name="DCF_1995" localSheetId="8">[5]DCF_VDF!$C$3:$C$167</definedName>
    <definedName name="DCF_1995">[6]DCF_VDF!$C$3:$C$167</definedName>
    <definedName name="DCF_1996" localSheetId="9">[7]DCF_VDF!$D$3:$D$167</definedName>
    <definedName name="DCF_1996" localSheetId="8">[5]DCF_VDF!$D$3:$D$167</definedName>
    <definedName name="DCF_1996">[6]DCF_VDF!$D$3:$D$167</definedName>
    <definedName name="DCF_1997" localSheetId="9">[7]DCF_VDF!$E$3:$E$167</definedName>
    <definedName name="DCF_1997">[6]DCF_VDF!$E$3:$E$167</definedName>
    <definedName name="DCF_1998" localSheetId="9">[7]DCF_VDF!$F$3:$F$167</definedName>
    <definedName name="DCF_1998">[6]DCF_VDF!$F$3:$F$167</definedName>
    <definedName name="DCF_1999" localSheetId="9">[7]DCF_VDF!$G$3:$G$167</definedName>
    <definedName name="DCF_1999">[6]DCF_VDF!$G$3:$G$167</definedName>
    <definedName name="DCF_2000" localSheetId="9">[7]DCF_VDF!$H$3:$H$167</definedName>
    <definedName name="DCF_2000">[6]DCF_VDF!$H$3:$H$167</definedName>
    <definedName name="DCF_2001" localSheetId="9">[7]DCF_VDF!$I$3:$I$167</definedName>
    <definedName name="DCF_2001">[6]DCF_VDF!$I$3:$I$167</definedName>
    <definedName name="DCF_2002" localSheetId="9">[7]DCF_VDF!$J$3:$J$167</definedName>
    <definedName name="DCF_2002">[6]DCF_VDF!$J$3:$J$167</definedName>
    <definedName name="DCF_2003" localSheetId="9">[7]DCF_VDF!$K$3:$K$167</definedName>
    <definedName name="DCF_2003">[6]DCF_VDF!$K$3:$K$167</definedName>
    <definedName name="DCF_2004" localSheetId="9">[7]DCF_VDF!$L$3:$L$167</definedName>
    <definedName name="DCF_2004">[6]DCF_VDF!$L$3:$L$167</definedName>
    <definedName name="DCF_2005" localSheetId="9">[7]DCF_VDF!$M$3:$M$167</definedName>
    <definedName name="DCF_2005">[6]DCF_VDF!$M$3:$M$167</definedName>
    <definedName name="DCF_2006" localSheetId="9">[7]DCF_VDF!$N$3:$N$167</definedName>
    <definedName name="DCF_2006">[6]DCF_VDF!$N$3:$N$167</definedName>
    <definedName name="DCF_2007" localSheetId="9">[7]DCF_VDF!$O$3:$O$167</definedName>
    <definedName name="DCF_2007">[6]DCF_VDF!$O$3:$O$167</definedName>
    <definedName name="DCF_2008" localSheetId="9">[7]DCF_VDF!$P$3:$P$167</definedName>
    <definedName name="DCF_2008">[6]DCF_VDF!$P$3:$P$167</definedName>
    <definedName name="DCF_2009" localSheetId="9">[7]DCF_VDF!$Q$3:$Q$167</definedName>
    <definedName name="DCF_2009">[6]DCF_VDF!$Q$3:$Q$167</definedName>
    <definedName name="DCF_2010" localSheetId="9">[7]DCF_VDF!$R$3:$R$167</definedName>
    <definedName name="DCF_2010">[6]DCF_VDF!$R$3:$R$167</definedName>
    <definedName name="DCF_2011" localSheetId="9">[7]DCF_VDF!$S$3:$S$167</definedName>
    <definedName name="DCF_2011">[6]DCF_VDF!$S$3:$S$167</definedName>
    <definedName name="DCF_2012" localSheetId="9">[7]DCF_VDF!$T$3:$T$167</definedName>
    <definedName name="DCF_2012">[6]DCF_VDF!$T$3:$T$167</definedName>
    <definedName name="DCF_2013" localSheetId="9">[7]DCF_VDF!$U$3:$U$167</definedName>
    <definedName name="DCF_2013">[6]DCF_VDF!$U$3:$U$167</definedName>
    <definedName name="DCF_2014" localSheetId="9">[7]DCF_VDF!$V$3:$V$167</definedName>
    <definedName name="DCF_2014">[6]DCF_VDF!$V$3:$V$167</definedName>
    <definedName name="DCF_2015" localSheetId="9">[7]DCF_VDF!$W$3:$W$167</definedName>
    <definedName name="DCF_2015">[6]DCF_VDF!$W$3:$W$167</definedName>
    <definedName name="DCF_2016" localSheetId="9">[7]DCF_VDF!$X$3:$X$167</definedName>
    <definedName name="DCF_2016">[6]DCF_VDF!$X$3:$X$167</definedName>
    <definedName name="DCF_2017" localSheetId="9">[7]DCF_VDF!$Y$3:$Y$167</definedName>
    <definedName name="DCF_2017">[6]DCF_VDF!$Y$3:$Y$167</definedName>
    <definedName name="DCF_2018" localSheetId="9">[7]DCF_VDF!$Z$3:$Z$167</definedName>
    <definedName name="DCF_2018">[6]DCF_VDF!$Z$3:$Z$167</definedName>
    <definedName name="DCF_2019" localSheetId="9">[7]DCF_VDF!$AA$3:$AA$167</definedName>
    <definedName name="DCF_2019">[6]DCF_VDF!$AA$3:$AA$167</definedName>
    <definedName name="DCF_2020" localSheetId="9">[7]DCF_VDF!$AB$3:$AB$167</definedName>
    <definedName name="DCF_2020">[6]DCF_VDF!$AB$3:$AB$167</definedName>
    <definedName name="DCF_EY1" localSheetId="9">[4]DCF_VDF!$D$1:$D$65536</definedName>
    <definedName name="DCF_EY1" localSheetId="8">[5]DCF_VDF!$D$1:$D$65536</definedName>
    <definedName name="DCF_EY1">[6]DCF_VDF!$D$1:$D$65536</definedName>
    <definedName name="DCF_EY10" localSheetId="9">[4]DCF_VDF!$M$1:$M$65536</definedName>
    <definedName name="DCF_EY10" localSheetId="8">[5]DCF_VDF!$M$1:$M$65536</definedName>
    <definedName name="DCF_EY10">[6]DCF_VDF!$M$1:$M$65536</definedName>
    <definedName name="DCF_EY11" localSheetId="9">[7]DCF_VDF!$N$1:$N$65536</definedName>
    <definedName name="DCF_EY11" localSheetId="8">[5]DCF_VDF!$N$1:$N$65536</definedName>
    <definedName name="DCF_EY11">[6]DCF_VDF!$N$1:$N$65536</definedName>
    <definedName name="DCF_EY12" localSheetId="9">[7]DCF_VDF!$O$1:$O$65536</definedName>
    <definedName name="DCF_EY12" localSheetId="8">[5]DCF_VDF!$O$1:$O$65536</definedName>
    <definedName name="DCF_EY12">[6]DCF_VDF!$O$1:$O$65536</definedName>
    <definedName name="DCF_EY13" localSheetId="9">[7]DCF_VDF!$P$1:$P$65536</definedName>
    <definedName name="DCF_EY13">[6]DCF_VDF!$P$1:$P$65536</definedName>
    <definedName name="DCF_EY14" localSheetId="9">[4]DCF_VDF!$Q$1:$Q$65536</definedName>
    <definedName name="DCF_EY14" localSheetId="8">[5]DCF_VDF!$Q$1:$Q$65536</definedName>
    <definedName name="DCF_EY14">[6]DCF_VDF!$Q$1:$Q$65536</definedName>
    <definedName name="DCF_EY15" localSheetId="9">[4]DCF_VDF!$R$1:$R$65536</definedName>
    <definedName name="DCF_EY15" localSheetId="8">[5]DCF_VDF!$R$1:$R$65536</definedName>
    <definedName name="DCF_EY15">[6]DCF_VDF!$R$1:$R$65536</definedName>
    <definedName name="DCF_EY16" localSheetId="9">[7]DCF_VDF!$S$1:$S$65536</definedName>
    <definedName name="DCF_EY16" localSheetId="8">[5]DCF_VDF!$S$1:$S$65536</definedName>
    <definedName name="DCF_EY16">[6]DCF_VDF!$S$1:$S$65536</definedName>
    <definedName name="DCF_EY17" localSheetId="9">[7]DCF_VDF!$T$1:$T$65536</definedName>
    <definedName name="DCF_EY17" localSheetId="8">[5]DCF_VDF!$T$1:$T$65536</definedName>
    <definedName name="DCF_EY17">[6]DCF_VDF!$T$1:$T$65536</definedName>
    <definedName name="DCF_EY18" localSheetId="9">[7]DCF_VDF!$U$1:$U$65536</definedName>
    <definedName name="DCF_EY18">[6]DCF_VDF!$U$1:$U$65536</definedName>
    <definedName name="DCF_EY19" localSheetId="9">[7]DCF_VDF!$V$1:$V$65536</definedName>
    <definedName name="DCF_EY19">[6]DCF_VDF!$V$1:$V$65536</definedName>
    <definedName name="DCF_EY2" localSheetId="9">[4]DCF_VDF!$E$1:$E$65536</definedName>
    <definedName name="DCF_EY2" localSheetId="8">[5]DCF_VDF!$E$1:$E$65536</definedName>
    <definedName name="DCF_EY2">[6]DCF_VDF!$E$1:$E$65536</definedName>
    <definedName name="DCF_EY20" localSheetId="9">[7]DCF_VDF!$W$1:$W$65536</definedName>
    <definedName name="DCF_EY20" localSheetId="8">[5]DCF_VDF!$W$1:$W$65536</definedName>
    <definedName name="DCF_EY20">[6]DCF_VDF!$W$1:$W$65536</definedName>
    <definedName name="DCF_EY21" localSheetId="9">[7]DCF_VDF!$X$1:$X$65536</definedName>
    <definedName name="DCF_EY21" localSheetId="8">[5]DCF_VDF!$X$1:$X$65536</definedName>
    <definedName name="DCF_EY21">[6]DCF_VDF!$X$1:$X$65536</definedName>
    <definedName name="DCF_EY22" localSheetId="9">[7]DCF_VDF!$Y$1:$Y$65536</definedName>
    <definedName name="DCF_EY22">[6]DCF_VDF!$Y$1:$Y$65536</definedName>
    <definedName name="DCF_EY23" localSheetId="9">[7]DCF_VDF!$Z$1:$Z$65536</definedName>
    <definedName name="DCF_EY23">[6]DCF_VDF!$Z$1:$Z$65536</definedName>
    <definedName name="DCF_EY24" localSheetId="9">[4]DCF_VDF!$AA$1:$AA$65536</definedName>
    <definedName name="DCF_EY24" localSheetId="8">[5]DCF_VDF!$AA$1:$AA$65536</definedName>
    <definedName name="DCF_EY24">[6]DCF_VDF!$AA$1:$AA$65536</definedName>
    <definedName name="DCF_EY25" localSheetId="9">[4]DCF_VDF!$AB$1:$AB$65536</definedName>
    <definedName name="DCF_EY25" localSheetId="8">[5]DCF_VDF!$AB$1:$AB$65536</definedName>
    <definedName name="DCF_EY25">[6]DCF_VDF!$AB$1:$AB$65536</definedName>
    <definedName name="DCF_EY26" localSheetId="9">[7]DCF_VDF!$AC$1:$AC$65536</definedName>
    <definedName name="DCF_EY26" localSheetId="8">[5]DCF_VDF!$AC$1:$AC$65536</definedName>
    <definedName name="DCF_EY26">[6]DCF_VDF!$AC$1:$AC$65536</definedName>
    <definedName name="DCF_EY3" localSheetId="9">[4]DCF_VDF!$F$1:$F$65536</definedName>
    <definedName name="DCF_EY3" localSheetId="8">[5]DCF_VDF!$F$1:$F$65536</definedName>
    <definedName name="DCF_EY3">[6]DCF_VDF!$F$1:$F$65536</definedName>
    <definedName name="DCF_EY4" localSheetId="9">[4]DCF_VDF!$G$1:$G$65536</definedName>
    <definedName name="DCF_EY4" localSheetId="8">[5]DCF_VDF!$G$1:$G$65536</definedName>
    <definedName name="DCF_EY4">[6]DCF_VDF!$G$1:$G$65536</definedName>
    <definedName name="DCF_EY5" localSheetId="9">[4]DCF_VDF!$H$1:$H$65536</definedName>
    <definedName name="DCF_EY5" localSheetId="8">[5]DCF_VDF!$H$1:$H$65536</definedName>
    <definedName name="DCF_EY5">[6]DCF_VDF!$H$1:$H$65536</definedName>
    <definedName name="DCF_EY6" localSheetId="9">[4]DCF_VDF!$I$1:$I$65536</definedName>
    <definedName name="DCF_EY6" localSheetId="8">[5]DCF_VDF!$I$1:$I$65536</definedName>
    <definedName name="DCF_EY6">[6]DCF_VDF!$I$1:$I$65536</definedName>
    <definedName name="DCF_EY7" localSheetId="9">[4]DCF_VDF!$J$1:$J$65536</definedName>
    <definedName name="DCF_EY7" localSheetId="8">[5]DCF_VDF!$J$1:$J$65536</definedName>
    <definedName name="DCF_EY7">[6]DCF_VDF!$J$1:$J$65536</definedName>
    <definedName name="DCF_EY8" localSheetId="9">[4]DCF_VDF!$K$1:$K$65536</definedName>
    <definedName name="DCF_EY8" localSheetId="8">[5]DCF_VDF!$K$1:$K$65536</definedName>
    <definedName name="DCF_EY8">[6]DCF_VDF!$K$1:$K$65536</definedName>
    <definedName name="DCF_EY9" localSheetId="9">[4]DCF_VDF!$L$1:$L$65536</definedName>
    <definedName name="DCF_EY9" localSheetId="8">[5]DCF_VDF!$L$1:$L$65536</definedName>
    <definedName name="DCF_EY9">[6]DCF_VDF!$L$1:$L$65536</definedName>
    <definedName name="DCF_P" localSheetId="9">[4]DCF_VDF!$C$1:$C$65536</definedName>
    <definedName name="DCF_P" localSheetId="8">[5]DCF_VDF!$C$1:$C$65536</definedName>
    <definedName name="DCF_P">[6]DCF_VDF!$C$1:$C$65536</definedName>
    <definedName name="DDD" localSheetId="10" hidden="1">{"'Inventory &amp; Anal-Cur Wkbk'!$A$7:$AP$71"}</definedName>
    <definedName name="DDD" hidden="1">{"'Inventory &amp; Anal-Cur Wkbk'!$A$7:$AP$71"}</definedName>
    <definedName name="Debt_growth" localSheetId="9">[4]NOPAT_VDF!$M$153:$Q$153</definedName>
    <definedName name="Debt_growth" localSheetId="8">[5]NOPAT_VDF!$M$153:$Q$153</definedName>
    <definedName name="Debt_growth">[6]NOPAT_VDF!$M$153:$Q$153</definedName>
    <definedName name="Debt_Market_Cap_Ratio" localSheetId="9">#REF!</definedName>
    <definedName name="Debt_Market_Cap_Ratio" localSheetId="3">#REF!</definedName>
    <definedName name="Debt_Market_Cap_Ratio">#REF!</definedName>
    <definedName name="Deferred_tax_asset" localSheetId="9">'[7]Invested capital_VDF'!$C$10:$AU$10</definedName>
    <definedName name="Deferred_tax_asset" localSheetId="8">'[5]Invested capital_VDF'!$C$10:$AU$10</definedName>
    <definedName name="Deferred_tax_asset">'[6]Invested capital_VDF'!$C$10:$AU$10</definedName>
    <definedName name="Deferred_tax_asset_growth_fore" localSheetId="9">[4]Forecasts_VDF!$H$161:$K$161</definedName>
    <definedName name="Deferred_tax_asset_growth_fore" localSheetId="8">[5]Forecasts_VDF!$H$161:$K$161</definedName>
    <definedName name="Deferred_tax_asset_growth_fore">[6]Forecasts_VDF!$H$161:$K$161</definedName>
    <definedName name="Deferred_tax_liability" localSheetId="9">'[7]Invested capital_VDF'!$C$63:$AU$63</definedName>
    <definedName name="Deferred_tax_liability" localSheetId="8">'[5]Invested capital_VDF'!$C$63:$AU$63</definedName>
    <definedName name="Deferred_tax_liability">'[6]Invested capital_VDF'!$C$63:$AU$63</definedName>
    <definedName name="Deferred_tax_liability_growth_fore" localSheetId="9">[4]Forecasts_VDF!$H$167:$K$167</definedName>
    <definedName name="Deferred_tax_liability_growth_fore" localSheetId="8">[5]Forecasts_VDF!$H$167:$K$167</definedName>
    <definedName name="Deferred_tax_liability_growth_fore">[6]Forecasts_VDF!$H$167:$K$167</definedName>
    <definedName name="Deferred_taxes" localSheetId="9">'[7]Invested capital_VDF'!$C$63:$AE$63</definedName>
    <definedName name="Deferred_taxes" localSheetId="8">'[5]Invested capital_VDF'!$C$63:$AE$63</definedName>
    <definedName name="Deferred_taxes">'[6]Invested capital_VDF'!$C$63:$AE$63</definedName>
    <definedName name="delete_this" hidden="1">#REF!</definedName>
    <definedName name="delete_this_2" hidden="1">#REF!</definedName>
    <definedName name="delete_this_3" hidden="1">#REF!</definedName>
    <definedName name="delete_this_4" hidden="1">#REF!</definedName>
    <definedName name="delete_this_5" hidden="1">#REF!</definedName>
    <definedName name="delete_this_6" hidden="1">#REF!</definedName>
    <definedName name="delete_this_8" hidden="1">#REF!</definedName>
    <definedName name="delete_this_9" hidden="1">#REF!</definedName>
    <definedName name="Dep_and_Amort" localSheetId="9">[4]NOPAT_VDF!$C$100:$AU$100</definedName>
    <definedName name="Dep_and_Amort" localSheetId="8">[5]NOPAT_VDF!$C$100:$AU$100</definedName>
    <definedName name="Dep_and_Amort">[6]NOPAT_VDF!$C$100:$AU$100</definedName>
    <definedName name="Dep_margin_fore" localSheetId="9">[6]Forecasts_VDF!#REF!</definedName>
    <definedName name="Dep_margin_fore" localSheetId="8">[5]Forecasts_VDF!#REF!</definedName>
    <definedName name="Dep_margin_fore" localSheetId="11">[6]Forecasts_VDF!#REF!</definedName>
    <definedName name="Dep_margin_fore" localSheetId="10">[6]Forecasts_VDF!#REF!</definedName>
    <definedName name="Dep_margin_fore" localSheetId="3">[6]Forecasts_VDF!#REF!</definedName>
    <definedName name="Dep_margin_fore">[6]Forecasts_VDF!#REF!</definedName>
    <definedName name="Depreciation" localSheetId="9">[4]NOPAT_VDF!$C$104:$AE$104</definedName>
    <definedName name="Depreciation" localSheetId="8">[5]NOPAT_VDF!$C$104:$AE$104</definedName>
    <definedName name="Depreciation">[6]NOPAT_VDF!$C$104:$AE$104</definedName>
    <definedName name="Depreciation_fore" localSheetId="9">[4]Forecasts_VDF!$E$14:$G$14</definedName>
    <definedName name="Depreciation_fore" localSheetId="8">[5]Forecasts_VDF!$E$14:$G$14</definedName>
    <definedName name="Depreciation_fore">[6]Forecasts_VDF!$E$14:$G$14</definedName>
    <definedName name="Depreciation_margin" localSheetId="9">[7]NOPAT_VDF!$C$115:$AU$115</definedName>
    <definedName name="Depreciation_margin" localSheetId="8">[5]NOPAT_VDF!$C$115:$AU$115</definedName>
    <definedName name="Depreciation_margin">[6]NOPAT_VDF!$C$115:$AU$115</definedName>
    <definedName name="derm.other.total" localSheetId="9">[3]BMY!#REF!</definedName>
    <definedName name="derm.other.total" localSheetId="11">[3]BMY!#REF!</definedName>
    <definedName name="derm.other.total" localSheetId="10">[3]BMY!#REF!</definedName>
    <definedName name="derm.other.total" localSheetId="3">[3]BMY!#REF!</definedName>
    <definedName name="derm.other.total">[3]BMY!#REF!</definedName>
    <definedName name="Detail1" localSheetId="9">[21]Financial!$A$141:$K$174</definedName>
    <definedName name="Detail1">[21]Financial!$A$141:$K$174</definedName>
    <definedName name="dfgds" hidden="1">38922.8233796296</definedName>
    <definedName name="DI" localSheetId="9">[15]cmp!#REF!</definedName>
    <definedName name="DI">[15]cmp!#REF!</definedName>
    <definedName name="DIL_EPS" localSheetId="9">[22]IS!$A$27:$IV$27</definedName>
    <definedName name="DIL_EPS">[23]IS!$A$33:$IV$33</definedName>
    <definedName name="DIL_SHS" localSheetId="9">[22]IS!$A$24:$IV$24</definedName>
    <definedName name="DIL_SHS" localSheetId="8">[24]IS!$A$24:$IV$24</definedName>
    <definedName name="DIL_SHS">[23]IS!$A$30:$IV$30</definedName>
    <definedName name="Dilution_factor" localSheetId="9">'[7]Income Statement_VDF'!$S$62</definedName>
    <definedName name="Dilution_factor" localSheetId="8">'[5]Income Statement_VDF'!$S$62</definedName>
    <definedName name="Dilution_factor">'[6]Income Statement_VDF'!$S$62</definedName>
    <definedName name="DnA_fore" localSheetId="9">[4]Forecasts_VDF!$E$16:$N$16</definedName>
    <definedName name="DnA_fore" localSheetId="8">[5]Forecasts_VDF!$E$16:$N$16</definedName>
    <definedName name="DnA_fore">[6]Forecasts_VDF!$E$16:$N$16</definedName>
    <definedName name="DnA_growth_fore" localSheetId="9">[4]Forecasts_VDF!$H$145:$K$145</definedName>
    <definedName name="DnA_growth_fore" localSheetId="8">[5]Forecasts_VDF!$H$145:$K$145</definedName>
    <definedName name="DnA_growth_fore">[6]Forecasts_VDF!$H$145:$K$145</definedName>
    <definedName name="DPS_Curr_Yr" localSheetId="9">#REF!</definedName>
    <definedName name="DPS_Curr_Yr" localSheetId="11">#REF!</definedName>
    <definedName name="DPS_Curr_Yr" localSheetId="10">#REF!</definedName>
    <definedName name="DPS_Curr_Yr">#REF!</definedName>
    <definedName name="DPS_Lst_Yr" localSheetId="9">#REF!</definedName>
    <definedName name="DPS_Lst_Yr">#REF!</definedName>
    <definedName name="DPS_Next_Yr" localSheetId="9">#REF!</definedName>
    <definedName name="DPS_Next_Yr">#REF!</definedName>
    <definedName name="EBIT" localSheetId="9">[4]NOPAT_VDF!$C$17:$AZ$17</definedName>
    <definedName name="EBIT" localSheetId="8">[5]NOPAT_VDF!$C$17:$AZ$17</definedName>
    <definedName name="EBIT">[6]NOPAT_VDF!$C$17:$AZ$17</definedName>
    <definedName name="EBIT_fore" localSheetId="9">[4]Forecasts_VDF!$E$13:$G$13</definedName>
    <definedName name="EBIT_fore" localSheetId="8">[5]Forecasts_VDF!$E$13:$G$13</definedName>
    <definedName name="EBIT_fore">[6]Forecasts_VDF!$E$13:$G$13</definedName>
    <definedName name="EBIT_growth" localSheetId="9">[7]NOPAT_VDF!$C$142:$AU$142</definedName>
    <definedName name="EBIT_growth" localSheetId="8">[5]NOPAT_VDF!$C$142:$AU$142</definedName>
    <definedName name="EBIT_growth">[6]NOPAT_VDF!$C$142:$AU$142</definedName>
    <definedName name="EBIT_margin" localSheetId="9">[4]NOPAT_VDF!$C$111:$AU$111</definedName>
    <definedName name="EBIT_margin" localSheetId="8">[5]NOPAT_VDF!$C$111:$AU$111</definedName>
    <definedName name="EBIT_margin">[6]NOPAT_VDF!$C$111:$AU$111</definedName>
    <definedName name="EBIT_margin_fore" localSheetId="9">[6]Forecasts_VDF!#REF!</definedName>
    <definedName name="EBIT_margin_fore" localSheetId="8">[5]Forecasts_VDF!#REF!</definedName>
    <definedName name="EBIT_margin_fore" localSheetId="11">[6]Forecasts_VDF!#REF!</definedName>
    <definedName name="EBIT_margin_fore" localSheetId="10">[6]Forecasts_VDF!#REF!</definedName>
    <definedName name="EBIT_margin_fore" localSheetId="3">[6]Forecasts_VDF!#REF!</definedName>
    <definedName name="EBIT_margin_fore">[6]Forecasts_VDF!#REF!</definedName>
    <definedName name="EBITA" localSheetId="9">[4]NOPAT_VDF!$C$101:$AZ$101</definedName>
    <definedName name="EBITA" localSheetId="8">[5]NOPAT_VDF!$C$101:$AZ$101</definedName>
    <definedName name="EBITA">[6]NOPAT_VDF!$C$101:$AZ$101</definedName>
    <definedName name="EBITA_fore" localSheetId="9">[4]Forecasts_VDF!$E$19:$X$19</definedName>
    <definedName name="EBITA_fore" localSheetId="8">[5]Forecasts_VDF!$E$19:$X$19</definedName>
    <definedName name="EBITA_fore">[6]Forecasts_VDF!$E$19:$X$19</definedName>
    <definedName name="EBITDA" localSheetId="9">[4]NOPAT_VDF!$C$102:$AE$102</definedName>
    <definedName name="EBITDA" localSheetId="8">[5]NOPAT_VDF!$C$102:$AE$102</definedName>
    <definedName name="EBITDA">[6]NOPAT_VDF!$C$102:$AE$102</definedName>
    <definedName name="EBITDA_DCF" localSheetId="9">[4]DCF_VDF!$C$15:$AZ$15</definedName>
    <definedName name="EBITDA_DCF" localSheetId="8">[5]DCF_VDF!$C$15:$AZ$15</definedName>
    <definedName name="EBITDA_DCF">[6]DCF_VDF!$C$15:$AZ$15</definedName>
    <definedName name="EBITDA_fore" localSheetId="9">[4]Forecasts_VDF!$E$17:$AW$17</definedName>
    <definedName name="EBITDA_fore" localSheetId="8">[5]Forecasts_VDF!$E$17:$AW$17</definedName>
    <definedName name="EBITDA_fore">[6]Forecasts_VDF!$E$17:$AW$17</definedName>
    <definedName name="EBITDA_growth" localSheetId="9">[7]NOPAT_VDF!$C$143:$AU$143</definedName>
    <definedName name="EBITDA_growth" localSheetId="8">[5]NOPAT_VDF!$C$143:$AU$143</definedName>
    <definedName name="EBITDA_growth">[6]NOPAT_VDF!$C$143:$AU$143</definedName>
    <definedName name="EBITDA_growth_avg" localSheetId="9">[6]NOPAT_VDF!#REF!</definedName>
    <definedName name="EBITDA_growth_avg" localSheetId="8">[5]NOPAT_VDF!#REF!</definedName>
    <definedName name="EBITDA_growth_avg" localSheetId="11">[6]NOPAT_VDF!#REF!</definedName>
    <definedName name="EBITDA_growth_avg" localSheetId="10">[6]NOPAT_VDF!#REF!</definedName>
    <definedName name="EBITDA_growth_avg" localSheetId="3">[6]NOPAT_VDF!#REF!</definedName>
    <definedName name="EBITDA_growth_avg">[6]NOPAT_VDF!#REF!</definedName>
    <definedName name="EBITDA_margin" localSheetId="9">[4]NOPAT_VDF!$C$109:$AZ$109</definedName>
    <definedName name="EBITDA_margin" localSheetId="8">[5]NOPAT_VDF!$C$109:$AZ$109</definedName>
    <definedName name="EBITDA_margin">[6]NOPAT_VDF!$C$109:$AZ$109</definedName>
    <definedName name="EBITDA_margin_fore" localSheetId="9">[4]Forecasts_VDF!$H$61:$K$61</definedName>
    <definedName name="EBITDA_margin_fore" localSheetId="8">[5]Forecasts_VDF!$H$61:$K$61</definedName>
    <definedName name="EBITDA_margin_fore">[6]Forecasts_VDF!$H$61:$K$61</definedName>
    <definedName name="EBITDA_Share" localSheetId="9">[6]NOPAT_VDF!#REF!</definedName>
    <definedName name="EBITDA_Share" localSheetId="8">[5]NOPAT_VDF!#REF!</definedName>
    <definedName name="EBITDA_Share" localSheetId="11">[6]NOPAT_VDF!#REF!</definedName>
    <definedName name="EBITDA_Share" localSheetId="10">[6]NOPAT_VDF!#REF!</definedName>
    <definedName name="EBITDA_Share" localSheetId="3">[6]NOPAT_VDF!#REF!</definedName>
    <definedName name="EBITDA_Share">[6]NOPAT_VDF!#REF!</definedName>
    <definedName name="Economic_book_value" localSheetId="9">'[7]Summary Page_VDF'!$C$12</definedName>
    <definedName name="Economic_book_value" localSheetId="8">'[5]Summary Page_VDF'!$C$12</definedName>
    <definedName name="Economic_book_value">'[6]Summary Page_VDF'!$C$12</definedName>
    <definedName name="Economic_profit" localSheetId="9">[7]NOPAT_VDF!$C$124:$AZ$124</definedName>
    <definedName name="Economic_profit" localSheetId="8">[5]NOPAT_VDF!$C$124:$AZ$124</definedName>
    <definedName name="Economic_profit">[6]NOPAT_VDF!$C$124:$AZ$124</definedName>
    <definedName name="Economic_profit_dcf" localSheetId="9">[7]DCF_VDF!$C$48:$BZ$48</definedName>
    <definedName name="Economic_profit_dcf">[6]DCF_VDF!$C$48:$BZ$48</definedName>
    <definedName name="economic_profit2" localSheetId="9">[7]DCF_VDF!$A$51:$IV$51</definedName>
    <definedName name="economic_profit2">[6]DCF_VDF!$A$51:$IV$51</definedName>
    <definedName name="Effective_tax_rate" localSheetId="9">'[7]Income Statement_VDF'!$D$49:$S$49</definedName>
    <definedName name="Effective_tax_rate">'[6]Income Statement_VDF'!$D$49:$S$49</definedName>
    <definedName name="EN" localSheetId="9">[15]cmp!#REF!</definedName>
    <definedName name="EN">[15]cmp!#REF!</definedName>
    <definedName name="ENHANCEdass" localSheetId="9">[25]LLY!#REF!</definedName>
    <definedName name="ENHANCEdass" localSheetId="3">[25]LLY!#REF!</definedName>
    <definedName name="ENHANCEdass">[25]LLY!#REF!</definedName>
    <definedName name="Enrollment_summary" localSheetId="9">#REF!</definedName>
    <definedName name="Enrollment_summary" localSheetId="8">#REF!</definedName>
    <definedName name="Enrollment_summary" localSheetId="3">#REF!</definedName>
    <definedName name="Enrollment_summary">#REF!</definedName>
    <definedName name="Enterprise_value" localSheetId="9">'[7]Summary Page_VDF'!$F$9</definedName>
    <definedName name="Enterprise_value" localSheetId="8">'[5]Summary Page_VDF'!$F$9</definedName>
    <definedName name="Enterprise_value">'[6]Summary Page_VDF'!$F$9</definedName>
    <definedName name="EOK" localSheetId="9">#REF!</definedName>
    <definedName name="EOK" localSheetId="8">#REF!</definedName>
    <definedName name="EOK" localSheetId="3">#REF!</definedName>
    <definedName name="EOK">#REF!</definedName>
    <definedName name="EPS" localSheetId="9">[4]NOPAT_VDF!$C$96:$AU$96</definedName>
    <definedName name="EPS">[6]NOPAT_VDF!$C$96:$AU$96</definedName>
    <definedName name="EPS_1996" localSheetId="9">'[7]Summary Page_VDF'!$G$20</definedName>
    <definedName name="EPS_1996" localSheetId="8">'[5]Summary Page_VDF'!$G$20</definedName>
    <definedName name="EPS_1996">'[6]Summary Page_VDF'!$G$20</definedName>
    <definedName name="EPS_1997" localSheetId="9">'[7]Summary Page_VDF'!$G$19</definedName>
    <definedName name="EPS_1997" localSheetId="8">'[5]Summary Page_VDF'!$G$19</definedName>
    <definedName name="EPS_1997">'[6]Summary Page_VDF'!$G$19</definedName>
    <definedName name="EPS_Curr_Qtr" localSheetId="9">#REF!</definedName>
    <definedName name="EPS_Curr_Qtr" localSheetId="11">#REF!</definedName>
    <definedName name="EPS_Curr_Qtr" localSheetId="10">#REF!</definedName>
    <definedName name="EPS_Curr_Qtr">#REF!</definedName>
    <definedName name="EPS_Curr_Yr" localSheetId="9">#REF!</definedName>
    <definedName name="EPS_Curr_Yr">#REF!</definedName>
    <definedName name="EPS_growth" localSheetId="9">[7]NOPAT_VDF!$C$150:$AU$150</definedName>
    <definedName name="EPS_growth">[6]NOPAT_VDF!$C$150:$AU$150</definedName>
    <definedName name="EPS_growth_avg" localSheetId="9">[6]NOPAT_VDF!#REF!</definedName>
    <definedName name="EPS_growth_avg" localSheetId="8">[5]NOPAT_VDF!#REF!</definedName>
    <definedName name="EPS_growth_avg" localSheetId="11">[6]NOPAT_VDF!#REF!</definedName>
    <definedName name="EPS_growth_avg" localSheetId="10">[6]NOPAT_VDF!#REF!</definedName>
    <definedName name="EPS_growth_avg" localSheetId="3">[6]NOPAT_VDF!#REF!</definedName>
    <definedName name="EPS_growth_avg">[6]NOPAT_VDF!#REF!</definedName>
    <definedName name="EPS_Growth_Rate" localSheetId="9">#REF!</definedName>
    <definedName name="EPS_Growth_Rate" localSheetId="11">#REF!</definedName>
    <definedName name="EPS_Growth_Rate" localSheetId="10">#REF!</definedName>
    <definedName name="EPS_Growth_Rate">#REF!</definedName>
    <definedName name="EPS_Lst_Yr" localSheetId="9">#REF!</definedName>
    <definedName name="EPS_Lst_Yr">#REF!</definedName>
    <definedName name="EPS_Next_Yr" localSheetId="9">#REF!</definedName>
    <definedName name="EPS_Next_Yr">#REF!</definedName>
    <definedName name="EPS_Qtr_Date" localSheetId="9">#REF!</definedName>
    <definedName name="EPS_Qtr_Date">#REF!</definedName>
    <definedName name="Equity_Equivalents" localSheetId="9">'[7]Invested capital_VDF'!$C$70:$AE$70</definedName>
    <definedName name="Equity_Equivalents" localSheetId="8">'[5]Invested capital_VDF'!$C$70:$AE$70</definedName>
    <definedName name="Equity_Equivalents">'[6]Invested capital_VDF'!$C$70:$AE$70</definedName>
    <definedName name="Equity_risk_premium" localSheetId="9">[7]WACC_VDF!$D$9</definedName>
    <definedName name="Equity_risk_premium" localSheetId="8">[5]WACC_VDF!$D$9</definedName>
    <definedName name="Equity_risk_premium">[6]WACC_VDF!$D$9</definedName>
    <definedName name="Equity_Ticker" localSheetId="9">#REF!</definedName>
    <definedName name="Equity_Ticker" localSheetId="11">#REF!</definedName>
    <definedName name="Equity_Ticker" localSheetId="10">#REF!</definedName>
    <definedName name="Equity_Ticker">#REF!</definedName>
    <definedName name="ESV" localSheetId="9">[15]cmp!#REF!</definedName>
    <definedName name="ESV" localSheetId="11">[15]cmp!#REF!</definedName>
    <definedName name="ESV" localSheetId="10">[15]cmp!#REF!</definedName>
    <definedName name="ESV">[15]cmp!#REF!</definedName>
    <definedName name="EU_PMI">OFFSET('[16]PMI Data'!$H$5,0,0,COUNTA('[16]PMI Data'!$H$6:$H$6000)+1,2)</definedName>
    <definedName name="ev.Calculation" hidden="1">-4105</definedName>
    <definedName name="ev.Initialized" hidden="1">FALSE</definedName>
    <definedName name="EV__EXPOPTIONS__" hidden="1">0</definedName>
    <definedName name="EV__LASTREFTIME__" hidden="1">39578.7150694444</definedName>
    <definedName name="EV__MAXEXPCOLS__" hidden="1">100</definedName>
    <definedName name="EV__MAXEXPROWS__" hidden="1">1000</definedName>
    <definedName name="EV__MEMORYCVW__" hidden="1">0</definedName>
    <definedName name="EV__WBEVMODE__" hidden="1">0</definedName>
    <definedName name="EV__WBREFOPTIONS__" hidden="1">134217751</definedName>
    <definedName name="EV__WBVERSION__" hidden="1">0</definedName>
    <definedName name="ExactAddinConnection" hidden="1">"001"</definedName>
    <definedName name="ExactAddinConnection.001" hidden="1">"corp-es-db;001;mike.wolnik;1"</definedName>
    <definedName name="ExactAddinConnection.010" hidden="1">"corp-es-db;001;gary.bristow;1"</definedName>
    <definedName name="ExactAddinConnection.050" hidden="1">"corp-es-db;050;gary.bristow;1"</definedName>
    <definedName name="Excess_cash" localSheetId="9">'[4]Invested capital_VDF'!$C$5:$AE$5</definedName>
    <definedName name="Excess_cash" localSheetId="8">'[5]Invested capital_VDF'!$C$5:$AE$5</definedName>
    <definedName name="Excess_cash">'[6]Invested capital_VDF'!$C$5:$AE$5</definedName>
    <definedName name="Expl_forecast_10th_yr" localSheetId="9">#REF!</definedName>
    <definedName name="Expl_forecast_10th_yr" localSheetId="8">#REF!</definedName>
    <definedName name="Expl_forecast_10th_yr" localSheetId="3">#REF!</definedName>
    <definedName name="Expl_forecast_10th_yr">#REF!</definedName>
    <definedName name="Expl_forecast_1st_yr" localSheetId="9">[4]Forecasts_VDF!$E$1:$E$65536</definedName>
    <definedName name="Expl_forecast_1st_yr" localSheetId="8">[5]Forecasts_VDF!$E$1:$E$65536</definedName>
    <definedName name="Expl_forecast_1st_yr">[6]Forecasts_VDF!$E$1:$E$65536</definedName>
    <definedName name="Expl_forecast_2nd_yr" localSheetId="9">[4]Forecasts_VDF!$F$1:$F$65536</definedName>
    <definedName name="Expl_forecast_2nd_yr" localSheetId="8">[5]Forecasts_VDF!$F$1:$F$65536</definedName>
    <definedName name="Expl_forecast_2nd_yr">[6]Forecasts_VDF!$F$1:$F$65536</definedName>
    <definedName name="Expl_forecast_3rd_yr" localSheetId="9">[4]Forecasts_VDF!$G$1:$G$65536</definedName>
    <definedName name="Expl_forecast_3rd_yr" localSheetId="8">[5]Forecasts_VDF!$G$1:$G$65536</definedName>
    <definedName name="Expl_forecast_3rd_yr">[6]Forecasts_VDF!$G$1:$G$65536</definedName>
    <definedName name="Expl_forecast_4th_yr" localSheetId="9">#REF!</definedName>
    <definedName name="Expl_forecast_4th_yr" localSheetId="3">#REF!</definedName>
    <definedName name="Expl_forecast_4th_yr">#REF!</definedName>
    <definedName name="Expl_forecast_5th_yr" localSheetId="9">#REF!</definedName>
    <definedName name="Expl_forecast_5th_yr" localSheetId="3">#REF!</definedName>
    <definedName name="Expl_forecast_5th_yr">#REF!</definedName>
    <definedName name="Expl_forecast_6th_yr" localSheetId="9">#REF!</definedName>
    <definedName name="Expl_forecast_6th_yr" localSheetId="3">#REF!</definedName>
    <definedName name="Expl_forecast_6th_yr">#REF!</definedName>
    <definedName name="Expl_forecast_7th_yr" localSheetId="3">#REF!</definedName>
    <definedName name="Expl_forecast_7th_yr">#REF!</definedName>
    <definedName name="Expl_forecast_8th_yr" localSheetId="3">#REF!</definedName>
    <definedName name="Expl_forecast_8th_yr">#REF!</definedName>
    <definedName name="Expl_forecast_9th_yr" localSheetId="3">#REF!</definedName>
    <definedName name="Expl_forecast_9th_yr">#REF!</definedName>
    <definedName name="f" localSheetId="9" hidden="1">{"PR1","pr1",TRUE,"Sch PR-1"}</definedName>
    <definedName name="f" localSheetId="8" hidden="1">{"PR1","pr1",TRUE,"Sch PR-1"}</definedName>
    <definedName name="f" localSheetId="11" hidden="1">{"PR1","pr1",TRUE,"Sch PR-1"}</definedName>
    <definedName name="f" localSheetId="10" hidden="1">{"PR1","pr1",TRUE,"Sch PR-1"}</definedName>
    <definedName name="f" localSheetId="3" hidden="1">{"PR1","pr1",TRUE,"Sch PR-1"}</definedName>
    <definedName name="f" hidden="1">{"PR1","pr1",TRUE,"Sch PR-1"}</definedName>
    <definedName name="F.2002" localSheetId="9">[22]IS!$T$1:$T$65536</definedName>
    <definedName name="F.2002" localSheetId="8">[24]IS!$T$1:$T$65536</definedName>
    <definedName name="F.2002">[23]IS!$T$1:$T$65536</definedName>
    <definedName name="F.2003" localSheetId="9">[22]IS!$Z$1:$Z$65536</definedName>
    <definedName name="F.2003" localSheetId="8">[24]IS!$Z$1:$Z$65536</definedName>
    <definedName name="F.2003">[23]IS!$Z$1:$Z$65536</definedName>
    <definedName name="F.2004" localSheetId="9">[22]IS!$AF$1:$AF$65536</definedName>
    <definedName name="F.2004">[23]IS!$AF$1:$AF$65536</definedName>
    <definedName name="F.2005" localSheetId="9">[22]IS!$AL$1:$AL$65536</definedName>
    <definedName name="F.2005">[23]IS!$AL$1:$AL$65536</definedName>
    <definedName name="F.2006" localSheetId="9">[22]IS!$AR$1:$AR$65536</definedName>
    <definedName name="F.2006">[23]IS!$AR$1:$AR$65536</definedName>
    <definedName name="F.2007" localSheetId="9">[22]IS!$AX$1:$AX$65536</definedName>
    <definedName name="F.2007" localSheetId="8">[26]IS!$AX$1:$AX$65536</definedName>
    <definedName name="F.2007" localSheetId="11">#REF!</definedName>
    <definedName name="F.2007" localSheetId="10">#REF!</definedName>
    <definedName name="F.2007" localSheetId="3">#REF!</definedName>
    <definedName name="F.2007">#REF!</definedName>
    <definedName name="F.2008" localSheetId="9">[22]IS!$BD$1:$BD$65536</definedName>
    <definedName name="F.2008" localSheetId="8">[24]IS!$BD$1:$BD$65536</definedName>
    <definedName name="F.2008">[27]IS!$BD$1:$BD$65536</definedName>
    <definedName name="FAS_EPS" localSheetId="9">[22]IS!$A$28:$IV$28</definedName>
    <definedName name="FAS_EPS" localSheetId="8">[28]IS!#REF!</definedName>
    <definedName name="FAS_EPS">[23]IS!$A$34:$IV$34</definedName>
    <definedName name="fasdfs" localSheetId="9" hidden="1">{#N/A,#N/A,FALSE,"Aging Summary";#N/A,#N/A,FALSE,"Ratio Analysis";#N/A,#N/A,FALSE,"Test 120 Day Accts";#N/A,#N/A,FALSE,"Tickmarks"}</definedName>
    <definedName name="fasdfs" localSheetId="8" hidden="1">{#N/A,#N/A,FALSE,"Aging Summary";#N/A,#N/A,FALSE,"Ratio Analysis";#N/A,#N/A,FALSE,"Test 120 Day Accts";#N/A,#N/A,FALSE,"Tickmarks"}</definedName>
    <definedName name="fasdfs" localSheetId="11" hidden="1">{#N/A,#N/A,FALSE,"Aging Summary";#N/A,#N/A,FALSE,"Ratio Analysis";#N/A,#N/A,FALSE,"Test 120 Day Accts";#N/A,#N/A,FALSE,"Tickmarks"}</definedName>
    <definedName name="fasdfs" localSheetId="10" hidden="1">{#N/A,#N/A,FALSE,"Aging Summary";#N/A,#N/A,FALSE,"Ratio Analysis";#N/A,#N/A,FALSE,"Test 120 Day Accts";#N/A,#N/A,FALSE,"Tickmarks"}</definedName>
    <definedName name="fasdfs" localSheetId="3" hidden="1">{#N/A,#N/A,FALSE,"Aging Summary";#N/A,#N/A,FALSE,"Ratio Analysis";#N/A,#N/A,FALSE,"Test 120 Day Accts";#N/A,#N/A,FALSE,"Tickmarks"}</definedName>
    <definedName name="fasdfs" hidden="1">{#N/A,#N/A,FALSE,"Aging Summary";#N/A,#N/A,FALSE,"Ratio Analysis";#N/A,#N/A,FALSE,"Test 120 Day Accts";#N/A,#N/A,FALSE,"Tickmarks"}</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inancial.trends" localSheetId="11">[25]LLY!#REF!</definedName>
    <definedName name="financial.trends" localSheetId="10">[25]LLY!#REF!</definedName>
    <definedName name="financial.trends">[25]LLY!#REF!</definedName>
    <definedName name="Finding_Costs" localSheetId="9">#REF!</definedName>
    <definedName name="Finding_Costs" localSheetId="11">#REF!</definedName>
    <definedName name="Finding_Costs" localSheetId="10">#REF!</definedName>
    <definedName name="Finding_Costs">#REF!</definedName>
    <definedName name="firm">[17]AMETEK!$A$5</definedName>
    <definedName name="first" localSheetId="9">#REF!</definedName>
    <definedName name="first" localSheetId="11">#REF!</definedName>
    <definedName name="first" localSheetId="10">#REF!</definedName>
    <definedName name="first" localSheetId="3">#REF!</definedName>
    <definedName name="first">#REF!</definedName>
    <definedName name="firstpage" localSheetId="9">#REF!</definedName>
    <definedName name="firstpage" localSheetId="3">#REF!</definedName>
    <definedName name="firstpage">#REF!</definedName>
    <definedName name="Fixed_asset_turns" localSheetId="9">'[4]Invested capital_VDF'!$C$99:$AU$99</definedName>
    <definedName name="Fixed_asset_turns" localSheetId="8">'[5]Invested capital_VDF'!$C$99:$AU$99</definedName>
    <definedName name="Fixed_asset_turns">'[6]Invested capital_VDF'!$C$99:$AU$99</definedName>
    <definedName name="Fixed_asset_turns_DCF" localSheetId="9">[7]DCF_VDF!$C$81:$AZ$81</definedName>
    <definedName name="Fixed_asset_turns_DCF" localSheetId="8">[5]DCF_VDF!$C$81:$AZ$81</definedName>
    <definedName name="Fixed_asset_turns_DCF">[6]DCF_VDF!$C$81:$AZ$81</definedName>
    <definedName name="Fixed_asset_turns_fore" localSheetId="9">[4]Forecasts_VDF!$B$78:$K$78</definedName>
    <definedName name="Fixed_asset_turns_fore" localSheetId="8">[5]Forecasts_VDF!$B$78:$K$78</definedName>
    <definedName name="Fixed_asset_turns_fore">[6]Forecasts_VDF!$B$78:$K$78</definedName>
    <definedName name="Fixed_assets" localSheetId="9">'[4]Invested capital_VDF'!$C$43:$AE$43</definedName>
    <definedName name="Fixed_assets" localSheetId="8">'[5]Invested capital_VDF'!$C$43:$AE$43</definedName>
    <definedName name="Fixed_assets">'[6]Invested capital_VDF'!$C$43:$AE$43</definedName>
    <definedName name="Fixed_assets_DCF" localSheetId="9">[7]DCF_VDF!$C$75:$AZ$75</definedName>
    <definedName name="Fixed_assets_DCF" localSheetId="8">[5]DCF_VDF!$C$75:$AZ$75</definedName>
    <definedName name="Fixed_assets_DCF">[6]DCF_VDF!$C$75:$AZ$75</definedName>
    <definedName name="ForecastVersion" localSheetId="9">#REF!</definedName>
    <definedName name="ForecastVersion" localSheetId="8">#REF!</definedName>
    <definedName name="ForecastVersion" localSheetId="3">#REF!</definedName>
    <definedName name="ForecastVersion">#REF!</definedName>
    <definedName name="Formatted" localSheetId="9" hidden="1">{"'Sheet1'!$A$1:$F$101"}</definedName>
    <definedName name="Formatted" localSheetId="11" hidden="1">{"'Sheet1'!$A$1:$F$101"}</definedName>
    <definedName name="Formatted" localSheetId="10" hidden="1">{"'Sheet1'!$A$1:$F$101"}</definedName>
    <definedName name="Formatted" hidden="1">{"'Sheet1'!$A$1:$F$101"}</definedName>
    <definedName name="France_PMI">OFFSET('[16]PMI Data'!$J$5,0,0,COUNTA('[16]PMI Data'!$J$6:$J$6000)+1,2)</definedName>
    <definedName name="Free_cash_flow" localSheetId="9">[7]DCF_VDF!$C$23:$AZ$23</definedName>
    <definedName name="Free_cash_flow" localSheetId="8">[5]DCF_VDF!$C$23:$AZ$23</definedName>
    <definedName name="Free_cash_flow">[6]DCF_VDF!$C$23:$AZ$23</definedName>
    <definedName name="fsdbdf" hidden="1">"c330"</definedName>
    <definedName name="Germany_PMI">OFFSET('[16]PMI Data'!$L$5,0,0,COUNTA('[16]PMI Data'!$L$6:$L$6000)+1,2)</definedName>
    <definedName name="GLM" localSheetId="9">[15]cmp!#REF!</definedName>
    <definedName name="GLM" localSheetId="11">[15]cmp!#REF!</definedName>
    <definedName name="GLM" localSheetId="10">[15]cmp!#REF!</definedName>
    <definedName name="GLM">[15]cmp!#REF!</definedName>
    <definedName name="Goodwill" localSheetId="9">'[7]Invested capital_VDF'!$C$36:$AE$36</definedName>
    <definedName name="Goodwill" localSheetId="8">'[5]Invested capital_VDF'!$C$36:$AE$36</definedName>
    <definedName name="Goodwill">'[6]Invested capital_VDF'!$C$36:$AE$36</definedName>
    <definedName name="Goodwill_Amort" localSheetId="9">[7]NOPAT_VDF!$C$105:$AZ$105</definedName>
    <definedName name="Goodwill_Amort">[6]NOPAT_VDF!$C$105:$AZ$105</definedName>
    <definedName name="Goodwill_growth_fore" localSheetId="9">[4]Forecasts_VDF!$H$162:$K$162</definedName>
    <definedName name="Goodwill_growth_fore" localSheetId="8">[5]Forecasts_VDF!$H$162:$K$162</definedName>
    <definedName name="Goodwill_growth_fore">[6]Forecasts_VDF!$H$162:$K$162</definedName>
    <definedName name="Gross_inc_growth" localSheetId="9">[6]NOPAT_VDF!#REF!</definedName>
    <definedName name="Gross_inc_growth" localSheetId="8">[5]NOPAT_VDF!#REF!</definedName>
    <definedName name="Gross_inc_growth" localSheetId="11">[6]NOPAT_VDF!#REF!</definedName>
    <definedName name="Gross_inc_growth" localSheetId="10">[6]NOPAT_VDF!#REF!</definedName>
    <definedName name="Gross_inc_growth" localSheetId="3">[6]NOPAT_VDF!#REF!</definedName>
    <definedName name="Gross_inc_growth">[6]NOPAT_VDF!#REF!</definedName>
    <definedName name="Gross_income" localSheetId="9">[4]NOPAT_VDF!$C$10:$AE$10</definedName>
    <definedName name="Gross_income" localSheetId="8">[5]NOPAT_VDF!$C$10:$AE$10</definedName>
    <definedName name="Gross_income">[6]NOPAT_VDF!$C$10:$AE$10</definedName>
    <definedName name="Gross_income_fore" localSheetId="9">[4]Forecasts_VDF!$E$9:$G$9</definedName>
    <definedName name="Gross_income_fore" localSheetId="8">[5]Forecasts_VDF!$E$9:$G$9</definedName>
    <definedName name="Gross_income_fore">[6]Forecasts_VDF!$E$9:$G$9</definedName>
    <definedName name="Gross_income_growth_avg" localSheetId="9">[4]Forecasts_VDF!$B$140</definedName>
    <definedName name="Gross_income_growth_avg" localSheetId="8">[5]Forecasts_VDF!$B$140</definedName>
    <definedName name="Gross_income_growth_avg">[6]Forecasts_VDF!$B$140</definedName>
    <definedName name="Gross_margin_fore" localSheetId="9">[6]Forecasts_VDF!#REF!</definedName>
    <definedName name="Gross_margin_fore" localSheetId="8">[5]Forecasts_VDF!#REF!</definedName>
    <definedName name="Gross_margin_fore" localSheetId="11">[6]Forecasts_VDF!#REF!</definedName>
    <definedName name="Gross_margin_fore" localSheetId="10">[6]Forecasts_VDF!#REF!</definedName>
    <definedName name="Gross_margin_fore" localSheetId="3">[6]Forecasts_VDF!#REF!</definedName>
    <definedName name="Gross_margin_fore">[6]Forecasts_VDF!#REF!</definedName>
    <definedName name="growth" localSheetId="9">#REF!</definedName>
    <definedName name="growth" localSheetId="11">#REF!</definedName>
    <definedName name="growth" localSheetId="10">#REF!</definedName>
    <definedName name="growth" localSheetId="3">#REF!</definedName>
    <definedName name="growth">#REF!</definedName>
    <definedName name="HAL" localSheetId="9">[15]cmp!#REF!</definedName>
    <definedName name="HAL" localSheetId="11">[15]cmp!#REF!</definedName>
    <definedName name="HAL" localSheetId="10">[15]cmp!#REF!</definedName>
    <definedName name="HAL">[15]cmp!#REF!</definedName>
    <definedName name="HAS_BEEN_UPDATED" localSheetId="9" hidden="1">[29]Sheet1!$A$1</definedName>
    <definedName name="HAS_BEEN_UPDATED" hidden="1">[29]Sheet1!$A$1</definedName>
    <definedName name="Hidden_Sheet" localSheetId="9">[19]ADK!$A$2:$AW$27</definedName>
    <definedName name="Hidden_Sheet">[19]ADK!$A$2:$AW$27</definedName>
    <definedName name="Historical_Economic_Profit" localSheetId="9">'[7]Summary Page_VDF'!$C$48:$I$48</definedName>
    <definedName name="Historical_Economic_Profit" localSheetId="8">'[5]Summary Page_VDF'!$C$48:$I$48</definedName>
    <definedName name="Historical_Economic_Profit">'[6]Summary Page_VDF'!$C$48:$I$48</definedName>
    <definedName name="Historical_financials" localSheetId="9">#REF!</definedName>
    <definedName name="Historical_financials" localSheetId="8">#REF!</definedName>
    <definedName name="Historical_financials" localSheetId="3">#REF!</definedName>
    <definedName name="Historical_financials">#REF!</definedName>
    <definedName name="Historical_Incremental_ROIC" localSheetId="9">'[7]Invested capital_VDF'!$C$109:$Z$109</definedName>
    <definedName name="Historical_Incremental_ROIC" localSheetId="8">'[5]Invested capital_VDF'!$C$109:$Z$109</definedName>
    <definedName name="Historical_Incremental_ROIC">'[6]Invested capital_VDF'!$C$109:$Z$109</definedName>
    <definedName name="hmBS" localSheetId="9">#REF!</definedName>
    <definedName name="hmBS" localSheetId="11">#REF!</definedName>
    <definedName name="hmBS" localSheetId="10">#REF!</definedName>
    <definedName name="hmBS" localSheetId="3">#REF!</definedName>
    <definedName name="hmBS">#REF!</definedName>
    <definedName name="hmCF" localSheetId="9">#REF!</definedName>
    <definedName name="hmCF" localSheetId="3">#REF!</definedName>
    <definedName name="hmCF">#REF!</definedName>
    <definedName name="hmIS" localSheetId="9">#REF!</definedName>
    <definedName name="hmIS" localSheetId="3">#REF!</definedName>
    <definedName name="hmIS">#REF!</definedName>
    <definedName name="hn.ExtDb" hidden="1">FALSE</definedName>
    <definedName name="hn.ModelType" hidden="1">"DEAL"</definedName>
    <definedName name="hn.ModelVersion" hidden="1">1</definedName>
    <definedName name="hn.NoUpload" hidden="1">0</definedName>
    <definedName name="HPV" localSheetId="9">#REF!</definedName>
    <definedName name="HPV" localSheetId="3">#REF!</definedName>
    <definedName name="HPV">#REF!</definedName>
    <definedName name="HTML_CodePage" hidden="1">1252</definedName>
    <definedName name="HTML_Control" localSheetId="9" hidden="1">{"'Inventory &amp; Anal-Cur Wkbk'!$A$7:$AP$71"}</definedName>
    <definedName name="HTML_Control" localSheetId="11" hidden="1">{"'Inventory &amp; Anal-Cur Wkbk'!$A$7:$AP$71"}</definedName>
    <definedName name="HTML_Control" localSheetId="10" hidden="1">{"'Inventory &amp; Anal-Cur Wkbk'!$A$7:$AP$71"}</definedName>
    <definedName name="HTML_Control" hidden="1">{"'Inventory &amp; Anal-Cur Wkbk'!$A$7:$AP$71"}</definedName>
    <definedName name="HTML_Description" hidden="1">"All ScooterBug and original AMG Parks"</definedName>
    <definedName name="HTML_Email" hidden="1">"cmeehan@scooterbug.com"</definedName>
    <definedName name="HTML_Header" hidden="1">"Current Contracte Equipment Quantities"</definedName>
    <definedName name="HTML_LastUpdate" hidden="1">"3/15/01"</definedName>
    <definedName name="HTML_LineAfter" hidden="1">TRUE</definedName>
    <definedName name="HTML_LineBefore" hidden="1">TRUE</definedName>
    <definedName name="HTML_Name" hidden="1">"Chris Meehan"</definedName>
    <definedName name="HTML_OBDlg2" hidden="1">TRUE</definedName>
    <definedName name="HTML_OBDlg4" hidden="1">TRUE</definedName>
    <definedName name="HTML_OS" hidden="1">1</definedName>
    <definedName name="HTML_PathFileMac" hidden="1">"Powerbook G3:Documents:Core Docs 8600:Excel DOCUMENTS:STROLLER BUS:Admin/Other:Stroller Inventory Wkst:Contract Equip and Data.html"</definedName>
    <definedName name="HTML_Title" hidden="1">"Contract Equipment-Parks"</definedName>
    <definedName name="HTML1_10" hidden="1">""</definedName>
    <definedName name="HTML1_11" hidden="1">1</definedName>
    <definedName name="HTML1_12" hidden="1">"Zip 100:New_Home_Page:datafile:implpr.html"</definedName>
    <definedName name="HTML1_2" hidden="1">1</definedName>
    <definedName name="HTML1_3" hidden="1">"RiskPremiumUS"</definedName>
    <definedName name="HTML1_4" hidden="1">"Implied Risk Premiums for US"</definedName>
    <definedName name="HTML1_5" hidden="1">""</definedName>
    <definedName name="HTML1_6" hidden="1">-4146</definedName>
    <definedName name="HTML1_7" hidden="1">-4146</definedName>
    <definedName name="HTML1_8" hidden="1">"3/19/97"</definedName>
    <definedName name="HTML1_9" hidden="1">"Aswath Damodaran"</definedName>
    <definedName name="HTMLCount" hidden="1">1</definedName>
    <definedName name="IC_1" localSheetId="9">'[4]Invested capital_VDF'!$P$1:$P$65536</definedName>
    <definedName name="IC_1" localSheetId="8">'[5]Invested capital_VDF'!$P$1:$P$65536</definedName>
    <definedName name="IC_1">'[6]Invested capital_VDF'!$P$1:$P$65536</definedName>
    <definedName name="IC_10" localSheetId="9">'[7]Invested capital_VDF'!$G$1:$G$65536</definedName>
    <definedName name="IC_10" localSheetId="8">'[5]Invested capital_VDF'!$G$1:$G$65536</definedName>
    <definedName name="IC_10">'[6]Invested capital_VDF'!$G$1:$G$65536</definedName>
    <definedName name="IC_11" localSheetId="9">'[7]Invested capital_VDF'!$F$1:$F$65536</definedName>
    <definedName name="IC_11" localSheetId="8">'[5]Invested capital_VDF'!$F$1:$F$65536</definedName>
    <definedName name="IC_11">'[6]Invested capital_VDF'!$F$1:$F$65536</definedName>
    <definedName name="IC_12" localSheetId="9">'[7]Invested capital_VDF'!$E$1:$E$65536</definedName>
    <definedName name="IC_12">'[6]Invested capital_VDF'!$E$1:$E$65536</definedName>
    <definedName name="IC_13" localSheetId="9">'[7]Invested capital_VDF'!$D$1:$D$65536</definedName>
    <definedName name="IC_13">'[6]Invested capital_VDF'!$D$1:$D$65536</definedName>
    <definedName name="IC_14" localSheetId="9">'[7]Invested capital_VDF'!$C$1:$C$65536</definedName>
    <definedName name="IC_14">'[6]Invested capital_VDF'!$C$1:$C$65536</definedName>
    <definedName name="IC_2" localSheetId="9">'[4]Invested capital_VDF'!$O$1:$O$65536</definedName>
    <definedName name="IC_2" localSheetId="8">'[5]Invested capital_VDF'!$O$1:$O$65536</definedName>
    <definedName name="IC_2">'[6]Invested capital_VDF'!$O$1:$O$65536</definedName>
    <definedName name="IC_3" localSheetId="9">'[7]Invested capital_VDF'!$N$1:$N$65536</definedName>
    <definedName name="IC_3" localSheetId="8">'[5]Invested capital_VDF'!$N$1:$N$65536</definedName>
    <definedName name="IC_3">'[6]Invested capital_VDF'!$N$1:$N$65536</definedName>
    <definedName name="IC_4" localSheetId="9">'[7]Invested capital_VDF'!$M$1:$M$65536</definedName>
    <definedName name="IC_4" localSheetId="8">'[5]Invested capital_VDF'!$M$1:$M$65536</definedName>
    <definedName name="IC_4">'[6]Invested capital_VDF'!$M$1:$M$65536</definedName>
    <definedName name="IC_5" localSheetId="9">'[7]Invested capital_VDF'!$L$1:$L$65536</definedName>
    <definedName name="IC_5">'[6]Invested capital_VDF'!$L$1:$L$65536</definedName>
    <definedName name="IC_6" localSheetId="9">'[7]Invested capital_VDF'!$K$1:$K$65536</definedName>
    <definedName name="IC_6">'[6]Invested capital_VDF'!$K$1:$K$65536</definedName>
    <definedName name="IC_7" localSheetId="9">'[7]Invested capital_VDF'!$J$1:$J$65536</definedName>
    <definedName name="IC_7">'[6]Invested capital_VDF'!$J$1:$J$65536</definedName>
    <definedName name="IC_8" localSheetId="9">'[7]Invested capital_VDF'!$I$1:$I$65536</definedName>
    <definedName name="IC_8">'[6]Invested capital_VDF'!$I$1:$I$65536</definedName>
    <definedName name="IC_9" localSheetId="9">'[7]Invested capital_VDF'!$H$1:$H$65536</definedName>
    <definedName name="IC_9">'[6]Invested capital_VDF'!$H$1:$H$65536</definedName>
    <definedName name="IC_P" localSheetId="9">'[4]Invested capital_VDF'!$Q$1:$Q$65536</definedName>
    <definedName name="IC_P" localSheetId="8">'[5]Invested capital_VDF'!$Q$1:$Q$65536</definedName>
    <definedName name="IC_P">'[6]Invested capital_VDF'!$Q$1:$Q$65536</definedName>
    <definedName name="IC_P1" localSheetId="9">'[4]Invested capital_VDF'!$R$1:$R$65536</definedName>
    <definedName name="IC_P1" localSheetId="8">'[5]Invested capital_VDF'!$R$1:$R$65536</definedName>
    <definedName name="IC_P1">'[6]Invested capital_VDF'!$R$1:$R$65536</definedName>
    <definedName name="IC_P2" localSheetId="9">'[4]Invested capital_VDF'!$S$1:$S$65536</definedName>
    <definedName name="IC_P2" localSheetId="8">'[5]Invested capital_VDF'!$S$1:$S$65536</definedName>
    <definedName name="IC_P2">'[6]Invested capital_VDF'!$S$1:$S$65536</definedName>
    <definedName name="IC_P3" localSheetId="9">'[4]Invested capital_VDF'!$T$1:$T$65536</definedName>
    <definedName name="IC_P3" localSheetId="8">'[5]Invested capital_VDF'!$T$1:$T$65536</definedName>
    <definedName name="IC_P3">'[6]Invested capital_VDF'!$T$1:$T$65536</definedName>
    <definedName name="Img_ML_1y7a6c1t" hidden="1">"IMG_10"</definedName>
    <definedName name="Img_ML_3b3j3x9k" hidden="1">"IMG_6"</definedName>
    <definedName name="Img_ML_3c7g1a7g" hidden="1">"IMG_3"</definedName>
    <definedName name="Img_ML_3e2q4k7i" hidden="1">"IMG_10"</definedName>
    <definedName name="Img_ML_3p5d9q5j" hidden="1">"IMG_10"</definedName>
    <definedName name="Img_ML_5h6q3g8u" hidden="1">"IMG_10"</definedName>
    <definedName name="Img_ML_6f2p1m9g" hidden="1">"IMG_4"</definedName>
    <definedName name="Img_ML_6y9f7y3n" hidden="1">"IMG_10"</definedName>
    <definedName name="Img_ML_7g5e5e2b" hidden="1">"IMG_3"</definedName>
    <definedName name="Img_ML_7n6h3t1t" localSheetId="9" hidden="1">"IMG_4"</definedName>
    <definedName name="Img_ML_7n6h3t1t" hidden="1">"IMG_10"</definedName>
    <definedName name="Img_ML_8b9j5t1p" localSheetId="8" hidden="1">"IMG_5"</definedName>
    <definedName name="Img_ML_8b9j5t1p" hidden="1">"IMG_10"</definedName>
    <definedName name="Img_ML_8h7g4d4d" hidden="1">"IMG_3"</definedName>
    <definedName name="Img_ML_8r1k8t4y" localSheetId="9" hidden="1">"IMG_4"</definedName>
    <definedName name="Img_ML_8r1k8t4y" hidden="1">"IMG_10"</definedName>
    <definedName name="Img_Production_Breakdown" hidden="1">"IMG_3"</definedName>
    <definedName name="impliedgrowth" localSheetId="9">#REF!</definedName>
    <definedName name="impliedgrowth" localSheetId="11">#REF!</definedName>
    <definedName name="impliedgrowth" localSheetId="10">#REF!</definedName>
    <definedName name="impliedgrowth" localSheetId="3">#REF!</definedName>
    <definedName name="impliedgrowth">#REF!</definedName>
    <definedName name="Inc_cap_RnD_fore" localSheetId="9">[4]Forecasts_VDF!$E$21:$X$21</definedName>
    <definedName name="Inc_cap_RnD_fore" localSheetId="8">[5]Forecasts_VDF!$E$21:$X$21</definedName>
    <definedName name="Inc_cap_RnD_fore">[6]Forecasts_VDF!$E$21:$X$21</definedName>
    <definedName name="Income_before_taxes" localSheetId="9">[6]NOPAT_VDF!#REF!</definedName>
    <definedName name="Income_before_taxes" localSheetId="8">[5]NOPAT_VDF!#REF!</definedName>
    <definedName name="Income_before_taxes" localSheetId="11">[6]NOPAT_VDF!#REF!</definedName>
    <definedName name="Income_before_taxes" localSheetId="10">[6]NOPAT_VDF!#REF!</definedName>
    <definedName name="Income_before_taxes" localSheetId="3">[6]NOPAT_VDF!#REF!</definedName>
    <definedName name="Income_before_taxes">[6]NOPAT_VDF!#REF!</definedName>
    <definedName name="Income_equivalents" localSheetId="9">[4]NOPAT_VDF!$C$30:$AZ$30</definedName>
    <definedName name="Income_equivalents" localSheetId="8">[5]NOPAT_VDF!$C$30:$AZ$30</definedName>
    <definedName name="Income_equivalents">[6]NOPAT_VDF!$C$30:$AZ$30</definedName>
    <definedName name="Income_equivalents_fore" localSheetId="9">[4]Forecasts_VDF!$E$26:$X$26</definedName>
    <definedName name="Income_equivalents_fore" localSheetId="8">[5]Forecasts_VDF!$E$26:$X$26</definedName>
    <definedName name="Income_equivalents_fore">[6]Forecasts_VDF!$E$26:$X$26</definedName>
    <definedName name="Income_form_uncons_subs_fore" localSheetId="9">[4]Forecasts_VDF!$E$32:$G$32</definedName>
    <definedName name="Income_form_uncons_subs_fore" localSheetId="8">[5]Forecasts_VDF!$E$32:$G$32</definedName>
    <definedName name="Income_form_uncons_subs_fore">[6]Forecasts_VDF!$E$32:$G$32</definedName>
    <definedName name="Income_from_Unconsolidated_Subs" localSheetId="9">[4]NOPAT_VDF!$C$48:$AZ$48</definedName>
    <definedName name="Income_from_Unconsolidated_Subs" localSheetId="8">[5]NOPAT_VDF!$C$48:$AZ$48</definedName>
    <definedName name="Income_from_Unconsolidated_Subs">[6]NOPAT_VDF!$C$48:$AZ$48</definedName>
    <definedName name="Income_tax" localSheetId="9">[4]NOPAT_VDF!$C$34:$AE$34</definedName>
    <definedName name="Income_tax" localSheetId="8">[5]NOPAT_VDF!$C$34:$AE$34</definedName>
    <definedName name="Income_tax">[6]NOPAT_VDF!$C$34:$AE$34</definedName>
    <definedName name="Income_tax_fore" localSheetId="9">[4]Forecasts_VDF!$E$39:$M$39</definedName>
    <definedName name="Income_tax_fore" localSheetId="8">[5]Forecasts_VDF!$E$39:$M$39</definedName>
    <definedName name="Income_tax_fore">[6]Forecasts_VDF!$E$39:$M$39</definedName>
    <definedName name="Income_tax_growth_fore" localSheetId="9">[4]Forecasts_VDF!$H$143:$K$143</definedName>
    <definedName name="Income_tax_growth_fore" localSheetId="8">[5]Forecasts_VDF!$H$143:$K$143</definedName>
    <definedName name="Income_tax_growth_fore">[6]Forecasts_VDF!$H$143:$K$143</definedName>
    <definedName name="Income_tax_rate" localSheetId="9">[7]NOPAT_VDF!$C$98:$Q$98</definedName>
    <definedName name="Income_tax_rate" localSheetId="8">[5]NOPAT_VDF!$C$98:$Q$98</definedName>
    <definedName name="Income_tax_rate">[6]NOPAT_VDF!$C$98:$Q$98</definedName>
    <definedName name="Income_taxes_payable" localSheetId="9">'[7]Invested capital_VDF'!$C$21:$AE$21</definedName>
    <definedName name="Income_taxes_payable" localSheetId="8">'[5]Invested capital_VDF'!$C$21:$AE$21</definedName>
    <definedName name="Income_taxes_payable">'[6]Invested capital_VDF'!$C$21:$AE$21</definedName>
    <definedName name="Income_taxes_payable_growth_fore" localSheetId="9">[4]Forecasts_VDF!$H$154:$K$154</definedName>
    <definedName name="Income_taxes_payable_growth_fore" localSheetId="8">[5]Forecasts_VDF!$H$154:$K$154</definedName>
    <definedName name="Income_taxes_payable_growth_fore">[6]Forecasts_VDF!$H$154:$K$154</definedName>
    <definedName name="income2000" localSheetId="9">#REF!</definedName>
    <definedName name="income2000" localSheetId="11">#REF!</definedName>
    <definedName name="income2000" localSheetId="10">#REF!</definedName>
    <definedName name="income2000" localSheetId="3">#REF!</definedName>
    <definedName name="income2000">#REF!</definedName>
    <definedName name="income98" localSheetId="9">#REF!</definedName>
    <definedName name="income98" localSheetId="3">#REF!</definedName>
    <definedName name="income98">#REF!</definedName>
    <definedName name="Increase_cap_RnD_fore" localSheetId="9">[4]Forecasts_VDF!$E$21:$Z$21</definedName>
    <definedName name="Increase_cap_RnD_fore" localSheetId="8">[5]Forecasts_VDF!$E$21:$Z$21</definedName>
    <definedName name="Increase_cap_RnD_fore">[6]Forecasts_VDF!$E$21:$Z$21</definedName>
    <definedName name="Increase_Capitalized_R_D_net" localSheetId="9">[4]NOPAT_VDF!$C$22:$AZ$22</definedName>
    <definedName name="Increase_Capitalized_R_D_net" localSheetId="8">[5]NOPAT_VDF!$C$22:$AZ$22</definedName>
    <definedName name="Increase_Capitalized_R_D_net">[6]NOPAT_VDF!$C$22:$AZ$22</definedName>
    <definedName name="Increase_Deferred_Taxes" localSheetId="9">[7]NOPAT_VDF!$C$51:$AE$51</definedName>
    <definedName name="Increase_Deferred_Taxes" localSheetId="8">[5]NOPAT_VDF!$C$51:$AE$51</definedName>
    <definedName name="Increase_Deferred_Taxes">[6]NOPAT_VDF!$C$51:$AE$51</definedName>
    <definedName name="Increase_in_other_liabilities" localSheetId="9">[6]NOPAT_VDF!#REF!</definedName>
    <definedName name="Increase_in_other_liabilities" localSheetId="8">[5]NOPAT_VDF!#REF!</definedName>
    <definedName name="Increase_in_other_liabilities" localSheetId="11">[6]NOPAT_VDF!#REF!</definedName>
    <definedName name="Increase_in_other_liabilities" localSheetId="10">[6]NOPAT_VDF!#REF!</definedName>
    <definedName name="Increase_in_other_liabilities" localSheetId="3">[6]NOPAT_VDF!#REF!</definedName>
    <definedName name="Increase_in_other_liabilities">[6]NOPAT_VDF!#REF!</definedName>
    <definedName name="Increase_in_other_reserves" localSheetId="9">[7]NOPAT_VDF!$C$53:$AU$53</definedName>
    <definedName name="Increase_in_other_reserves" localSheetId="8">[5]NOPAT_VDF!$C$53:$AU$53</definedName>
    <definedName name="Increase_in_other_reserves">[6]NOPAT_VDF!$C$53:$AU$53</definedName>
    <definedName name="Increase_LIFO_Reserve" localSheetId="9">[7]NOPAT_VDF!$C$52:$AX$52</definedName>
    <definedName name="Increase_LIFO_Reserve" localSheetId="8">[5]NOPAT_VDF!$C$52:$AX$52</definedName>
    <definedName name="Increase_LIFO_Reserve">[6]NOPAT_VDF!$C$52:$AX$52</definedName>
    <definedName name="Incremental_investment" localSheetId="9">[7]DCF_VDF!$C$21:$AZ$21</definedName>
    <definedName name="Incremental_investment">[6]DCF_VDF!$C$21:$AZ$21</definedName>
    <definedName name="Incremental_ROIC" localSheetId="9">[7]DCF_VDF!$C$91:$BZ$91</definedName>
    <definedName name="Incremental_ROIC">[6]DCF_VDF!$C$91:$BZ$91</definedName>
    <definedName name="Incremental_ROIC_DCF" localSheetId="9">[7]DCF_VDF!$C$93:$BZ$93</definedName>
    <definedName name="Incremental_ROIC_DCF">[6]DCF_VDF!$C$93:$BZ$93</definedName>
    <definedName name="incstat1991" localSheetId="11">#REF!</definedName>
    <definedName name="incstat1991" localSheetId="10">#REF!</definedName>
    <definedName name="incstat1991">#REF!</definedName>
    <definedName name="incstat1992" localSheetId="11">#REF!</definedName>
    <definedName name="incstat1992" localSheetId="10">#REF!</definedName>
    <definedName name="incstat1992">#REF!</definedName>
    <definedName name="incstat1993" localSheetId="11">#REF!</definedName>
    <definedName name="incstat1993" localSheetId="10">#REF!</definedName>
    <definedName name="incstat1993">#REF!</definedName>
    <definedName name="incstat1994">#REF!</definedName>
    <definedName name="incstat1995">#REF!</definedName>
    <definedName name="incstat1996">#REF!</definedName>
    <definedName name="incstat1997">#REF!</definedName>
    <definedName name="incstat1998">#REF!</definedName>
    <definedName name="incstat1999">#REF!</definedName>
    <definedName name="incstat2000">#REF!</definedName>
    <definedName name="IncStatGraphs">#REF!</definedName>
    <definedName name="India_PMI">OFFSET('[16]PMI Data'!$R$5,0,0,COUNTA('[16]PMI Data'!$R$6:$R$6000)+1,2)</definedName>
    <definedName name="INIT" localSheetId="11">#REF!</definedName>
    <definedName name="INIT" localSheetId="10">#REF!</definedName>
    <definedName name="INIT">#REF!</definedName>
    <definedName name="Inst" localSheetId="9">#REF!</definedName>
    <definedName name="Inst" localSheetId="3">#REF!</definedName>
    <definedName name="Inst">#REF!</definedName>
    <definedName name="Instruments" localSheetId="9">#REF!</definedName>
    <definedName name="Instruments" localSheetId="3">#REF!</definedName>
    <definedName name="Instruments">#REF!</definedName>
    <definedName name="Int_exp_OL" localSheetId="9">'[7]PV of Op Leases_VDF'!$C$62:$AZ$62</definedName>
    <definedName name="Int_exp_OL">'[6]PV of Op Leases_VDF'!$C$62:$AZ$62</definedName>
    <definedName name="Interest_exp_growth_fore" localSheetId="9">[4]Forecasts_VDF!$H$144:$K$144</definedName>
    <definedName name="Interest_exp_growth_fore" localSheetId="8">[5]Forecasts_VDF!$H$144:$K$144</definedName>
    <definedName name="Interest_exp_growth_fore">[6]Forecasts_VDF!$H$144:$K$144</definedName>
    <definedName name="Interest_exp_inc_fore" localSheetId="9">[4]Forecasts_VDF!$E$33:$M$33</definedName>
    <definedName name="Interest_exp_inc_fore" localSheetId="8">[5]Forecasts_VDF!$E$33:$M$33</definedName>
    <definedName name="Interest_exp_inc_fore">[6]Forecasts_VDF!$E$33:$M$33</definedName>
    <definedName name="Interest_expense_after_taxes" localSheetId="9">[7]NOPAT_VDF!$C$67:$AE$67</definedName>
    <definedName name="Interest_expense_after_taxes" localSheetId="8">[5]NOPAT_VDF!$C$67:$AE$67</definedName>
    <definedName name="Interest_expense_after_taxes">[6]NOPAT_VDF!$C$67:$AE$67</definedName>
    <definedName name="Interest_expense_income" localSheetId="9">[4]NOPAT_VDF!$C$63:$AE$63</definedName>
    <definedName name="Interest_expense_income" localSheetId="8">[5]NOPAT_VDF!$C$63:$AE$63</definedName>
    <definedName name="Interest_expense_income">[6]NOPAT_VDF!$C$63:$AE$63</definedName>
    <definedName name="Interest_expense_oper_leases" localSheetId="9">'[7]PV of Op Leases_VDF'!$D$63:$AZ$63</definedName>
    <definedName name="Interest_expense_oper_leases" localSheetId="8">'[5]PV of Op Leases_VDF'!$D$63:$AZ$63</definedName>
    <definedName name="Interest_expense_oper_leases">'[6]PV of Op Leases_VDF'!$D$63:$AZ$63</definedName>
    <definedName name="Interest_oper_lease" localSheetId="9">'[7]PV of Op Leases_VDF'!$C$63:$AW$63</definedName>
    <definedName name="Interest_oper_lease" localSheetId="8">'[5]PV of Op Leases_VDF'!$C$63:$AW$63</definedName>
    <definedName name="Interest_oper_lease">'[6]PV of Op Leases_VDF'!$C$63:$AW$63</definedName>
    <definedName name="Intl_EP_Depr_2004" localSheetId="9">'[30]E&amp;P'!$I$588</definedName>
    <definedName name="Intl_EP_Depr_2004">'[30]E&amp;P'!$I$588</definedName>
    <definedName name="Intl_EP_NI_2004" localSheetId="9">'[30]E&amp;P'!$I$597</definedName>
    <definedName name="Intl_EP_NI_2004">'[30]E&amp;P'!$I$597</definedName>
    <definedName name="IntlGasProd_2004" localSheetId="9">'[30]E&amp;P'!$I$36</definedName>
    <definedName name="IntlGasProd_2004">'[30]E&amp;P'!$I$36</definedName>
    <definedName name="IntlOilProd_2004" localSheetId="9">'[30]E&amp;P'!$I$35</definedName>
    <definedName name="IntlOilProd_2004">'[30]E&amp;P'!$I$35</definedName>
    <definedName name="IntlOtherCosts_2004" localSheetId="9">'[9]E&amp;P'!$P$333</definedName>
    <definedName name="IntlOtherCosts_2004">'[9]E&amp;P'!$P$333</definedName>
    <definedName name="IntlProd_2004" localSheetId="9">'[30]E&amp;P'!$I$37</definedName>
    <definedName name="IntlProd_2004">'[30]E&amp;P'!$I$37</definedName>
    <definedName name="IntlProdCosts_2004" localSheetId="9">'[9]E&amp;P'!$P$331</definedName>
    <definedName name="IntlProdCosts_2004">'[9]E&amp;P'!$P$331</definedName>
    <definedName name="Inventory" localSheetId="9">'[7]Invested capital_VDF'!$C$8:$AE$8</definedName>
    <definedName name="Inventory">'[6]Invested capital_VDF'!$C$8:$AE$8</definedName>
    <definedName name="Inventory_growth_fore" localSheetId="9">[4]Forecasts_VDF!$H$148:$K$148</definedName>
    <definedName name="Inventory_growth_fore" localSheetId="8">[5]Forecasts_VDF!$H$148:$K$148</definedName>
    <definedName name="Inventory_growth_fore">[6]Forecasts_VDF!$H$148:$K$148</definedName>
    <definedName name="Inventory_turns" localSheetId="9">'[7]Invested capital_VDF'!$C$96:$AU$96</definedName>
    <definedName name="Inventory_turns" localSheetId="8">'[5]Invested capital_VDF'!$C$96:$AU$96</definedName>
    <definedName name="Inventory_turns">'[6]Invested capital_VDF'!$C$96:$AU$96</definedName>
    <definedName name="Invested_capital" localSheetId="9">'[4]Invested capital_VDF'!$C$87:$AE$87</definedName>
    <definedName name="Invested_capital" localSheetId="8">'[5]Invested capital_VDF'!$C$87:$AE$87</definedName>
    <definedName name="Invested_capital">'[6]Invested capital_VDF'!$C$87:$AE$87</definedName>
    <definedName name="Invested_capital_DCF" localSheetId="9">[4]DCF_VDF!$C$77:$AZ$77</definedName>
    <definedName name="Invested_capital_DCF" localSheetId="8">[5]DCF_VDF!$C$77:$AZ$77</definedName>
    <definedName name="Invested_capital_DCF">[6]DCF_VDF!$C$77:$AZ$77</definedName>
    <definedName name="Invested_capital_growth_fore" localSheetId="9">[4]Forecasts_VDF!$H$146:$K$146</definedName>
    <definedName name="Invested_capital_growth_fore" localSheetId="8">[5]Forecasts_VDF!$H$146:$K$146</definedName>
    <definedName name="Invested_capital_growth_fore">[6]Forecasts_VDF!$H$146:$K$146</definedName>
    <definedName name="Invested_capital_turns" localSheetId="9">'[4]Invested capital_VDF'!$C$102:$AU$102</definedName>
    <definedName name="Invested_capital_turns" localSheetId="8">'[5]Invested capital_VDF'!$C$102:$AU$102</definedName>
    <definedName name="Invested_capital_turns">'[6]Invested capital_VDF'!$C$102:$AU$102</definedName>
    <definedName name="Invested_capital_turns_DCF" localSheetId="9">[4]DCF_VDF!$C$83:$AZ$83</definedName>
    <definedName name="Invested_capital_turns_DCF" localSheetId="8">[5]DCF_VDF!$C$83:$AZ$83</definedName>
    <definedName name="Invested_capital_turns_DCF">[6]DCF_VDF!$C$83:$AZ$83</definedName>
    <definedName name="Invested_capital_turns_fore" localSheetId="9">[4]Forecasts_VDF!$H$80:$K$80</definedName>
    <definedName name="Invested_capital_turns_fore" localSheetId="8">[5]Forecasts_VDF!$H$80:$K$80</definedName>
    <definedName name="Invested_capital_turns_fore">[6]Forecasts_VDF!$H$80:$K$80</definedName>
    <definedName name="Investments_in_Unconsolidated_Subs" localSheetId="9">'[7]Invested capital_VDF'!$C$76:$AZ$76</definedName>
    <definedName name="Investments_in_Unconsolidated_Subs" localSheetId="8">'[5]Invested capital_VDF'!$C$76:$AZ$76</definedName>
    <definedName name="Investments_in_Unconsolidated_Subs">'[6]Invested capital_VDF'!$C$76:$AZ$76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localSheetId="9" hidden="1">"c116"</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_CIQ" hidden="1">"c4811"</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ROWTH_1" hidden="1">"c157"</definedName>
    <definedName name="IQ_EBIT_GROWTH_2" hidden="1">"c161"</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_CIQ" hidden="1">"c4841"</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1" hidden="1">"c189"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 hidden="1">"c2223"</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THOM" hidden="1">"c4026"</definedName>
    <definedName name="IQ_EST_ACT_BV_THOM" hidden="1">"c5153"</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REUT" hidden="1">"c3843"</definedName>
    <definedName name="IQ_EST_ACT_FFO_SHARE_SHARE_THOM" hidden="1">"c4005"</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GW_THOM" hidden="1">"c5139"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HARE_SHARE_DIFF_THOM" hidden="1">"c5186"</definedName>
    <definedName name="IQ_EST_FFO_SHARE_SHARE_SURPRISE_PERCENT_THOM" hidden="1">"c5187"</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DIFF_THOM" hidden="1">"c5200"</definedName>
    <definedName name="IQ_EST_NI_GW_SURPRISE_PERCENT" hidden="1">"c1888"</definedName>
    <definedName name="IQ_EST_NI_GW_SURPRISE_PERCENT_THOM" hidden="1">"c5201"</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UT_ACT_CAPEX" hidden="1">"c3975"</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5006777123</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_CIQ" hidden="1">"c4960"</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HIGH_EST" hidden="1">"c419"</definedName>
    <definedName name="IQ_FFO_HIGH_EST_CIQ" hidden="1">"c3670"</definedName>
    <definedName name="IQ_FFO_HIGH_EST_REUT" hidden="1">"c3839"</definedName>
    <definedName name="IQ_FFO_HIGH_EST_THOM" hidden="1">"c4001"</definedName>
    <definedName name="IQ_FFO_LOW_EST" hidden="1">"c420"</definedName>
    <definedName name="IQ_FFO_LOW_EST_CIQ" hidden="1">"c3671"</definedName>
    <definedName name="IQ_FFO_LOW_EST_REUT" hidden="1">"c3840"</definedName>
    <definedName name="IQ_FFO_LOW_EST_THOM" hidden="1">"c4002"</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 hidden="1">"c422"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ISTING_CURRENCY" hidden="1">"c2127"</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9" hidden="1">41312.2643865741</definedName>
    <definedName name="IQ_NAMES_REVISION_DATE_" localSheetId="8" hidden="1">41308.5888657407</definedName>
    <definedName name="IQ_NAMES_REVISION_DATE_" hidden="1">41312.2643865741</definedName>
    <definedName name="IQ_NAMES_REVISION_DATE_2" hidden="1">40721.916875</definedName>
    <definedName name="IQ_NAMES_REVISION_DATE_3" hidden="1">40721.916875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EST_THOM" hidden="1">"c5133"</definedName>
    <definedName name="IQ_NI_GW_HIGH_EST" hidden="1">"c1725"</definedName>
    <definedName name="IQ_NI_GW_HIGH_EST_THOM" hidden="1">"c5135"</definedName>
    <definedName name="IQ_NI_GW_LOW_EST" hidden="1">"c1726"</definedName>
    <definedName name="IQ_NI_GW_LOW_EST_THOM" hidden="1">"c5136"</definedName>
    <definedName name="IQ_NI_GW_MEDIAN_EST" hidden="1">"c1724"</definedName>
    <definedName name="IQ_NI_GW_MEDIAN_EST_THOM" hidden="1">"c5134"</definedName>
    <definedName name="IQ_NI_GW_NUM_EST" hidden="1">"c1727"</definedName>
    <definedName name="IQ_NI_GW_NUM_EST_THOM" hidden="1">"c5137"</definedName>
    <definedName name="IQ_NI_GW_STDDEV_EST" hidden="1">"c1728"</definedName>
    <definedName name="IQ_NI_GW_STDDEV_EST_THOM" hidden="1">"c5138"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_CIQ" hidden="1">"c5012"</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localSheetId="9" hidden="1">"c1023"</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FLOAT" hidden="1">"c227"</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THOM" hidden="1">"c5299"</definedName>
    <definedName name="IQ_REVENUE_EST" hidden="1">"c1126"</definedName>
    <definedName name="IQ_REVENUE_EST_1" hidden="1">"c190"</definedName>
    <definedName name="IQ_REVENUE_EST_CIQ" hidden="1">"c3616"</definedName>
    <definedName name="IQ_REVENUE_EST_REUT" hidden="1">"c3634"</definedName>
    <definedName name="IQ_REVENUE_EST_THOM" hidden="1">"c3652"</definedName>
    <definedName name="IQ_REVENUE_GROWTH_1" hidden="1">"c155"</definedName>
    <definedName name="IQ_REVENUE_GROWTH_2" hidden="1">"c159"</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39170.5951967593</definedName>
    <definedName name="IQ_REVISION_DATE__1" hidden="1">38831.7203703704</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RA3" hidden="1">"$A$4:$A$23"</definedName>
    <definedName name="IQRA8" hidden="1">"$A$9:$A$260"</definedName>
    <definedName name="IQRB39" hidden="1">"$B$40:$B$61"</definedName>
    <definedName name="IQRB5" hidden="1">"$B$6:$B$585"</definedName>
    <definedName name="IQRB6" hidden="1">"$B$7"</definedName>
    <definedName name="IQRB8" hidden="1">"$B$9:$B$260"</definedName>
    <definedName name="IQRC8" hidden="1">"$C$9:$C$260"</definedName>
    <definedName name="IQRD39" hidden="1">"$D$40:$D$61"</definedName>
    <definedName name="IQRD6" hidden="1">"$D$7"</definedName>
    <definedName name="IQRE6" hidden="1">"$E$7"</definedName>
    <definedName name="IQRF39" hidden="1">"$F$40:$F$61"</definedName>
    <definedName name="IQRH59" hidden="1">"$H$60"</definedName>
    <definedName name="IQRH6" hidden="1">"$H$7:$H$112"</definedName>
    <definedName name="IQRI2" hidden="1">"$I$3:$I$66"</definedName>
    <definedName name="IQRI39" hidden="1">"$I$40:$I$61"</definedName>
    <definedName name="IQRI6" hidden="1">"$I$7:$I$112"</definedName>
    <definedName name="IQRJ3" hidden="1">"$J$4:$J$67"</definedName>
    <definedName name="IQRJ59" hidden="1">"$J$60"</definedName>
    <definedName name="IQRJ6" hidden="1">"$J$7:$J$112"</definedName>
    <definedName name="IQRL16" hidden="1">"$L$17:$L$21"</definedName>
    <definedName name="IQRL39" hidden="1">"$L$40:$L$61"</definedName>
    <definedName name="IQRL59" hidden="1">"$L$60"</definedName>
    <definedName name="IQRM15" hidden="1">"$M$16"</definedName>
    <definedName name="IQRM16" hidden="1">"$N$16"</definedName>
    <definedName name="IQRM17" hidden="1">"$M$18:$M$22"</definedName>
    <definedName name="IQRM39" hidden="1">"$M$40:$M$61"</definedName>
    <definedName name="IQRO39" hidden="1">"$O$40:$O$61"</definedName>
    <definedName name="IQRP39" hidden="1">"$P$40:$P$61"</definedName>
    <definedName name="IQSCapIQDownloadA1" hidden="1">"$A$2:$A$56"</definedName>
    <definedName name="iQShowHideColumns" localSheetId="9" hidden="1">"iQShowQuarterlyAnnual"</definedName>
    <definedName name="iQShowHideColumns" localSheetId="8" hidden="1">"iQShowQuarterlyAnnual"</definedName>
    <definedName name="iQShowHideColumns" hidden="1">"iQShowAll"</definedName>
    <definedName name="IRI_WorkspaceId" hidden="1">"523c46dca06544adb0b08689ab7a5eee"</definedName>
    <definedName name="IS" localSheetId="9">#REF!</definedName>
    <definedName name="is" localSheetId="8">'[1]E&amp;P'!#REF!</definedName>
    <definedName name="IS" localSheetId="11">#REF!</definedName>
    <definedName name="IS" localSheetId="10">#REF!</definedName>
    <definedName name="IS" localSheetId="3">#REF!</definedName>
    <definedName name="IS">#REF!</definedName>
    <definedName name="IS_1" localSheetId="9">'[7]Income Statement_VDF'!$Q$1:$Q$65536</definedName>
    <definedName name="IS_1">'[6]Income Statement_VDF'!$Q$1:$Q$65536</definedName>
    <definedName name="IS_10" localSheetId="9">'[7]Income Statement_VDF'!$H$1:$H$65536</definedName>
    <definedName name="IS_10">'[6]Income Statement_VDF'!$H$1:$H$65536</definedName>
    <definedName name="IS_11" localSheetId="9">'[7]Income Statement_VDF'!$G$1:$G$65536</definedName>
    <definedName name="IS_11">'[6]Income Statement_VDF'!$G$1:$G$65536</definedName>
    <definedName name="IS_12" localSheetId="9">'[7]Income Statement_VDF'!$F$1:$F$65536</definedName>
    <definedName name="IS_12">'[6]Income Statement_VDF'!$F$1:$F$65536</definedName>
    <definedName name="IS_13" localSheetId="9">'[7]Income Statement_VDF'!$E$1:$E$65536</definedName>
    <definedName name="IS_13">'[6]Income Statement_VDF'!$E$1:$E$65536</definedName>
    <definedName name="IS_14" localSheetId="9">'[7]Income Statement_VDF'!$D$1:$D$65536</definedName>
    <definedName name="IS_14">'[6]Income Statement_VDF'!$D$1:$D$65536</definedName>
    <definedName name="IS_2" localSheetId="9">'[7]Income Statement_VDF'!$P$1:$P$65536</definedName>
    <definedName name="IS_2">'[6]Income Statement_VDF'!$P$1:$P$65536</definedName>
    <definedName name="IS_3" localSheetId="9">'[7]Income Statement_VDF'!$O$1:$O$65536</definedName>
    <definedName name="IS_3">'[6]Income Statement_VDF'!$O$1:$O$65536</definedName>
    <definedName name="IS_4" localSheetId="9">'[7]Income Statement_VDF'!$N$1:$N$65536</definedName>
    <definedName name="IS_4">'[6]Income Statement_VDF'!$N$1:$N$65536</definedName>
    <definedName name="IS_5" localSheetId="9">'[7]Income Statement_VDF'!$M$1:$M$65536</definedName>
    <definedName name="IS_5">'[6]Income Statement_VDF'!$M$1:$M$65536</definedName>
    <definedName name="IS_6" localSheetId="9">'[7]Income Statement_VDF'!$L$1:$L$65536</definedName>
    <definedName name="IS_6">'[6]Income Statement_VDF'!$L$1:$L$65536</definedName>
    <definedName name="IS_7" localSheetId="9">'[7]Income Statement_VDF'!$K$1:$K$65536</definedName>
    <definedName name="IS_7">'[6]Income Statement_VDF'!$K$1:$K$65536</definedName>
    <definedName name="IS_8" localSheetId="9">'[7]Income Statement_VDF'!$J$1:$J$65536</definedName>
    <definedName name="IS_8">'[6]Income Statement_VDF'!$J$1:$J$65536</definedName>
    <definedName name="IS_9" localSheetId="9">'[7]Income Statement_VDF'!$I$1:$I$65536</definedName>
    <definedName name="IS_9">'[6]Income Statement_VDF'!$I$1:$I$65536</definedName>
    <definedName name="IS_p" localSheetId="9">'[7]Income Statement_VDF'!$R$1:$R$65536</definedName>
    <definedName name="IS_p">'[6]Income Statement_VDF'!$R$1:$R$65536</definedName>
    <definedName name="IsColHidden" hidden="1">FALSE</definedName>
    <definedName name="ISGraphs">#REF!</definedName>
    <definedName name="IsLTMColHidden" hidden="1">FALSE</definedName>
    <definedName name="Japan_PMI">OFFSET('[16]PMI Data'!$N$5,0,0,COUNTA('[16]PMI Data'!$N$6:$N$6000)+1,2)</definedName>
    <definedName name="Japan_PMI2">OFFSET('[16]PMI Data'!$N$5,0,0,COUNTA('[16]PMI Data'!$N$6:$N$6000)+1,2)</definedName>
    <definedName name="jim" localSheetId="9" hidden="1">{"'Directory'!$A$72:$E$91"}</definedName>
    <definedName name="jim" localSheetId="11" hidden="1">{"'Directory'!$A$72:$E$91"}</definedName>
    <definedName name="jim" localSheetId="10" hidden="1">{"'Directory'!$A$72:$E$91"}</definedName>
    <definedName name="jim" hidden="1">{"'Directory'!$A$72:$E$91"}</definedName>
    <definedName name="jimm" localSheetId="9" hidden="1">{"'Directory'!$A$72:$E$91"}</definedName>
    <definedName name="jimm" localSheetId="11" hidden="1">{"'Directory'!$A$72:$E$91"}</definedName>
    <definedName name="jimm" localSheetId="10" hidden="1">{"'Directory'!$A$72:$E$91"}</definedName>
    <definedName name="jimm" hidden="1">{"'Directory'!$A$72:$E$91"}</definedName>
    <definedName name="Kd" localSheetId="9">[6]WACC_VDF!#REF!</definedName>
    <definedName name="Kd" localSheetId="8">[5]WACC_VDF!#REF!</definedName>
    <definedName name="Kd" localSheetId="3">[6]WACC_VDF!#REF!</definedName>
    <definedName name="Kd">[6]WACC_VDF!#REF!</definedName>
    <definedName name="Ke" localSheetId="9">[4]WACC_VDF!$D$11</definedName>
    <definedName name="Ke" localSheetId="8">[5]WACC_VDF!$D$11</definedName>
    <definedName name="Ke">[6]WACC_VDF!$D$11</definedName>
    <definedName name="key.new.drug.trends" localSheetId="9">'[31]MRK2-25'!#REF!</definedName>
    <definedName name="key.new.drug.trends" localSheetId="11">'[31]MRK2-25'!#REF!</definedName>
    <definedName name="key.new.drug.trends" localSheetId="10">'[31]MRK2-25'!#REF!</definedName>
    <definedName name="key.new.drug.trends" localSheetId="3">'[31]MRK2-25'!#REF!</definedName>
    <definedName name="key.new.drug.trends">'[31]MRK2-25'!#REF!</definedName>
    <definedName name="kyd.CounterLimitCell.01." hidden="1">"x"</definedName>
    <definedName name="kyd.Dim.01." hidden="1">"toad:Company"</definedName>
    <definedName name="kyd.ElementType.01." hidden="1">3</definedName>
    <definedName name="kyd.ItemType.01." hidden="1">2</definedName>
    <definedName name="kyd.NumLevels.01." hidden="1">999</definedName>
    <definedName name="kyd.ParentName.01." hidden="1">""</definedName>
    <definedName name="kyd.PrintParent.01." hidden="1">TRUE</definedName>
    <definedName name="kyd.SelectString.01." hidden="1">"*"</definedName>
    <definedName name="L_T_obligations_under_cap_leases" localSheetId="9">'[7]Invested capital_VDF'!$C$58:$AU$58</definedName>
    <definedName name="L_T_obligations_under_cap_leases" localSheetId="8">'[5]Invested capital_VDF'!$C$58:$AU$58</definedName>
    <definedName name="L_T_obligations_under_cap_leases">'[6]Invested capital_VDF'!$C$58:$AU$58</definedName>
    <definedName name="LastListUpdate">0</definedName>
    <definedName name="Lease_thereafter" localSheetId="9">'[7]PV of Op Leases_VDF'!$C$10:$AX$10</definedName>
    <definedName name="Lease_thereafter" localSheetId="8">'[5]PV of Op Leases_VDF'!$C$10:$AX$10</definedName>
    <definedName name="Lease_thereafter">'[6]PV of Op Leases_VDF'!$C$10:$AX$10</definedName>
    <definedName name="Lease_years" localSheetId="9">'[7]PV of Op Leases_VDF'!$B$20:$B$61</definedName>
    <definedName name="Lease_years">'[6]PV of Op Leases_VDF'!$B$20:$B$61</definedName>
    <definedName name="Lease_yr_1" localSheetId="9">'[7]PV of Op Leases_VDF'!$C$5:$AX$5</definedName>
    <definedName name="Lease_yr_1">'[6]PV of Op Leases_VDF'!$C$5:$AX$5</definedName>
    <definedName name="Lease_yr_2" localSheetId="9">'[7]PV of Op Leases_VDF'!$C$6:$AX$6</definedName>
    <definedName name="Lease_yr_2">'[6]PV of Op Leases_VDF'!$C$6:$AX$6</definedName>
    <definedName name="Lease_yr_3" localSheetId="9">'[7]PV of Op Leases_VDF'!$C$7:$AX$7</definedName>
    <definedName name="Lease_yr_3">'[6]PV of Op Leases_VDF'!$C$7:$AX$7</definedName>
    <definedName name="Lease_yr_4" localSheetId="9">'[7]PV of Op Leases_VDF'!$C$8:$AX$8</definedName>
    <definedName name="Lease_yr_4">'[6]PV of Op Leases_VDF'!$C$8:$AX$8</definedName>
    <definedName name="Lease_yr_5" localSheetId="9">'[7]PV of Op Leases_VDF'!$C$9:$AX$9</definedName>
    <definedName name="Lease_yr_5">'[6]PV of Op Leases_VDF'!$C$9:$AX$9</definedName>
    <definedName name="leerink" localSheetId="9">'[32]P&amp;L'!#REF!</definedName>
    <definedName name="leerink" localSheetId="11">'[32]P&amp;L'!#REF!</definedName>
    <definedName name="leerink" localSheetId="10">'[32]P&amp;L'!#REF!</definedName>
    <definedName name="leerink" localSheetId="3">'[32]P&amp;L'!#REF!</definedName>
    <definedName name="leerink">'[32]P&amp;L'!#REF!</definedName>
    <definedName name="LIFO_Reserve" localSheetId="9">'[7]Invested capital_VDF'!$C$9:$AE$9</definedName>
    <definedName name="LIFO_Reserve">'[6]Invested capital_VDF'!$C$9:$AE$9</definedName>
    <definedName name="limcount" hidden="1">2</definedName>
    <definedName name="ListOffset" hidden="1">1</definedName>
    <definedName name="Loan_Loss_Provision_fore" localSheetId="9">[6]Forecasts_VDF!#REF!</definedName>
    <definedName name="Loan_Loss_Provision_fore" localSheetId="8">[5]Forecasts_VDF!#REF!</definedName>
    <definedName name="Loan_Loss_Provision_fore" localSheetId="11">[6]Forecasts_VDF!#REF!</definedName>
    <definedName name="Loan_Loss_Provision_fore" localSheetId="10">[6]Forecasts_VDF!#REF!</definedName>
    <definedName name="Loan_Loss_Provision_fore" localSheetId="3">[6]Forecasts_VDF!#REF!</definedName>
    <definedName name="Loan_Loss_Provision_fore">[6]Forecasts_VDF!#REF!</definedName>
    <definedName name="LT_debt" localSheetId="9">'[7]Invested capital_VDF'!$C$57:$AE$57</definedName>
    <definedName name="LT_debt" localSheetId="8">'[5]Invested capital_VDF'!$C$57:$AE$57</definedName>
    <definedName name="LT_debt">'[6]Invested capital_VDF'!$C$57:$AE$57</definedName>
    <definedName name="LT_debt_growth_fore" localSheetId="9">[4]Forecasts_VDF!$H$160:$K$160</definedName>
    <definedName name="LT_debt_growth_fore" localSheetId="8">[5]Forecasts_VDF!$H$160:$K$160</definedName>
    <definedName name="LT_debt_growth_fore">[6]Forecasts_VDF!$H$160:$K$160</definedName>
    <definedName name="M_PlaceofPath" hidden="1">"E:\ASWANSON\DATA\EXCELDAT\VDF Files\Willoughby VBA Models\drte_vdf.xls"</definedName>
    <definedName name="Market_capitalization" localSheetId="9">'[6]Summary Page_VDF'!#REF!</definedName>
    <definedName name="Market_capitalization" localSheetId="8">'[5]Summary Page_VDF'!#REF!</definedName>
    <definedName name="Market_capitalization" localSheetId="11">'[6]Summary Page_VDF'!#REF!</definedName>
    <definedName name="Market_capitalization" localSheetId="10">'[6]Summary Page_VDF'!#REF!</definedName>
    <definedName name="Market_capitalization" localSheetId="3">'[6]Summary Page_VDF'!#REF!</definedName>
    <definedName name="Market_capitalization">'[6]Summary Page_VDF'!#REF!</definedName>
    <definedName name="Market_Implied_CAP" localSheetId="9">[7]Charts_VDF!$C$90</definedName>
    <definedName name="Market_Implied_CAP" localSheetId="8">[5]Charts_VDF!$C$90</definedName>
    <definedName name="Market_Implied_CAP">[6]Charts_VDF!$C$90</definedName>
    <definedName name="MD" localSheetId="11">#REF!</definedName>
    <definedName name="MD" localSheetId="10">#REF!</definedName>
    <definedName name="MD">#REF!</definedName>
    <definedName name="MDR" localSheetId="9">[15]cmp!#REF!</definedName>
    <definedName name="MDR" localSheetId="11">[15]cmp!#REF!</definedName>
    <definedName name="MDR" localSheetId="10">[15]cmp!#REF!</definedName>
    <definedName name="MDR">[15]cmp!#REF!</definedName>
    <definedName name="med.tech" localSheetId="9">[25]LLY!#REF!</definedName>
    <definedName name="med.tech" localSheetId="3">[25]LLY!#REF!</definedName>
    <definedName name="med.tech">[25]LLY!#REF!</definedName>
    <definedName name="mil">1000000</definedName>
    <definedName name="MIL_TMO" localSheetId="9">#REF!</definedName>
    <definedName name="MIL_TMO" localSheetId="8">#REF!</definedName>
    <definedName name="MIL_TMO" localSheetId="3">#REF!</definedName>
    <definedName name="MIL_TMO">#REF!</definedName>
    <definedName name="Millions">1000000</definedName>
    <definedName name="Minority_Interests" localSheetId="9">'[7]Invested capital_VDF'!$C$74:$AZ$74</definedName>
    <definedName name="Minority_Interests" localSheetId="8">'[5]Invested capital_VDF'!$C$74:$AZ$74</definedName>
    <definedName name="Minority_Interests">'[6]Invested capital_VDF'!$C$74:$AZ$74</definedName>
    <definedName name="ML_6f2p1m9g" localSheetId="9">#REF!</definedName>
    <definedName name="ML_6f2p1m9g">#REF!</definedName>
    <definedName name="MLNK1ceed36c1b474e948559e0d5e4a85df7" hidden="1">'[33]Summary - Equity'!$1:$1048576</definedName>
    <definedName name="MLNK3c0bf07af70a4abcaf80dc48e8df5fb7" hidden="1">'[33]Summary - Equity'!$B$2:$U$47</definedName>
    <definedName name="MLNKf54b6699818a466fb4453594483e0da2" hidden="1">'[33]Summary - Equity'!$1:$1048576</definedName>
    <definedName name="MM" localSheetId="9">'[32]P&amp;L'!#REF!</definedName>
    <definedName name="MM" localSheetId="11">'[32]P&amp;L'!#REF!</definedName>
    <definedName name="MM" localSheetId="10">'[32]P&amp;L'!#REF!</definedName>
    <definedName name="MM" localSheetId="3">'[32]P&amp;L'!#REF!</definedName>
    <definedName name="MM">'[32]P&amp;L'!#REF!</definedName>
    <definedName name="model" localSheetId="9">[9]AHC!$A$1:$Z$27</definedName>
    <definedName name="model">[9]AHC!$A$1:$Z$27</definedName>
    <definedName name="morganwise_quarterly" localSheetId="11">#REF!</definedName>
    <definedName name="morganwise_quarterly" localSheetId="10">#REF!</definedName>
    <definedName name="morganwise_quarterly">#REF!</definedName>
    <definedName name="mth">12</definedName>
    <definedName name="N" localSheetId="1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 localSheetId="10">{#N/A,#N/A,FALSE,"SAAR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_A" localSheetId="9">[7]NOPAT_VDF!$C$140</definedName>
    <definedName name="N_A">[6]NOPAT_VDF!$C$140</definedName>
    <definedName name="name">[17]AMETEK!$A$4</definedName>
    <definedName name="NameTar" localSheetId="9">[21]Inputs!$D$13</definedName>
    <definedName name="NameTar">[21]Inputs!$D$13</definedName>
    <definedName name="NAV" localSheetId="9">#REF!</definedName>
    <definedName name="NAV" localSheetId="11">#REF!</definedName>
    <definedName name="NAV" localSheetId="10">#REF!</definedName>
    <definedName name="NAV">#REF!</definedName>
    <definedName name="NAV_SENSE" localSheetId="9">#REF!</definedName>
    <definedName name="NAV_SENSE">#REF!</definedName>
    <definedName name="NBK">#REF!</definedName>
    <definedName name="nd"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d"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d"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et_Adj_capitalized_expenses" localSheetId="9">[7]NOPAT_VDF!$C$24:$AZ$24</definedName>
    <definedName name="Net_Adj_capitalized_expenses">[6]NOPAT_VDF!$C$24:$AZ$24</definedName>
    <definedName name="Net_adj_for_capitalized_expenses" localSheetId="9">[4]Forecasts_VDF!$E$23:$Z$23</definedName>
    <definedName name="Net_adj_for_capitalized_expenses" localSheetId="8">[5]Forecasts_VDF!$E$23:$Z$23</definedName>
    <definedName name="Net_adj_for_capitalized_expenses">[6]Forecasts_VDF!$E$23:$Z$23</definedName>
    <definedName name="Net_Income" localSheetId="9">[4]NOPAT_VDF!$C$94:$AZ$94</definedName>
    <definedName name="Net_Income" localSheetId="8">[5]NOPAT_VDF!$C$94:$AZ$94</definedName>
    <definedName name="Net_Income">[6]NOPAT_VDF!$C$94:$AZ$94</definedName>
    <definedName name="Net_income_adj_cap_expenses" localSheetId="9">[7]NOPAT_VDF!$C$46:$AZ$46</definedName>
    <definedName name="Net_income_adj_cap_expenses" localSheetId="8">[5]NOPAT_VDF!$C$46:$AZ$46</definedName>
    <definedName name="Net_income_adj_cap_expenses">[6]NOPAT_VDF!$C$46:$AZ$46</definedName>
    <definedName name="Net_income_fore" localSheetId="9">[4]Forecasts_VDF!$E$40:$M$40</definedName>
    <definedName name="Net_income_fore" localSheetId="8">[5]Forecasts_VDF!$E$40:$M$40</definedName>
    <definedName name="Net_income_fore">[6]Forecasts_VDF!$E$40:$M$40</definedName>
    <definedName name="Net_income_growth" localSheetId="9">[7]NOPAT_VDF!$C$141:$AU$141</definedName>
    <definedName name="Net_income_growth" localSheetId="8">[5]NOPAT_VDF!$C$141:$AU$141</definedName>
    <definedName name="Net_income_growth">[6]NOPAT_VDF!$C$141:$AU$141</definedName>
    <definedName name="Net_income_growth_avg" localSheetId="9">[6]NOPAT_VDF!#REF!</definedName>
    <definedName name="Net_income_growth_avg" localSheetId="8">[5]NOPAT_VDF!#REF!</definedName>
    <definedName name="Net_income_growth_avg" localSheetId="11">[6]NOPAT_VDF!#REF!</definedName>
    <definedName name="Net_income_growth_avg" localSheetId="10">[6]NOPAT_VDF!#REF!</definedName>
    <definedName name="Net_income_growth_avg" localSheetId="3">[6]NOPAT_VDF!#REF!</definedName>
    <definedName name="Net_income_growth_avg">[6]NOPAT_VDF!#REF!</definedName>
    <definedName name="Net_margin" localSheetId="9">[4]NOPAT_VDF!$C$113:$AU$113</definedName>
    <definedName name="Net_margin" localSheetId="8">[5]NOPAT_VDF!$C$113:$AU$113</definedName>
    <definedName name="Net_margin">[6]NOPAT_VDF!$C$113:$AU$113</definedName>
    <definedName name="Net_margin_fore" localSheetId="9">[6]Forecasts_VDF!#REF!</definedName>
    <definedName name="Net_margin_fore" localSheetId="8">[5]Forecasts_VDF!#REF!</definedName>
    <definedName name="Net_margin_fore" localSheetId="11">[6]Forecasts_VDF!#REF!</definedName>
    <definedName name="Net_margin_fore" localSheetId="10">[6]Forecasts_VDF!#REF!</definedName>
    <definedName name="Net_margin_fore" localSheetId="3">[6]Forecasts_VDF!#REF!</definedName>
    <definedName name="Net_margin_fore">[6]Forecasts_VDF!#REF!</definedName>
    <definedName name="Net_PPE" localSheetId="9">'[7]Invested capital_VDF'!$C$33:$AU$33</definedName>
    <definedName name="Net_PPE" localSheetId="8">'[5]Invested capital_VDF'!$C$33:$AU$33</definedName>
    <definedName name="Net_PPE">'[6]Invested capital_VDF'!$C$33:$AU$33</definedName>
    <definedName name="Net_PPE_DCF" localSheetId="9">[7]DCF_VDF!$C$75:$AZ$75</definedName>
    <definedName name="Net_PPE_DCF" localSheetId="8">[5]DCF_VDF!$C$75:$AZ$75</definedName>
    <definedName name="Net_PPE_DCF">[6]DCF_VDF!$C$75:$AZ$75</definedName>
    <definedName name="Net_PPE_growth_fore" localSheetId="9">[4]Forecasts_VDF!$H$157:$K$157</definedName>
    <definedName name="Net_PPE_growth_fore" localSheetId="8">[5]Forecasts_VDF!$H$157:$K$157</definedName>
    <definedName name="Net_PPE_growth_fore">[6]Forecasts_VDF!$H$157:$K$157</definedName>
    <definedName name="Net_property_under_capital_leases" localSheetId="9">'[7]Invested capital_VDF'!$C$34:$AU$34</definedName>
    <definedName name="Net_property_under_capital_leases" localSheetId="8">'[5]Invested capital_VDF'!$C$34:$AU$34</definedName>
    <definedName name="Net_property_under_capital_leases">'[6]Invested capital_VDF'!$C$34:$AU$34</definedName>
    <definedName name="Net_sales" localSheetId="9">[4]NOPAT_VDF!$C$8:$AE$8</definedName>
    <definedName name="Net_sales" localSheetId="8">[5]NOPAT_VDF!$C$8:$AE$8</definedName>
    <definedName name="Net_sales">[6]NOPAT_VDF!$C$8:$AE$8</definedName>
    <definedName name="Net_sales_DCF" localSheetId="9">[4]DCF_VDF!$C$9:$AZ$9</definedName>
    <definedName name="Net_sales_DCF" localSheetId="8">[5]DCF_VDF!$C$9:$AZ$9</definedName>
    <definedName name="Net_sales_DCF">[6]DCF_VDF!$C$9:$AZ$9</definedName>
    <definedName name="Net_sales_fore" localSheetId="9">[4]Forecasts_VDF!$E$7:$G$7</definedName>
    <definedName name="Net_sales_fore" localSheetId="8">[5]Forecasts_VDF!$E$7:$G$7</definedName>
    <definedName name="Net_sales_fore">[6]Forecasts_VDF!$E$7:$G$7</definedName>
    <definedName name="Net_sales_growth_fore" localSheetId="9">[4]Forecasts_VDF!$H$53:$K$53</definedName>
    <definedName name="Net_sales_growth_fore" localSheetId="8">[5]Forecasts_VDF!$H$53:$K$53</definedName>
    <definedName name="Net_sales_growth_fore">[6]Forecasts_VDF!$H$53:$K$53</definedName>
    <definedName name="Net_Tax_Benefit_of_Non_Op_Charges_Gains" localSheetId="9">[7]NOPAT_VDF!$C$35:$AZ$35</definedName>
    <definedName name="Net_Tax_Benefit_of_Non_Op_Charges_Gains" localSheetId="8">[5]NOPAT_VDF!$C$35:$AZ$35</definedName>
    <definedName name="Net_Tax_Benefit_of_Non_Op_Charges_Gains">[6]NOPAT_VDF!$C$35:$AZ$35</definedName>
    <definedName name="Net_Unrealized_Gains_Losses" localSheetId="9">'[7]Invested capital_VDF'!$C$79:$AZ$79</definedName>
    <definedName name="Net_Unrealized_Gains_Losses" localSheetId="8">'[5]Invested capital_VDF'!$C$79:$AZ$79</definedName>
    <definedName name="Net_Unrealized_Gains_Losses">'[6]Invested capital_VDF'!$C$79:$AZ$79</definedName>
    <definedName name="Net_working_capital" localSheetId="9">'[4]Invested capital_VDF'!$C$26:$AE$26</definedName>
    <definedName name="Net_working_capital" localSheetId="8">'[5]Invested capital_VDF'!$C$26:$AE$26</definedName>
    <definedName name="Net_working_capital">'[6]Invested capital_VDF'!$C$26:$AE$26</definedName>
    <definedName name="Net_working_capital_DCF" localSheetId="9">[7]DCF_VDF!$C$74:$AZ$74</definedName>
    <definedName name="Net_working_capital_DCF" localSheetId="8">[5]DCF_VDF!$C$74:$AZ$74</definedName>
    <definedName name="Net_working_capital_DCF">[6]DCF_VDF!$C$74:$AZ$74</definedName>
    <definedName name="Net_working_capital_turns" localSheetId="9">'[4]Invested capital_VDF'!$C$97:$AU$97</definedName>
    <definedName name="Net_working_capital_turns" localSheetId="8">'[5]Invested capital_VDF'!$C$97:$AU$97</definedName>
    <definedName name="Net_working_capital_turns">'[6]Invested capital_VDF'!$C$97:$AU$97</definedName>
    <definedName name="Net_working_capital_turns_DCF" localSheetId="9">[7]DCF_VDF!$C$80:$AZ$80</definedName>
    <definedName name="Net_working_capital_turns_DCF" localSheetId="8">[5]DCF_VDF!$C$80:$AZ$80</definedName>
    <definedName name="Net_working_capital_turns_DCF">[6]DCF_VDF!$C$80:$AZ$80</definedName>
    <definedName name="NetWC_turns_fore" localSheetId="9">[4]Forecasts_VDF!$E$77:$K$77</definedName>
    <definedName name="NetWC_turns_fore" localSheetId="8">[5]Forecasts_VDF!$E$77:$K$77</definedName>
    <definedName name="NetWC_turns_fore">[6]Forecasts_VDF!$E$77:$K$77</definedName>
    <definedName name="newbel" localSheetId="9" hidden="1">{"'Directory'!$A$72:$E$91"}</definedName>
    <definedName name="newbel" localSheetId="11" hidden="1">{"'Directory'!$A$72:$E$91"}</definedName>
    <definedName name="newbel" localSheetId="10" hidden="1">{"'Directory'!$A$72:$E$91"}</definedName>
    <definedName name="newbel" hidden="1">{"'Directory'!$A$72:$E$91"}</definedName>
    <definedName name="newbls" localSheetId="9" hidden="1">{"'Directory'!$A$72:$E$91"}</definedName>
    <definedName name="newbls" localSheetId="11" hidden="1">{"'Directory'!$A$72:$E$91"}</definedName>
    <definedName name="newbls" localSheetId="10" hidden="1">{"'Directory'!$A$72:$E$91"}</definedName>
    <definedName name="newbls" hidden="1">{"'Directory'!$A$72:$E$91"}</definedName>
    <definedName name="newt" localSheetId="9" hidden="1">{"'Directory'!$A$72:$E$91"}</definedName>
    <definedName name="newt" localSheetId="11" hidden="1">{"'Directory'!$A$72:$E$91"}</definedName>
    <definedName name="newt" localSheetId="10" hidden="1">{"'Directory'!$A$72:$E$91"}</definedName>
    <definedName name="newt" hidden="1">{"'Directory'!$A$72:$E$91"}</definedName>
    <definedName name="newwcom" localSheetId="9" hidden="1">{"'Directory'!$A$72:$E$91"}</definedName>
    <definedName name="newwcom" localSheetId="11" hidden="1">{"'Directory'!$A$72:$E$91"}</definedName>
    <definedName name="newwcom" localSheetId="10" hidden="1">{"'Directory'!$A$72:$E$91"}</definedName>
    <definedName name="newwcom" hidden="1">{"'Directory'!$A$72:$E$91"}</definedName>
    <definedName name="NI_BOE_1998">'[9]E&amp;P'!$J$378</definedName>
    <definedName name="NI_BOE_1999" localSheetId="9">'[9]E&amp;P'!$K$378</definedName>
    <definedName name="NI_BOE_1999">'[9]E&amp;P'!$K$378</definedName>
    <definedName name="NI_BOE_2000" localSheetId="9">'[9]E&amp;P'!$L$378</definedName>
    <definedName name="NI_BOE_2000">'[9]E&amp;P'!$L$378</definedName>
    <definedName name="NI_BOE_2001" localSheetId="9">'[9]E&amp;P'!$M$378</definedName>
    <definedName name="NI_BOE_2001">'[9]E&amp;P'!$M$378</definedName>
    <definedName name="NI_BOE_2002" localSheetId="9">'[9]E&amp;P'!$N$378</definedName>
    <definedName name="NI_BOE_2002">'[9]E&amp;P'!$N$378</definedName>
    <definedName name="NI_BOE_2003" localSheetId="9">'[9]E&amp;P'!$O$378</definedName>
    <definedName name="NI_BOE_2003">'[9]E&amp;P'!$O$378</definedName>
    <definedName name="NI_BOE_2004" localSheetId="9">'[9]E&amp;P'!$P$378</definedName>
    <definedName name="NI_BOE_2004">'[9]E&amp;P'!$P$378</definedName>
    <definedName name="NI_BOE_2005" localSheetId="9">'[9]E&amp;P'!$Q$378</definedName>
    <definedName name="NI_BOE_2005">'[9]E&amp;P'!$Q$378</definedName>
    <definedName name="NI_BOE_2006" localSheetId="9">'[9]E&amp;P'!$R$378</definedName>
    <definedName name="NI_BOE_2006">'[9]E&amp;P'!$R$378</definedName>
    <definedName name="NI_BOE_2007" localSheetId="9">'[9]E&amp;P'!$S$378</definedName>
    <definedName name="NI_BOE_2007">'[9]E&amp;P'!$S$378</definedName>
    <definedName name="NI_BOE_2008" localSheetId="9">'[9]E&amp;P'!$T$378</definedName>
    <definedName name="NI_BOE_2008">'[9]E&amp;P'!$T$378</definedName>
    <definedName name="NI_Intl_EP_2004" localSheetId="9">[30]EXXONMOBIL!$BI$10</definedName>
    <definedName name="NI_Intl_EP_2004">[30]EXXONMOBIL!$BI$10</definedName>
    <definedName name="NI_Total_EP_2004" localSheetId="9">[30]EXXONMOBIL!$BI$11</definedName>
    <definedName name="NI_Total_EP_2004">[30]EXXONMOBIL!$BI$11</definedName>
    <definedName name="NI_US_EP_2004" localSheetId="9">[30]EXXONMOBIL!$BI$9</definedName>
    <definedName name="NI_US_EP_2004">[30]EXXONMOBIL!$BI$9</definedName>
    <definedName name="NIBCLs" localSheetId="9">'[7]Invested capital_VDF'!$C$24:$AE$24</definedName>
    <definedName name="NIBCLs" localSheetId="8">'[5]Invested capital_VDF'!$C$24:$AE$24</definedName>
    <definedName name="NIBCLs">'[6]Invested capital_VDF'!$C$24:$AE$24</definedName>
    <definedName name="no" localSheetId="9" hidden="1">{"PR1","pr1",TRUE,"Sch PR-1"}</definedName>
    <definedName name="no" localSheetId="8" hidden="1">{"PR1","pr1",TRUE,"Sch PR-1"}</definedName>
    <definedName name="no" localSheetId="11" hidden="1">{"PR1","pr1",TRUE,"Sch PR-1"}</definedName>
    <definedName name="no" localSheetId="10" hidden="1">{"PR1","pr1",TRUE,"Sch PR-1"}</definedName>
    <definedName name="no" localSheetId="3" hidden="1">{"PR1","pr1",TRUE,"Sch PR-1"}</definedName>
    <definedName name="no" hidden="1">{"PR1","pr1",TRUE,"Sch PR-1"}</definedName>
    <definedName name="Non_Recurring_loss_gain" localSheetId="9">[7]NOPAT_VDF!$C$50:$AZ$50</definedName>
    <definedName name="Non_Recurring_loss_gain" localSheetId="8">[5]NOPAT_VDF!$C$50:$AZ$50</definedName>
    <definedName name="Non_Recurring_loss_gain">[6]NOPAT_VDF!$C$50:$AZ$50</definedName>
    <definedName name="NOPAT" localSheetId="9">[4]NOPAT_VDF!$C$41:$AU$41</definedName>
    <definedName name="NOPAT" localSheetId="8">[5]NOPAT_VDF!$C$41:$AU$41</definedName>
    <definedName name="NOPAT">[6]NOPAT_VDF!$C$41:$AU$41</definedName>
    <definedName name="NOPAT_DCF" localSheetId="9">[4]DCF_VDF!$C$12:$AZ$12</definedName>
    <definedName name="NOPAT_DCF" localSheetId="8">[5]DCF_VDF!$C$12:$AZ$12</definedName>
    <definedName name="NOPAT_DCF">[6]DCF_VDF!$C$12:$AZ$12</definedName>
    <definedName name="NOPAT_fore" localSheetId="9">[4]Forecasts_VDF!$E$29:$G$29</definedName>
    <definedName name="NOPAT_fore" localSheetId="8">[5]Forecasts_VDF!$E$29:$G$29</definedName>
    <definedName name="NOPAT_fore">[6]Forecasts_VDF!$E$29:$G$29</definedName>
    <definedName name="NOPAT_growth" localSheetId="9">[7]NOPAT_VDF!$C$144:$AU$144</definedName>
    <definedName name="NOPAT_growth" localSheetId="8">[5]NOPAT_VDF!$C$144:$AU$144</definedName>
    <definedName name="NOPAT_growth">[6]NOPAT_VDF!$C$144:$AU$144</definedName>
    <definedName name="NOPAT_growth_avg" localSheetId="9">[6]NOPAT_VDF!#REF!</definedName>
    <definedName name="NOPAT_growth_avg" localSheetId="8">[5]NOPAT_VDF!#REF!</definedName>
    <definedName name="NOPAT_growth_avg" localSheetId="11">[6]NOPAT_VDF!#REF!</definedName>
    <definedName name="NOPAT_growth_avg" localSheetId="10">[6]NOPAT_VDF!#REF!</definedName>
    <definedName name="NOPAT_growth_avg" localSheetId="3">[6]NOPAT_VDF!#REF!</definedName>
    <definedName name="NOPAT_growth_avg">[6]NOPAT_VDF!#REF!</definedName>
    <definedName name="NOPAT_margin" localSheetId="9">[4]NOPAT_VDF!$C$112:$AU$112</definedName>
    <definedName name="NOPAT_margin" localSheetId="8">[5]NOPAT_VDF!$C$112:$AU$112</definedName>
    <definedName name="NOPAT_margin">[6]NOPAT_VDF!$C$112:$AU$112</definedName>
    <definedName name="NOPAT_margin_fore" localSheetId="9">[4]Forecasts_VDF!$H$54:$K$54</definedName>
    <definedName name="NOPAT_margin_fore" localSheetId="8">[5]Forecasts_VDF!$H$54:$K$54</definedName>
    <definedName name="NOPAT_margin_fore">[6]Forecasts_VDF!$H$54:$K$54</definedName>
    <definedName name="NOPAT_Share" localSheetId="9">[6]NOPAT_VDF!#REF!</definedName>
    <definedName name="NOPAT_Share" localSheetId="8">[5]NOPAT_VDF!#REF!</definedName>
    <definedName name="NOPAT_Share" localSheetId="11">[6]NOPAT_VDF!#REF!</definedName>
    <definedName name="NOPAT_Share" localSheetId="10">[6]NOPAT_VDF!#REF!</definedName>
    <definedName name="NOPAT_Share" localSheetId="3">[6]NOPAT_VDF!#REF!</definedName>
    <definedName name="NOPAT_Share">[6]NOPAT_VDF!#REF!</definedName>
    <definedName name="NOPBT" localSheetId="9">[4]NOPAT_VDF!$C$32:$AU$32</definedName>
    <definedName name="NOPBT" localSheetId="8">[5]NOPAT_VDF!$C$32:$AU$32</definedName>
    <definedName name="NOPBT">[6]NOPAT_VDF!$C$32:$AU$32</definedName>
    <definedName name="NOPBT_fore" localSheetId="9">[4]Forecasts_VDF!$E$27:$V$27</definedName>
    <definedName name="NOPBT_fore" localSheetId="8">[5]Forecasts_VDF!$E$27:$V$27</definedName>
    <definedName name="NOPBT_fore">[6]Forecasts_VDF!$E$27:$V$27</definedName>
    <definedName name="Norm_forecast_11_15" localSheetId="9">[4]Forecasts_VDF!$J$8:$J$224</definedName>
    <definedName name="Norm_forecast_11_15" localSheetId="8">[5]Forecasts_VDF!$J$8:$J$224</definedName>
    <definedName name="Norm_forecast_11_15">[6]Forecasts_VDF!$J$8:$J$224</definedName>
    <definedName name="Norm_forecast_16_25" localSheetId="9">[4]Forecasts_VDF!$K$1:$K$65536</definedName>
    <definedName name="Norm_forecast_16_25" localSheetId="8">[5]Forecasts_VDF!$K$1:$K$65536</definedName>
    <definedName name="Norm_forecast_16_25">[6]Forecasts_VDF!$K$1:$K$65536</definedName>
    <definedName name="Norm_forecast_4_5" localSheetId="9">[4]Forecasts_VDF!$H$8:$H$224</definedName>
    <definedName name="Norm_forecast_4_5" localSheetId="8">[5]Forecasts_VDF!$H$8:$H$224</definedName>
    <definedName name="Norm_forecast_4_5">[6]Forecasts_VDF!$H$8:$H$224</definedName>
    <definedName name="Norm_forecast_6_10" localSheetId="9">[4]Forecasts_VDF!$I$8:$I$224</definedName>
    <definedName name="Norm_forecast_6_10" localSheetId="8">[5]Forecasts_VDF!$I$8:$I$224</definedName>
    <definedName name="Norm_forecast_6_10">[6]Forecasts_VDF!$I$8:$I$224</definedName>
    <definedName name="Norm_ROIC" localSheetId="9">#REF!</definedName>
    <definedName name="Norm_ROIC" localSheetId="3">#REF!</definedName>
    <definedName name="Norm_ROIC">#REF!</definedName>
    <definedName name="NPT_1" localSheetId="9">[4]NOPAT_VDF!$P$1:$P$65536</definedName>
    <definedName name="NPT_1" localSheetId="8">[5]NOPAT_VDF!$P$1:$P$65536</definedName>
    <definedName name="NPT_1">[6]NOPAT_VDF!$P$1:$P$65536</definedName>
    <definedName name="NPT_10" localSheetId="9">[7]NOPAT_VDF!$G$1:$G$65536</definedName>
    <definedName name="NPT_10" localSheetId="8">[5]NOPAT_VDF!$G$1:$G$65536</definedName>
    <definedName name="NPT_10">[6]NOPAT_VDF!$G$1:$G$65536</definedName>
    <definedName name="NPT_11" localSheetId="9">[7]NOPAT_VDF!$F$1:$F$65536</definedName>
    <definedName name="NPT_11" localSheetId="8">[5]NOPAT_VDF!$F$1:$F$65536</definedName>
    <definedName name="NPT_11">[6]NOPAT_VDF!$F$1:$F$65536</definedName>
    <definedName name="NPT_12" localSheetId="9">[7]NOPAT_VDF!$E$1:$E$65536</definedName>
    <definedName name="NPT_12">[6]NOPAT_VDF!$E$1:$E$65536</definedName>
    <definedName name="NPT_13" localSheetId="9">[7]NOPAT_VDF!$D$1:$D$65536</definedName>
    <definedName name="NPT_13">[6]NOPAT_VDF!$D$1:$D$65536</definedName>
    <definedName name="NPT_14" localSheetId="9">[7]NOPAT_VDF!$C$1:$C$65536</definedName>
    <definedName name="NPT_14">[6]NOPAT_VDF!$C$1:$C$65536</definedName>
    <definedName name="NPT_2" localSheetId="9">[4]NOPAT_VDF!$O$1:$O$65536</definedName>
    <definedName name="NPT_2" localSheetId="8">[5]NOPAT_VDF!$O$1:$O$65536</definedName>
    <definedName name="NPT_2">[6]NOPAT_VDF!$O$1:$O$65536</definedName>
    <definedName name="NPT_3" localSheetId="9">[7]NOPAT_VDF!$N$1:$N$65536</definedName>
    <definedName name="NPT_3" localSheetId="8">[5]NOPAT_VDF!$N$1:$N$65536</definedName>
    <definedName name="NPT_3">[6]NOPAT_VDF!$N$1:$N$65536</definedName>
    <definedName name="NPT_4" localSheetId="9">[7]NOPAT_VDF!$M$1:$M$65536</definedName>
    <definedName name="NPT_4" localSheetId="8">[5]NOPAT_VDF!$M$1:$M$65536</definedName>
    <definedName name="NPT_4">[6]NOPAT_VDF!$M$1:$M$65536</definedName>
    <definedName name="NPT_5" localSheetId="9">[7]NOPAT_VDF!$L$1:$L$65536</definedName>
    <definedName name="NPT_5">[6]NOPAT_VDF!$L$1:$L$65536</definedName>
    <definedName name="NPT_6" localSheetId="9">[7]NOPAT_VDF!$K$1:$K$65536</definedName>
    <definedName name="NPT_6">[6]NOPAT_VDF!$K$1:$K$65536</definedName>
    <definedName name="NPT_7" localSheetId="9">[7]NOPAT_VDF!$J$1:$J$65536</definedName>
    <definedName name="NPT_7">[6]NOPAT_VDF!$J$1:$J$65536</definedName>
    <definedName name="NPT_8" localSheetId="9">[7]NOPAT_VDF!$I$1:$I$65536</definedName>
    <definedName name="NPT_8">[6]NOPAT_VDF!$I$1:$I$65536</definedName>
    <definedName name="NPT_9" localSheetId="9">[7]NOPAT_VDF!$H$1:$H$65536</definedName>
    <definedName name="NPT_9">[6]NOPAT_VDF!$H$1:$H$65536</definedName>
    <definedName name="NPT_EY1" localSheetId="9">'[7]Invested capital_VDF'!$R$1:$R$65536</definedName>
    <definedName name="NPT_EY1">'[6]Invested capital_VDF'!$R$1:$R$65536</definedName>
    <definedName name="NPT_EY2" localSheetId="9">'[7]Invested capital_VDF'!$S$1:$S$65536</definedName>
    <definedName name="NPT_EY2">'[6]Invested capital_VDF'!$S$1:$S$65536</definedName>
    <definedName name="NPT_EY3" localSheetId="9">'[7]Invested capital_VDF'!$T$1:$T$65536</definedName>
    <definedName name="NPT_EY3">'[6]Invested capital_VDF'!$T$1:$T$65536</definedName>
    <definedName name="NPT_P" localSheetId="9">[4]NOPAT_VDF!$Q$1:$Q$65536</definedName>
    <definedName name="NPT_P" localSheetId="8">[5]NOPAT_VDF!$Q$1:$Q$65536</definedName>
    <definedName name="NPT_P">[6]NOPAT_VDF!$Q$1:$Q$65536</definedName>
    <definedName name="Number_of_Shares" localSheetId="9">#REF!</definedName>
    <definedName name="Number_of_Shares" localSheetId="3">#REF!</definedName>
    <definedName name="Number_of_Shares">#REF!</definedName>
    <definedName name="nxtqtr">#REF!</definedName>
    <definedName name="OCER" localSheetId="9">[15]cmp!#REF!</definedName>
    <definedName name="OCER">[15]cmp!#REF!</definedName>
    <definedName name="Off_B_S_Income" localSheetId="9">[4]NOPAT_VDF!$C$7:$AZ$7</definedName>
    <definedName name="Off_B_S_Income" localSheetId="8">[5]NOPAT_VDF!$C$7:$AZ$7</definedName>
    <definedName name="Off_B_S_Income">[6]NOPAT_VDF!$C$7:$AZ$7</definedName>
    <definedName name="Off_B_S_Income_DCF" localSheetId="9">[4]DCF_VDF!$C$8:$BZ$8</definedName>
    <definedName name="Off_B_S_Income_DCF" localSheetId="8">[5]DCF_VDF!$C$8:$BZ$8</definedName>
    <definedName name="Off_B_S_Income_DCF">[6]DCF_VDF!$C$8:$BZ$8</definedName>
    <definedName name="Off_B_S_Income_fore" localSheetId="9">[4]Forecasts_VDF!$E$6:$Z$6</definedName>
    <definedName name="Off_B_S_Income_fore" localSheetId="8">[5]Forecasts_VDF!$E$6:$Z$6</definedName>
    <definedName name="Off_B_S_Income_fore">[6]Forecasts_VDF!$E$6:$Z$6</definedName>
    <definedName name="Off_B_S_Income_growth_fore" localSheetId="9">[4]Forecasts_VDF!$H$52:$K$52</definedName>
    <definedName name="Off_B_S_Income_growth_fore" localSheetId="8">[5]Forecasts_VDF!$H$52:$K$52</definedName>
    <definedName name="Off_B_S_Income_growth_fore">[6]Forecasts_VDF!$H$52:$K$52</definedName>
    <definedName name="OGBASE_TRANSFER" localSheetId="9">#REF!</definedName>
    <definedName name="OGBASE_TRANSFER" localSheetId="11">#REF!</definedName>
    <definedName name="OGBASE_TRANSFER" localSheetId="10">#REF!</definedName>
    <definedName name="OGBASE_TRANSFER">#REF!</definedName>
    <definedName name="OilSands" localSheetId="9">'[21]Oil Sands'!#REF!</definedName>
    <definedName name="OilSands" localSheetId="11">'[21]Oil Sands'!#REF!</definedName>
    <definedName name="OilSands" localSheetId="10">'[21]Oil Sands'!#REF!</definedName>
    <definedName name="OilSands">'[21]Oil Sands'!#REF!</definedName>
    <definedName name="ok" hidden="1">40802.5741319444</definedName>
    <definedName name="OL_1" localSheetId="9">'[4]PV of Op Leases_VDF'!$AD$1:$AD$65536</definedName>
    <definedName name="OL_1" localSheetId="8">'[5]PV of Op Leases_VDF'!$AD$1:$AD$65536</definedName>
    <definedName name="OL_1">'[6]PV of Op Leases_VDF'!$AD$1:$AD$65536</definedName>
    <definedName name="OL_10" localSheetId="9">'[7]PV of Op Leases_VDF'!$L$1:$L$65536</definedName>
    <definedName name="OL_10" localSheetId="8">'[5]PV of Op Leases_VDF'!$L$1:$L$65536</definedName>
    <definedName name="OL_10">'[6]PV of Op Leases_VDF'!$L$1:$L$65536</definedName>
    <definedName name="OL_11" localSheetId="9">'[7]PV of Op Leases_VDF'!$J$1:$J$65536</definedName>
    <definedName name="OL_11" localSheetId="8">'[5]PV of Op Leases_VDF'!$J$1:$J$65536</definedName>
    <definedName name="OL_11">'[6]PV of Op Leases_VDF'!$J$1:$J$65536</definedName>
    <definedName name="OL_12" localSheetId="9">'[7]PV of Op Leases_VDF'!$H$1:$H$65536</definedName>
    <definedName name="OL_12">'[6]PV of Op Leases_VDF'!$H$1:$H$65536</definedName>
    <definedName name="OL_13" localSheetId="9">'[7]PV of Op Leases_VDF'!$F$1:$F$65536</definedName>
    <definedName name="OL_13">'[6]PV of Op Leases_VDF'!$F$1:$F$65536</definedName>
    <definedName name="OL_14" localSheetId="9">'[7]PV of Op Leases_VDF'!$D$1:$D$65536</definedName>
    <definedName name="OL_14">'[6]PV of Op Leases_VDF'!$D$1:$D$65536</definedName>
    <definedName name="OL_2" localSheetId="9">'[7]PV of Op Leases_VDF'!$AB$1:$AB$65536</definedName>
    <definedName name="OL_2">'[6]PV of Op Leases_VDF'!$AB$1:$AB$65536</definedName>
    <definedName name="OL_3" localSheetId="9">'[7]PV of Op Leases_VDF'!$Z$1:$Z$65536</definedName>
    <definedName name="OL_3">'[6]PV of Op Leases_VDF'!$Z$1:$Z$65536</definedName>
    <definedName name="OL_4" localSheetId="9">'[7]PV of Op Leases_VDF'!$X$1:$X$65536</definedName>
    <definedName name="OL_4">'[6]PV of Op Leases_VDF'!$X$1:$X$65536</definedName>
    <definedName name="OL_5" localSheetId="9">'[7]PV of Op Leases_VDF'!$V$1:$V$65536</definedName>
    <definedName name="OL_5">'[6]PV of Op Leases_VDF'!$V$1:$V$65536</definedName>
    <definedName name="OL_6" localSheetId="9">'[7]PV of Op Leases_VDF'!$T$1:$T$65536</definedName>
    <definedName name="OL_6">'[6]PV of Op Leases_VDF'!$T$1:$T$65536</definedName>
    <definedName name="OL_7" localSheetId="9">'[7]PV of Op Leases_VDF'!$R$1:$R$65536</definedName>
    <definedName name="OL_7">'[6]PV of Op Leases_VDF'!$R$1:$R$65536</definedName>
    <definedName name="OL_8" localSheetId="9">'[7]PV of Op Leases_VDF'!$P$1:$P$65536</definedName>
    <definedName name="OL_8">'[6]PV of Op Leases_VDF'!$P$1:$P$65536</definedName>
    <definedName name="OL_9" localSheetId="9">'[7]PV of Op Leases_VDF'!$N$1:$N$65536</definedName>
    <definedName name="OL_9">'[6]PV of Op Leases_VDF'!$N$1:$N$65536</definedName>
    <definedName name="OL_P" localSheetId="9">'[4]PV of Op Leases_VDF'!$AF$1:$AF$65536</definedName>
    <definedName name="OL_P" localSheetId="8">'[5]PV of Op Leases_VDF'!$AF$1:$AF$65536</definedName>
    <definedName name="OL_P">'[6]PV of Op Leases_VDF'!$AF$1:$AF$65536</definedName>
    <definedName name="Op_Margin" localSheetId="9">[22]IS!$A$35:$IV$35</definedName>
    <definedName name="Op_Margin" localSheetId="8">[24]IS!$A$35:$IV$35</definedName>
    <definedName name="Op_Margin">[27]IS!$A$35:$IV$35</definedName>
    <definedName name="Operating_Expenses" localSheetId="9">[7]NOPAT_VDF!$C$15:$AZ$15</definedName>
    <definedName name="Operating_Expenses" localSheetId="8">[5]NOPAT_VDF!$C$15:$AZ$15</definedName>
    <definedName name="Operating_Expenses">[6]NOPAT_VDF!$C$15:$AZ$15</definedName>
    <definedName name="Operating_income" localSheetId="9">[7]NOPAT_VDF!$C$84:$AZ$84</definedName>
    <definedName name="Operating_income" localSheetId="8">[5]NOPAT_VDF!$C$84:$AZ$84</definedName>
    <definedName name="Operating_income">[6]NOPAT_VDF!$C$84:$AZ$84</definedName>
    <definedName name="Operating_income_fore" localSheetId="9">[4]Forecasts_VDF!$E$13:$G$13</definedName>
    <definedName name="Operating_income_fore" localSheetId="8">[5]Forecasts_VDF!$E$13:$G$13</definedName>
    <definedName name="Operating_income_fore">[6]Forecasts_VDF!$E$13:$G$13</definedName>
    <definedName name="Operating_Lease_Expense" localSheetId="9">[4]NOPAT_VDF!$C$23:$AZ$23</definedName>
    <definedName name="Operating_Lease_Expense" localSheetId="8">[5]NOPAT_VDF!$C$23:$AZ$23</definedName>
    <definedName name="Operating_Lease_Expense">[6]NOPAT_VDF!$C$23:$AZ$23</definedName>
    <definedName name="Operating_Lease_Expense_fore" localSheetId="9">[4]Forecasts_VDF!$E$22:$Z$22</definedName>
    <definedName name="Operating_Lease_Expense_fore" localSheetId="8">[5]Forecasts_VDF!$E$22:$Z$22</definedName>
    <definedName name="Operating_Lease_Expense_fore">[6]Forecasts_VDF!$E$22:$Z$22</definedName>
    <definedName name="Other" localSheetId="9">'[7]Invested capital_VDF'!$C$45:$AU$45</definedName>
    <definedName name="Other" localSheetId="8">'[5]Invested capital_VDF'!$C$45:$AU$45</definedName>
    <definedName name="Other">'[6]Invested capital_VDF'!$C$45:$AU$45</definedName>
    <definedName name="Other_asset_turns" localSheetId="9">'[4]Invested capital_VDF'!$A$101:$Z$101</definedName>
    <definedName name="Other_asset_turns" localSheetId="8">'[5]Invested capital_VDF'!$A$101:$Z$101</definedName>
    <definedName name="Other_asset_turns">'[6]Invested capital_VDF'!$A$101:$Z$101</definedName>
    <definedName name="Other_asset_turns_DCF" localSheetId="9">[7]DCF_VDF!$C$82:$AZ$82</definedName>
    <definedName name="Other_asset_turns_DCF" localSheetId="8">[5]DCF_VDF!$C$82:$AZ$82</definedName>
    <definedName name="Other_asset_turns_DCF">[6]DCF_VDF!$C$82:$AZ$82</definedName>
    <definedName name="Other_asset_turns_fore" localSheetId="9">[4]Forecasts_VDF!$B$79:$K$79</definedName>
    <definedName name="Other_asset_turns_fore" localSheetId="8">[5]Forecasts_VDF!$B$79:$K$79</definedName>
    <definedName name="Other_asset_turns_fore">[6]Forecasts_VDF!$B$79:$K$79</definedName>
    <definedName name="Other_assets" localSheetId="9">'[7]Invested capital_VDF'!$C$45:$AU$45</definedName>
    <definedName name="Other_assets" localSheetId="8">'[5]Invested capital_VDF'!$C$45:$AU$45</definedName>
    <definedName name="Other_assets">'[6]Invested capital_VDF'!$C$45:$AU$45</definedName>
    <definedName name="Other_assets_DCF" localSheetId="9">[7]DCF_VDF!$C$76:$AZ$76</definedName>
    <definedName name="Other_assets_DCF" localSheetId="8">[5]DCF_VDF!$C$76:$AZ$76</definedName>
    <definedName name="Other_assets_DCF">[6]DCF_VDF!$C$76:$AZ$76</definedName>
    <definedName name="Other_Assets2" localSheetId="9">'[7]Invested capital_VDF'!$C$46:$AZ$46</definedName>
    <definedName name="Other_Assets2">'[6]Invested capital_VDF'!$C$46:$AZ$46</definedName>
    <definedName name="Other_current_assets" localSheetId="9">'[7]Invested capital_VDF'!$C$12:$AE$12</definedName>
    <definedName name="Other_current_assets">'[6]Invested capital_VDF'!$C$12:$AE$12</definedName>
    <definedName name="Other_current_assets_growth_fore" localSheetId="9">[4]Forecasts_VDF!$H$149:$K$149</definedName>
    <definedName name="Other_current_assets_growth_fore" localSheetId="8">[5]Forecasts_VDF!$H$149:$K$149</definedName>
    <definedName name="Other_current_assets_growth_fore">[6]Forecasts_VDF!$H$149:$K$149</definedName>
    <definedName name="Other_Current_Assets2" localSheetId="9">'[7]Invested capital_VDF'!$C$14:$AZ$14</definedName>
    <definedName name="Other_Current_Assets2" localSheetId="8">'[5]Invested capital_VDF'!$C$14:$AZ$14</definedName>
    <definedName name="Other_Current_Assets2">'[6]Invested capital_VDF'!$C$14:$AZ$14</definedName>
    <definedName name="Other_current_liabilities" localSheetId="9">'[7]Invested capital_VDF'!$C$22:$AU$22</definedName>
    <definedName name="Other_current_liabilities" localSheetId="8">'[5]Invested capital_VDF'!$C$22:$AU$22</definedName>
    <definedName name="Other_current_liabilities">'[6]Invested capital_VDF'!$C$22:$AU$22</definedName>
    <definedName name="Other_current_liabilities_growth_fore" localSheetId="9">[4]Forecasts_VDF!$H$155:$K$155</definedName>
    <definedName name="Other_current_liabilities_growth_fore" localSheetId="8">[5]Forecasts_VDF!$H$155:$K$155</definedName>
    <definedName name="Other_current_liabilities_growth_fore">[6]Forecasts_VDF!$H$155:$K$155</definedName>
    <definedName name="Other_Current_Liabilities2" localSheetId="9">'[7]Invested capital_VDF'!$C$23:$AZ$23</definedName>
    <definedName name="Other_Current_Liabilities2" localSheetId="8">'[5]Invested capital_VDF'!$C$23:$AZ$23</definedName>
    <definedName name="Other_Current_Liabilities2">'[6]Invested capital_VDF'!$C$23:$AZ$23</definedName>
    <definedName name="Other_DCF" localSheetId="9">[7]DCF_VDF!$C$76:$AZ$76</definedName>
    <definedName name="Other_DCF" localSheetId="8">[5]DCF_VDF!$C$76:$AZ$76</definedName>
    <definedName name="Other_DCF">[6]DCF_VDF!$C$76:$AZ$76</definedName>
    <definedName name="Other_dividends" localSheetId="9">'[6]Invested capital_VDF'!#REF!</definedName>
    <definedName name="Other_dividends" localSheetId="8">'[5]Invested capital_VDF'!#REF!</definedName>
    <definedName name="Other_dividends" localSheetId="11">'[6]Invested capital_VDF'!#REF!</definedName>
    <definedName name="Other_dividends" localSheetId="10">'[6]Invested capital_VDF'!#REF!</definedName>
    <definedName name="Other_dividends" localSheetId="3">'[6]Invested capital_VDF'!#REF!</definedName>
    <definedName name="Other_dividends">'[6]Invested capital_VDF'!#REF!</definedName>
    <definedName name="Other_Expenses" localSheetId="9">[4]NOPAT_VDF!$C$59:$AZ$59</definedName>
    <definedName name="Other_Expenses" localSheetId="8">[5]NOPAT_VDF!$C$59:$AZ$59</definedName>
    <definedName name="Other_Expenses">[6]NOPAT_VDF!$C$59:$AZ$59</definedName>
    <definedName name="Other_Expenses_fore" localSheetId="9">[4]Forecasts_VDF!$E$35:$G$35</definedName>
    <definedName name="Other_Expenses_fore" localSheetId="8">[5]Forecasts_VDF!$E$35:$G$35</definedName>
    <definedName name="Other_Expenses_fore">[6]Forecasts_VDF!$E$35:$G$35</definedName>
    <definedName name="Other_expenses_gains" localSheetId="9">[4]NOPAT_VDF!$C$14:$AZ$14</definedName>
    <definedName name="Other_expenses_gains" localSheetId="8">[5]NOPAT_VDF!$C$14:$AZ$14</definedName>
    <definedName name="Other_expenses_gains">[6]NOPAT_VDF!$C$14:$AZ$14</definedName>
    <definedName name="Other_expenses_gains_fore" localSheetId="9">[4]Forecasts_VDF!$E$12:$G$12</definedName>
    <definedName name="Other_expenses_gains_fore" localSheetId="8">[5]Forecasts_VDF!$E$12:$G$12</definedName>
    <definedName name="Other_expenses_gains_fore">[6]Forecasts_VDF!$E$12:$G$12</definedName>
    <definedName name="Other_expenses_growth_fore" localSheetId="9">[4]Forecasts_VDF!$H$172:$K$172</definedName>
    <definedName name="Other_expenses_growth_fore" localSheetId="8">[5]Forecasts_VDF!$H$172:$K$172</definedName>
    <definedName name="Other_expenses_growth_fore">[6]Forecasts_VDF!$H$172:$K$172</definedName>
    <definedName name="Other_fixed_asset_turns" localSheetId="9">'[7]Invested capital_VDF'!$C$100:$AU$100</definedName>
    <definedName name="Other_fixed_asset_turns" localSheetId="8">'[5]Invested capital_VDF'!$C$100:$AU$100</definedName>
    <definedName name="Other_fixed_asset_turns">'[6]Invested capital_VDF'!$C$100:$AU$100</definedName>
    <definedName name="Other_fixed_asset_turns_fore" localSheetId="9">[4]Forecasts_VDF!$H$131:$K$131</definedName>
    <definedName name="Other_fixed_asset_turns_fore" localSheetId="8">[5]Forecasts_VDF!$H$131:$K$131</definedName>
    <definedName name="Other_fixed_asset_turns_fore">[6]Forecasts_VDF!$H$131:$K$131</definedName>
    <definedName name="Other_fixed_assets" localSheetId="9">'[7]Invested capital_VDF'!$D$41:$AU$41</definedName>
    <definedName name="Other_fixed_assets" localSheetId="8">'[5]Invested capital_VDF'!$D$41:$AU$41</definedName>
    <definedName name="Other_fixed_assets">'[6]Invested capital_VDF'!$D$41:$AU$41</definedName>
    <definedName name="Other_fixed_assets_growth_fore" localSheetId="9">[4]Forecasts_VDF!$H$158:$K$158</definedName>
    <definedName name="Other_fixed_assets_growth_fore" localSheetId="8">[5]Forecasts_VDF!$H$158:$K$158</definedName>
    <definedName name="Other_fixed_assets_growth_fore">[6]Forecasts_VDF!$H$158:$K$158</definedName>
    <definedName name="Other_fixed_assets2" localSheetId="9">'[7]Invested capital_VDF'!$C$42:$AZ$42</definedName>
    <definedName name="Other_fixed_assets2" localSheetId="8">'[5]Invested capital_VDF'!$C$42:$AZ$42</definedName>
    <definedName name="Other_fixed_assets2">'[6]Invested capital_VDF'!$C$42:$AZ$42</definedName>
    <definedName name="Other_growth_fore" localSheetId="9">[4]Forecasts_VDF!$H$166:$K$166</definedName>
    <definedName name="Other_growth_fore" localSheetId="8">[5]Forecasts_VDF!$H$166:$K$166</definedName>
    <definedName name="Other_growth_fore">[6]Forecasts_VDF!$H$166:$K$166</definedName>
    <definedName name="Other_inc_exp_fore" localSheetId="9">[4]Forecasts_VDF!$E$34:$M$34</definedName>
    <definedName name="Other_inc_exp_fore" localSheetId="8">[5]Forecasts_VDF!$E$34:$M$34</definedName>
    <definedName name="Other_inc_exp_fore">[6]Forecasts_VDF!$E$34:$M$34</definedName>
    <definedName name="Other_Income" localSheetId="9">[4]NOPAT_VDF!$C$58:$AZ$58</definedName>
    <definedName name="Other_Income" localSheetId="8">[5]NOPAT_VDF!$C$58:$AZ$58</definedName>
    <definedName name="Other_Income">[6]NOPAT_VDF!$C$58:$AZ$58</definedName>
    <definedName name="Other_income_growth_fore" localSheetId="9">[4]Forecasts_VDF!$H$173:$K$173</definedName>
    <definedName name="Other_income_growth_fore" localSheetId="8">[5]Forecasts_VDF!$H$173:$K$173</definedName>
    <definedName name="Other_income_growth_fore">[6]Forecasts_VDF!$H$173:$K$173</definedName>
    <definedName name="Other_Intangible_Assets" localSheetId="9">'[7]Invested capital_VDF'!$C$38:$AZ$38</definedName>
    <definedName name="Other_Intangible_Assets" localSheetId="8">'[5]Invested capital_VDF'!$C$38:$AZ$38</definedName>
    <definedName name="Other_Intangible_Assets">'[6]Invested capital_VDF'!$C$38:$AZ$38</definedName>
    <definedName name="Other_liabilities" localSheetId="9">'[7]Invested capital_VDF'!$C$72:$AE$72</definedName>
    <definedName name="Other_liabilities" localSheetId="8">'[5]Invested capital_VDF'!$C$72:$AE$72</definedName>
    <definedName name="Other_liabilities">'[6]Invested capital_VDF'!$C$72:$AE$72</definedName>
    <definedName name="Other_liabilities_growth_fore" localSheetId="9">[4]Forecasts_VDF!$H$168:$K$168</definedName>
    <definedName name="Other_liabilities_growth_fore" localSheetId="8">[5]Forecasts_VDF!$H$168:$K$168</definedName>
    <definedName name="Other_liabilities_growth_fore">[6]Forecasts_VDF!$H$168:$K$168</definedName>
    <definedName name="Other_liabilities2" localSheetId="9">'[7]Invested capital_VDF'!$C$73:$AZ$73</definedName>
    <definedName name="Other_liabilities2" localSheetId="8">'[5]Invested capital_VDF'!$C$73:$AZ$73</definedName>
    <definedName name="Other_liabilities2">'[6]Invested capital_VDF'!$C$73:$AZ$73</definedName>
    <definedName name="Other_LT_Debt" localSheetId="9">'[7]Invested capital_VDF'!$C$60:$AZ$60</definedName>
    <definedName name="Other_LT_Debt" localSheetId="8">'[5]Invested capital_VDF'!$C$60:$AZ$60</definedName>
    <definedName name="Other_LT_Debt">'[6]Invested capital_VDF'!$C$60:$AZ$60</definedName>
    <definedName name="Other_ncome_expenses" localSheetId="9">[7]NOPAT_VDF!$C$58:$AZ$58</definedName>
    <definedName name="Other_ncome_expenses">[6]NOPAT_VDF!$C$58:$AZ$58</definedName>
    <definedName name="Other_reserves" localSheetId="9">'[7]Invested capital_VDF'!$C$11:$AZ$11</definedName>
    <definedName name="Other_reserves">'[6]Invested capital_VDF'!$C$11:$AZ$11</definedName>
    <definedName name="Other_Segment_Revenues" localSheetId="9">[6]NOPAT_VDF!#REF!</definedName>
    <definedName name="Other_Segment_Revenues" localSheetId="8">[5]NOPAT_VDF!#REF!</definedName>
    <definedName name="Other_Segment_Revenues" localSheetId="11">[6]NOPAT_VDF!#REF!</definedName>
    <definedName name="Other_Segment_Revenues" localSheetId="10">[6]NOPAT_VDF!#REF!</definedName>
    <definedName name="Other_Segment_Revenues" localSheetId="3">[6]NOPAT_VDF!#REF!</definedName>
    <definedName name="Other_Segment_Revenues">[6]NOPAT_VDF!#REF!</definedName>
    <definedName name="Other_ST_Debt" localSheetId="9">'[7]Invested capital_VDF'!$C$56:$AZ$56</definedName>
    <definedName name="Other_ST_Debt" localSheetId="8">'[5]Invested capital_VDF'!$C$56:$AZ$56</definedName>
    <definedName name="Other_ST_Debt">'[6]Invested capital_VDF'!$C$56:$AZ$56</definedName>
    <definedName name="overlay" localSheetId="9">[25]LLY!#REF!</definedName>
    <definedName name="overlay" localSheetId="11">[25]LLY!#REF!</definedName>
    <definedName name="overlay" localSheetId="10">[25]LLY!#REF!</definedName>
    <definedName name="overlay" localSheetId="3">[25]LLY!#REF!</definedName>
    <definedName name="overlay">[25]LLY!#REF!</definedName>
    <definedName name="Page_1" localSheetId="9">[19]ADK!$A$30:$AW$63</definedName>
    <definedName name="Page_1">[19]ADK!$A$30:$AW$63</definedName>
    <definedName name="Page_2" localSheetId="9">[19]ADK!$A$65:$AW$113</definedName>
    <definedName name="Page_2">[19]ADK!$A$65:$AW$113</definedName>
    <definedName name="Page_3" localSheetId="9">[34]iQ_US_CoreIndustrials!$A$168:$AM$234</definedName>
    <definedName name="Page_3">[34]iQ_US_CoreIndustrials!$A$168:$AM$234</definedName>
    <definedName name="Page_4" localSheetId="9">[34]iQ_US_CoreIndustrials!$A$237:$AM$295</definedName>
    <definedName name="Page_4">[34]iQ_US_CoreIndustrials!$A$237:$AM$295</definedName>
    <definedName name="page13"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13"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13"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rtial_year" localSheetId="9">[4]Forecasts_VDF!$K$12</definedName>
    <definedName name="Partial_year" localSheetId="8">[5]Forecasts_VDF!$K$12</definedName>
    <definedName name="Partial_year">[6]Forecasts_VDF!$K$12</definedName>
    <definedName name="PESC">[15]cmp!#REF!</definedName>
    <definedName name="PKD" localSheetId="9">[15]cmp!#REF!</definedName>
    <definedName name="PKD">[15]cmp!#REF!</definedName>
    <definedName name="pl" localSheetId="11" hidden="1">{"profit",#N/A,FALSE,"Aerospace";"profit",#N/A,FALSE,"Engines";"profit",#N/A,FALSE,"AES";"profit",#N/A,FALSE,"ES";"profit",#N/A,FALSE,"CAS";"profit",#N/A,FALSE,"ATSC";"profit",#N/A,FALSE,"FMT";"profit",#N/A,FALSE,"Aero Other";"profit",#N/A,FALSE,"Judgement"}</definedName>
    <definedName name="pl" localSheetId="10" hidden="1">{"profit",#N/A,FALSE,"Aerospace";"profit",#N/A,FALSE,"Engines";"profit",#N/A,FALSE,"AES";"profit",#N/A,FALSE,"ES";"profit",#N/A,FALSE,"CAS";"profit",#N/A,FALSE,"ATSC";"profit",#N/A,FALSE,"FMT";"profit",#N/A,FALSE,"Aero Other";"profit",#N/A,FALSE,"Judgement"}</definedName>
    <definedName name="pl" hidden="1">{"profit",#N/A,FALSE,"Aerospace";"profit",#N/A,FALSE,"Engines";"profit",#N/A,FALSE,"AES";"profit",#N/A,FALSE,"ES";"profit",#N/A,FALSE,"CAS";"profit",#N/A,FALSE,"ATSC";"profit",#N/A,FALSE,"FMT";"profit",#N/A,FALSE,"Aero Other";"profit",#N/A,FALSE,"Judgement"}</definedName>
    <definedName name="possibleoutcomes" localSheetId="9">[3]BMY!#REF!</definedName>
    <definedName name="possibleoutcomes" localSheetId="3">[3]BMY!#REF!</definedName>
    <definedName name="possibleoutcomes">[3]BMY!#REF!</definedName>
    <definedName name="PPnE_turns_fore" localSheetId="9">[4]Forecasts_VDF!$H$130:$K$130</definedName>
    <definedName name="PPnE_turns_fore" localSheetId="8">[5]Forecasts_VDF!$H$130:$K$130</definedName>
    <definedName name="PPnE_turns_fore">[6]Forecasts_VDF!$H$130:$K$130</definedName>
    <definedName name="Preferred_book_value" localSheetId="9">[7]WACC_VDF!$D$15</definedName>
    <definedName name="Preferred_book_value" localSheetId="8">[5]WACC_VDF!$D$15</definedName>
    <definedName name="Preferred_book_value">[6]WACC_VDF!$D$15</definedName>
    <definedName name="Preferred_Dividends" localSheetId="9">[7]NOPAT_VDF!$C$61:$AZ$61</definedName>
    <definedName name="Preferred_Dividends" localSheetId="8">[5]NOPAT_VDF!$C$61:$AZ$61</definedName>
    <definedName name="Preferred_Dividends">[6]NOPAT_VDF!$C$61:$AZ$61</definedName>
    <definedName name="Preferred_stock" localSheetId="9">'[4]Invested capital_VDF'!$C$81:$AE$81</definedName>
    <definedName name="Preferred_stock" localSheetId="8">'[5]Invested capital_VDF'!$C$81:$AE$81</definedName>
    <definedName name="Preferred_stock">'[6]Invested capital_VDF'!$C$81:$AE$81</definedName>
    <definedName name="Preferred_stock_growth_fore" localSheetId="9">[4]Forecasts_VDF!$H$171:$K$171</definedName>
    <definedName name="Preferred_stock_growth_fore" localSheetId="8">[5]Forecasts_VDF!$H$171:$K$171</definedName>
    <definedName name="Preferred_stock_growth_fore">[6]Forecasts_VDF!$H$171:$K$171</definedName>
    <definedName name="Present_Value_Oper_lease" localSheetId="9">'[4]PV of Op Leases_VDF'!$C$62:$AW$62</definedName>
    <definedName name="Present_Value_Oper_lease" localSheetId="8">'[5]PV of Op Leases_VDF'!$C$62:$AW$62</definedName>
    <definedName name="Present_Value_Oper_lease">'[6]PV of Op Leases_VDF'!$C$62:$AW$62</definedName>
    <definedName name="Pretax_income" localSheetId="9">[4]NOPAT_VDF!$C$90:$AE$90</definedName>
    <definedName name="Pretax_income" localSheetId="8">[5]NOPAT_VDF!$C$90:$AE$90</definedName>
    <definedName name="Pretax_income">[6]NOPAT_VDF!$C$90:$AE$90</definedName>
    <definedName name="Pretax_income_fore" localSheetId="9">[4]Forecasts_VDF!$E$36:$Z$36</definedName>
    <definedName name="Pretax_income_fore" localSheetId="8">[5]Forecasts_VDF!$E$36:$Z$36</definedName>
    <definedName name="Pretax_income_fore">[6]Forecasts_VDF!$E$36:$Z$36</definedName>
    <definedName name="PrFcst" localSheetId="11">#REF!</definedName>
    <definedName name="PrFcst" localSheetId="10">#REF!</definedName>
    <definedName name="PrFcst">#REF!</definedName>
    <definedName name="PRICE_SENSE" localSheetId="9">#REF!</definedName>
    <definedName name="PRICE_SENSE" localSheetId="11">#REF!</definedName>
    <definedName name="PRICE_SENSE" localSheetId="10">#REF!</definedName>
    <definedName name="PRICE_SENSE">#REF!</definedName>
    <definedName name="_xlnm.Print_Area" localSheetId="4">BS!$A$1:$EU$64</definedName>
    <definedName name="_xlnm.Print_Area" localSheetId="5">CF!$A$1:$EV$72</definedName>
    <definedName name="_xlnm.Print_Area" localSheetId="13">ESO!$1:$1048576</definedName>
    <definedName name="_xlnm.Print_Area" localSheetId="2">IS!$A$1:$FB$95</definedName>
    <definedName name="_xlnm.Print_Area" localSheetId="6">'Other Accts'!$A$1:$CZ$70</definedName>
    <definedName name="_xlnm.Print_Area" localSheetId="10">QtrComp!#REF!</definedName>
    <definedName name="_xlnm.Print_Area" localSheetId="3">Rev!$A$1:$FB$140</definedName>
    <definedName name="_xlnm.Print_Area" localSheetId="7">Valuation!$A$1:$AC$54</definedName>
    <definedName name="_xlnm.Print_Area">#N/A</definedName>
    <definedName name="Print_Area_MI" localSheetId="9">[19]ADK!#REF!</definedName>
    <definedName name="Print_Area_MI" localSheetId="11">[19]ADK!#REF!</definedName>
    <definedName name="Print_Area_MI" localSheetId="10">[19]ADK!#REF!</definedName>
    <definedName name="Print_Area_MI">[19]ADK!#REF!</definedName>
    <definedName name="Print1" localSheetId="11">#REF!</definedName>
    <definedName name="Print1" localSheetId="10">#REF!</definedName>
    <definedName name="Print1">#REF!</definedName>
    <definedName name="prod1" localSheetId="9">'[35]U.S. Generics'!#REF!</definedName>
    <definedName name="prod1" localSheetId="11">'[35]U.S. Generics'!#REF!</definedName>
    <definedName name="prod1" localSheetId="10">'[35]U.S. Generics'!#REF!</definedName>
    <definedName name="prod1" localSheetId="3">'[35]U.S. Generics'!#REF!</definedName>
    <definedName name="prod1">'[35]U.S. Generics'!#REF!</definedName>
    <definedName name="prodDO" localSheetId="9">[36]WYEProd!#REF!</definedName>
    <definedName name="prodDO" localSheetId="3">[36]WYEProd!#REF!</definedName>
    <definedName name="prodDO">[36]WYEProd!#REF!</definedName>
    <definedName name="PROFILE_UPDATE" localSheetId="9">#REF!</definedName>
    <definedName name="PROFILE_UPDATE" localSheetId="11">#REF!</definedName>
    <definedName name="PROFILE_UPDATE" localSheetId="10">#REF!</definedName>
    <definedName name="PROFILE_UPDATE">#REF!</definedName>
    <definedName name="profit" localSheetId="11" hidden="1">{"profit",#N/A,FALSE,"Aerospace";"profit",#N/A,FALSE,"Engines";"profit",#N/A,FALSE,"AES";"profit",#N/A,FALSE,"ES";"profit",#N/A,FALSE,"CAS";"profit",#N/A,FALSE,"ATSC";"profit",#N/A,FALSE,"FMT";"profit",#N/A,FALSE,"Aero Other";"profit",#N/A,FALSE,"Judgement"}</definedName>
    <definedName name="profit" localSheetId="10" hidden="1">{"profit",#N/A,FALSE,"Aerospace";"profit",#N/A,FALSE,"Engines";"profit",#N/A,FALSE,"AES";"profit",#N/A,FALSE,"ES";"profit",#N/A,FALSE,"CAS";"profit",#N/A,FALSE,"ATSC";"profit",#N/A,FALSE,"FMT";"profit",#N/A,FALSE,"Aero Other";"profit",#N/A,FALSE,"Judgement"}</definedName>
    <definedName name="profit" hidden="1">{"profit",#N/A,FALSE,"Aerospace";"profit",#N/A,FALSE,"Engines";"profit",#N/A,FALSE,"AES";"profit",#N/A,FALSE,"ES";"profit",#N/A,FALSE,"CAS";"profit",#N/A,FALSE,"ATSC";"profit",#N/A,FALSE,"FMT";"profit",#N/A,FALSE,"Aero Other";"profit",#N/A,FALSE,"Judgement"}</definedName>
    <definedName name="Proforma" localSheetId="9">[25]LLY!#REF!</definedName>
    <definedName name="Proforma" localSheetId="3">[25]LLY!#REF!</definedName>
    <definedName name="Proforma">[25]LLY!#REF!</definedName>
    <definedName name="PSA" localSheetId="9">#REF!</definedName>
    <definedName name="PSA" localSheetId="11">#REF!</definedName>
    <definedName name="PSA" localSheetId="10">#REF!</definedName>
    <definedName name="PSA" localSheetId="3">#REF!</definedName>
    <definedName name="PSA">#REF!</definedName>
    <definedName name="PV_of_Economic_Profit" localSheetId="9">[4]DCF_VDF!$C$49:$BZ$49</definedName>
    <definedName name="PV_of_Economic_Profit" localSheetId="8">[5]DCF_VDF!$C$49:$BZ$49</definedName>
    <definedName name="PV_of_Economic_Profit">[6]DCF_VDF!$C$49:$BZ$49</definedName>
    <definedName name="PV_of_FCF" localSheetId="9">[7]DCF_VDF!$C$26:$AZ$26</definedName>
    <definedName name="PV_of_FCF" localSheetId="8">[5]DCF_VDF!$C$26:$AZ$26</definedName>
    <definedName name="PV_of_FCF">[6]DCF_VDF!$C$26:$AZ$26</definedName>
    <definedName name="PV_of_Residual_Value" localSheetId="9">[7]DCF_VDF!$C$30:$AZ$30</definedName>
    <definedName name="PV_of_Residual_Value" localSheetId="8">[5]DCF_VDF!$C$30:$AZ$30</definedName>
    <definedName name="PV_of_Residual_Value">[6]DCF_VDF!$C$30:$AZ$30</definedName>
    <definedName name="PV_Oper_lease" localSheetId="9">'[7]PV of Op Leases_VDF'!$C$62:$AW$62</definedName>
    <definedName name="PV_Oper_lease">'[6]PV of Op Leases_VDF'!$C$62:$AW$62</definedName>
    <definedName name="PVGO" localSheetId="9">'[7]Summary Page_VDF'!$C$10</definedName>
    <definedName name="PVGO">'[6]Summary Page_VDF'!$C$10</definedName>
    <definedName name="Q1.2002" localSheetId="9">[22]IS!$P$1:$P$65536</definedName>
    <definedName name="Q1.2002" localSheetId="8">[24]IS!$P$1:$P$65536</definedName>
    <definedName name="Q1.2002">[23]IS!$P$1:$P$65536</definedName>
    <definedName name="Q1.2003" localSheetId="9">[22]IS!$V$1:$V$65536</definedName>
    <definedName name="Q1.2003" localSheetId="8">[24]IS!$V$1:$V$65536</definedName>
    <definedName name="Q1.2003">[23]IS!$V$1:$V$65536</definedName>
    <definedName name="Q1.2004" localSheetId="9">[22]IS!$AB$1:$AB$65536</definedName>
    <definedName name="Q1.2004">[23]IS!$AB$1:$AB$65536</definedName>
    <definedName name="Q1.2005" localSheetId="9">[22]IS!$AH$1:$AH$65536</definedName>
    <definedName name="Q1.2005">[23]IS!$AH$1:$AH$65536</definedName>
    <definedName name="Q1.2006" localSheetId="9">[22]IS!$AN$1:$AN$65536</definedName>
    <definedName name="Q1.2006">[23]IS!$AN$1:$AN$65536</definedName>
    <definedName name="Q2.2002" localSheetId="9">[22]IS!$Q$1:$Q$65536</definedName>
    <definedName name="Q2.2002" localSheetId="8">[24]IS!$Q$1:$Q$65536</definedName>
    <definedName name="Q2.2002">[23]IS!$Q$1:$Q$65536</definedName>
    <definedName name="Q2.2003" localSheetId="9">[22]IS!$W$1:$W$65536</definedName>
    <definedName name="Q2.2003" localSheetId="8">[24]IS!$W$1:$W$65536</definedName>
    <definedName name="Q2.2003">[23]IS!$W$1:$W$65536</definedName>
    <definedName name="Q2.2004" localSheetId="9">[22]IS!$AC$1:$AC$65536</definedName>
    <definedName name="Q2.2004">[23]IS!$AC$1:$AC$65536</definedName>
    <definedName name="Q2.2005" localSheetId="9">[22]IS!$AI$1:$AI$65536</definedName>
    <definedName name="Q2.2005">[23]IS!$AI$1:$AI$65536</definedName>
    <definedName name="Q2.2006" localSheetId="9">[22]IS!$AO$1:$AO$65536</definedName>
    <definedName name="Q2.2006">[23]IS!$AO$1:$AO$65536</definedName>
    <definedName name="Q3.2002" localSheetId="9">[22]IS!$R$1:$R$65536</definedName>
    <definedName name="Q3.2002" localSheetId="8">[24]IS!$R$1:$R$65536</definedName>
    <definedName name="Q3.2002">[23]IS!$R$1:$R$65536</definedName>
    <definedName name="Q3.2003" localSheetId="9">[22]IS!$X$1:$X$65536</definedName>
    <definedName name="Q3.2003" localSheetId="8">[24]IS!$X$1:$X$65536</definedName>
    <definedName name="Q3.2003">[23]IS!$X$1:$X$65536</definedName>
    <definedName name="Q3.2004" localSheetId="9">[22]IS!$AD$1:$AD$65536</definedName>
    <definedName name="Q3.2004">[23]IS!$AD$1:$AD$65536</definedName>
    <definedName name="Q3.2005" localSheetId="9">[22]IS!$AJ$1:$AJ$65536</definedName>
    <definedName name="Q3.2005">[23]IS!$AJ$1:$AJ$65536</definedName>
    <definedName name="Q3.2006" localSheetId="9">[22]IS!$AP$1:$AP$65536</definedName>
    <definedName name="Q3.2006">[23]IS!$AP$1:$AP$65536</definedName>
    <definedName name="Q4.2002" localSheetId="9">[22]IS!$S$1:$S$65536</definedName>
    <definedName name="Q4.2002" localSheetId="8">[24]IS!$S$1:$S$65536</definedName>
    <definedName name="Q4.2002">[23]IS!$S$1:$S$65536</definedName>
    <definedName name="Q4.2003" localSheetId="9">[22]IS!$Y$1:$Y$65536</definedName>
    <definedName name="Q4.2003" localSheetId="8">[24]IS!$Y$1:$Y$65536</definedName>
    <definedName name="Q4.2003">[23]IS!$Y$1:$Y$65536</definedName>
    <definedName name="Q4.2004" localSheetId="9">[22]IS!$AE$1:$AE$65536</definedName>
    <definedName name="Q4.2004">[23]IS!$AE$1:$AE$65536</definedName>
    <definedName name="Q4.2005" localSheetId="9">[22]IS!$AK$1:$AK$65536</definedName>
    <definedName name="Q4.2005">[23]IS!$AK$1:$AK$65536</definedName>
    <definedName name="Q4.2006" localSheetId="9">[22]IS!$AQ$1:$AQ$65536</definedName>
    <definedName name="Q4.2006">[23]IS!$AQ$1:$AQ$65536</definedName>
    <definedName name="Qtrly_results" localSheetId="9">'[10]Qtrly EPS'!$A$1:$A$62</definedName>
    <definedName name="Qtrly_results" localSheetId="8">'[11]Qtrly EPS'!$A$1:$A$62</definedName>
    <definedName name="Qtrly_results">'[12]Qtrly EPS'!$A$1:$A$62</definedName>
    <definedName name="Quarter_Comparisons" localSheetId="11">#REF!</definedName>
    <definedName name="Quarter_Comparisons" localSheetId="10">#REF!</definedName>
    <definedName name="Quarter_Comparisons">#REF!</definedName>
    <definedName name="R_D_amort_years" localSheetId="9">'[4]Invested capital_VDF'!$A$34</definedName>
    <definedName name="R_D_amort_years" localSheetId="8">'[5]Invested capital_VDF'!$A$34</definedName>
    <definedName name="R_D_amort_years">'[6]Invested capital_VDF'!$A$34</definedName>
    <definedName name="R_D_Amortization" localSheetId="9">'[4]Invested capital_VDF'!$C$31:$AU$31</definedName>
    <definedName name="R_D_Amortization" localSheetId="8">'[5]Invested capital_VDF'!$C$31:$AU$31</definedName>
    <definedName name="R_D_Amortization">'[6]Invested capital_VDF'!$C$31:$AU$31</definedName>
    <definedName name="R_D_Capzed" localSheetId="9">[7]NOPAT_VDF!$C$21:$Z$21</definedName>
    <definedName name="R_D_Capzed" localSheetId="8">[5]NOPAT_VDF!$C$21:$Z$21</definedName>
    <definedName name="R_D_Capzed">[6]NOPAT_VDF!$C$21:$Z$21</definedName>
    <definedName name="R_D_expense" localSheetId="9">'[4]Invested capital_VDF'!$C$28:$AZ$28</definedName>
    <definedName name="R_D_expense" localSheetId="8">'[5]Invested capital_VDF'!$C$28:$AZ$28</definedName>
    <definedName name="R_D_expense">'[6]Invested capital_VDF'!$C$28:$AZ$28</definedName>
    <definedName name="R_D_expense_IS" localSheetId="9">[7]NOPAT_VDF!$C$13:$AZ$13</definedName>
    <definedName name="R_D_expense_IS" localSheetId="8">[5]NOPAT_VDF!$C$13:$AZ$13</definedName>
    <definedName name="R_D_expense_IS">[6]NOPAT_VDF!$C$13:$AZ$13</definedName>
    <definedName name="Range_Names" localSheetId="9">#REF!</definedName>
    <definedName name="Range_Names" localSheetId="11">#REF!</definedName>
    <definedName name="Range_Names" localSheetId="10">#REF!</definedName>
    <definedName name="Range_Names">#REF!</definedName>
    <definedName name="ratios00" localSheetId="11">#REF!</definedName>
    <definedName name="ratios00" localSheetId="10">#REF!</definedName>
    <definedName name="ratios00">#REF!</definedName>
    <definedName name="ratios91">#REF!</definedName>
    <definedName name="ratios92">#REF!</definedName>
    <definedName name="ratios93">#REF!</definedName>
    <definedName name="ratios94">#REF!</definedName>
    <definedName name="ratios95">#REF!</definedName>
    <definedName name="ratios96">#REF!</definedName>
    <definedName name="ratios97">#REF!</definedName>
    <definedName name="ratios98">#REF!</definedName>
    <definedName name="ratios99">#REF!</definedName>
    <definedName name="RDC" localSheetId="9">[15]cmp!#REF!</definedName>
    <definedName name="RDC">[15]cmp!#REF!</definedName>
    <definedName name="re" localSheetId="11" hidden="1">{"profit",#N/A,FALSE,"Aero V prior";"profit",#N/A,FALSE,"Eng V Prior";"profit",#N/A,FALSE,"AES V Prior";"profit",#N/A,FALSE,"ES V Prior";"profit",#N/A,FALSE,"CAS V Prior";"profit",#N/A,FALSE,"ATSC V Prior";"profit",#N/A,FALSE,"FMT V Prior";"profit",#N/A,FALSE,"Aero Other V Prior";"profit",#N/A,FALSE,"Judge V Prior"}</definedName>
    <definedName name="re" localSheetId="10" hidden="1">{"profit",#N/A,FALSE,"Aero V prior";"profit",#N/A,FALSE,"Eng V Prior";"profit",#N/A,FALSE,"AES V Prior";"profit",#N/A,FALSE,"ES V Prior";"profit",#N/A,FALSE,"CAS V Prior";"profit",#N/A,FALSE,"ATSC V Prior";"profit",#N/A,FALSE,"FMT V Prior";"profit",#N/A,FALSE,"Aero Other V Prior";"profit",#N/A,FALSE,"Judge V Prior"}</definedName>
    <definedName name="re" hidden="1">{"profit",#N/A,FALSE,"Aero V prior";"profit",#N/A,FALSE,"Eng V Prior";"profit",#N/A,FALSE,"AES V Prior";"profit",#N/A,FALSE,"ES V Prior";"profit",#N/A,FALSE,"CAS V Prior";"profit",#N/A,FALSE,"ATSC V Prior";"profit",#N/A,FALSE,"FMT V Prior";"profit",#N/A,FALSE,"Aero Other V Prior";"profit",#N/A,FALSE,"Judge V Prior"}</definedName>
    <definedName name="recent.patterns" localSheetId="9">[25]LLY!#REF!</definedName>
    <definedName name="recent.patterns" localSheetId="3">[25]LLY!#REF!</definedName>
    <definedName name="recent.patterns">[25]LLY!#REF!</definedName>
    <definedName name="Regional" localSheetId="9">[34]iQ_US_CoreIndustrials!$A$21:$AM$157</definedName>
    <definedName name="Regional">[34]iQ_US_CoreIndustrials!$A$21:$AM$157</definedName>
    <definedName name="ReportCreated">TRUE</definedName>
    <definedName name="Required_cash" localSheetId="9">'[7]Invested capital_VDF'!$C$6:$AU$6</definedName>
    <definedName name="Required_cash" localSheetId="8">'[5]Invested capital_VDF'!$C$6:$AU$6</definedName>
    <definedName name="Required_cash">'[6]Invested capital_VDF'!$C$6:$AU$6</definedName>
    <definedName name="Required_cash_percent" localSheetId="9">'[4]Invested capital_VDF'!$A$9</definedName>
    <definedName name="Required_cash_percent" localSheetId="8">'[5]Invested capital_VDF'!$A$9</definedName>
    <definedName name="Required_cash_percent">'[6]Invested capital_VDF'!$A$9</definedName>
    <definedName name="RESERVES" localSheetId="9">#REF!</definedName>
    <definedName name="RESERVES" localSheetId="11">#REF!</definedName>
    <definedName name="RESERVES" localSheetId="10">#REF!</definedName>
    <definedName name="RESERVES">#REF!</definedName>
    <definedName name="Residual_Value" localSheetId="9">[7]DCF_VDF!$C$29:$AZ$29</definedName>
    <definedName name="Residual_Value" localSheetId="8">[5]DCF_VDF!$C$29:$AZ$29</definedName>
    <definedName name="Residual_Value">[6]DCF_VDF!$C$29:$AZ$29</definedName>
    <definedName name="Restructuring_charges" localSheetId="9">'[6]Invested capital_VDF'!#REF!</definedName>
    <definedName name="Restructuring_charges" localSheetId="8">'[5]Invested capital_VDF'!#REF!</definedName>
    <definedName name="Restructuring_charges" localSheetId="11">'[6]Invested capital_VDF'!#REF!</definedName>
    <definedName name="Restructuring_charges" localSheetId="10">'[6]Invested capital_VDF'!#REF!</definedName>
    <definedName name="Restructuring_charges" localSheetId="3">'[6]Invested capital_VDF'!#REF!</definedName>
    <definedName name="Restructuring_charges">'[6]Invested capital_VDF'!#REF!</definedName>
    <definedName name="Restructuring_charges_growth_fore" localSheetId="9">[4]Forecasts_VDF!$H$165:$K$165</definedName>
    <definedName name="Restructuring_charges_growth_fore" localSheetId="8">[5]Forecasts_VDF!$H$165:$K$165</definedName>
    <definedName name="Restructuring_charges_growth_fore">[6]Forecasts_VDF!$H$165:$K$165</definedName>
    <definedName name="Revenue">[37]Model!$P$2:$AE$34</definedName>
    <definedName name="REVENUE_WORKSHEET_1" localSheetId="9">[38]Model!$A$2:$BB$53</definedName>
    <definedName name="REVENUE_WORKSHEET_1">[38]Model!$A$2:$BB$53</definedName>
    <definedName name="REVENUE_WORKSHEET_2" localSheetId="9">[38]Model!$A$55:$BB$113</definedName>
    <definedName name="REVENUE_WORKSHEET_2">[38]Model!$A$55:$BB$113</definedName>
    <definedName name="Revenue_Worksheet_3">[39]Model!$A$130:$BB$173</definedName>
    <definedName name="Revenue_Worksheet_4">[39]Model!$A$175:$BB$199</definedName>
    <definedName name="Revenue1" localSheetId="9">[34]iQ_US_CoreIndustrials!$A$21:$AM$183</definedName>
    <definedName name="Revenue1">[34]iQ_US_CoreIndustrials!$A$21:$AM$183</definedName>
    <definedName name="Revenue2" localSheetId="9">[34]iQ_US_CoreIndustrials!$A$185:$AM$234</definedName>
    <definedName name="Revenue2">[34]iQ_US_CoreIndustrials!$A$185:$AM$234</definedName>
    <definedName name="RGA" localSheetId="11">#REF!</definedName>
    <definedName name="RGA" localSheetId="10">#REF!</definedName>
    <definedName name="RGA">#REF!</definedName>
    <definedName name="RIsk_free_30yr_Treas" localSheetId="9">'[7]Income Statement_VDF'!$D$47:$S$47</definedName>
    <definedName name="RIsk_free_30yr_Treas" localSheetId="8">'[5]Income Statement_VDF'!$D$47:$S$47</definedName>
    <definedName name="RIsk_free_30yr_Treas">'[6]Income Statement_VDF'!$D$47:$S$47</definedName>
    <definedName name="RM_DDA_2004" localSheetId="9">[30]BalanceSheet!$S$94</definedName>
    <definedName name="RM_DDA_2004">[30]BalanceSheet!$S$94</definedName>
    <definedName name="RM_DDA_2005" localSheetId="9">[30]BalanceSheet!$T$94</definedName>
    <definedName name="RM_DDA_2005">[30]BalanceSheet!$T$94</definedName>
    <definedName name="RM_DDA_2006" localSheetId="9">[30]BalanceSheet!$U$94</definedName>
    <definedName name="RM_DDA_2006">[30]BalanceSheet!$U$94</definedName>
    <definedName name="RM_DDA_2007" localSheetId="9">[30]BalanceSheet!$V$94</definedName>
    <definedName name="RM_DDA_2007">[30]BalanceSheet!$V$94</definedName>
    <definedName name="RM_DDA_2008" localSheetId="9">[30]BalanceSheet!$W$94</definedName>
    <definedName name="RM_DDA_2008">[30]BalanceSheet!$W$94</definedName>
    <definedName name="rmcAccount">300400</definedName>
    <definedName name="RnD_expense" localSheetId="9">'[4]Invested capital_VDF'!$C$28:$AZ$28</definedName>
    <definedName name="RnD_expense" localSheetId="8">'[5]Invested capital_VDF'!$C$28:$AZ$28</definedName>
    <definedName name="RnD_expense">'[6]Invested capital_VDF'!$C$28:$AZ$28</definedName>
    <definedName name="RnD_expense_fore" localSheetId="9">[4]Forecasts_VDF!$E$11:$X$11</definedName>
    <definedName name="RnD_expense_fore" localSheetId="8">[5]Forecasts_VDF!$E$11:$X$11</definedName>
    <definedName name="RnD_expense_fore">[6]Forecasts_VDF!$E$11:$X$11</definedName>
    <definedName name="RnD_expense_growth_fore" localSheetId="9">[4]Forecasts_VDF!$H$156:$K$156</definedName>
    <definedName name="RnD_expense_growth_fore" localSheetId="8">[5]Forecasts_VDF!$H$156:$K$156</definedName>
    <definedName name="RnD_expense_growth_fore">[6]Forecasts_VDF!$H$156:$K$156</definedName>
    <definedName name="RnD_expenses_fore" localSheetId="9">[4]Forecasts_VDF!$E$11:$X$11</definedName>
    <definedName name="RnD_expenses_fore" localSheetId="8">[5]Forecasts_VDF!$E$11:$X$11</definedName>
    <definedName name="RnD_expenses_fore">[6]Forecasts_VDF!$E$11:$X$11</definedName>
    <definedName name="ROCC_Intl_2004">'[30]E&amp;P'!$I$617</definedName>
    <definedName name="ROCC_US_2004" localSheetId="9">'[30]E&amp;P'!$I$413</definedName>
    <definedName name="ROCC_US_2004">'[30]E&amp;P'!$I$413</definedName>
    <definedName name="ROCC_WW_2004" localSheetId="9">'[30]E&amp;P'!$I$655</definedName>
    <definedName name="ROCC_WW_2004">'[30]E&amp;P'!$I$655</definedName>
    <definedName name="ROIC" localSheetId="9">'[7]Invested capital_VDF'!$C$107:$AZ$107</definedName>
    <definedName name="ROIC" localSheetId="8">'[5]Invested capital_VDF'!$C$107:$AZ$107</definedName>
    <definedName name="ROIC">'[6]Invested capital_VDF'!$C$107:$AZ$107</definedName>
    <definedName name="ROIC_DCF" localSheetId="9">[7]DCF_VDF!$C$44:$BZ$44</definedName>
    <definedName name="ROIC_DCF" localSheetId="8">[5]DCF_VDF!$C$44:$BZ$44</definedName>
    <definedName name="ROIC_DCF">[6]DCF_VDF!$C$44:$BZ$44</definedName>
    <definedName name="ROIC_WACC" localSheetId="9">'[7]Summary Page_VDF'!$C$46:$AZ$46</definedName>
    <definedName name="ROIC_WACC">'[6]Summary Page_VDF'!$C$46:$AZ$46</definedName>
    <definedName name="RORIC__3_yr_rolling" localSheetId="9">[7]DCF_VDF!$C$92:$BZ$92</definedName>
    <definedName name="RORIC__3_yr_rolling">[6]DCF_VDF!$C$92:$BZ$92</definedName>
    <definedName name="russ" localSheetId="9" hidden="1">{"'Inventory &amp; Anal-Cur Wkbk'!$A$7:$AP$71"}</definedName>
    <definedName name="russ" localSheetId="11" hidden="1">{"'Inventory &amp; Anal-Cur Wkbk'!$A$7:$AP$71"}</definedName>
    <definedName name="russ" localSheetId="10" hidden="1">{"'Inventory &amp; Anal-Cur Wkbk'!$A$7:$AP$71"}</definedName>
    <definedName name="russ" hidden="1">{"'Inventory &amp; Anal-Cur Wkbk'!$A$7:$AP$71"}</definedName>
    <definedName name="RXAnnual" localSheetId="9">[25]LLY!#REF!</definedName>
    <definedName name="RXAnnual" localSheetId="3">[25]LLY!#REF!</definedName>
    <definedName name="RXAnnual">[25]LLY!#REF!</definedName>
    <definedName name="s" localSheetId="9" hidden="1">{"PR1","pr1",TRUE,"Sch PR-1"}</definedName>
    <definedName name="s" localSheetId="8" hidden="1">{"PR1","pr1",TRUE,"Sch PR-1"}</definedName>
    <definedName name="s" localSheetId="11">#REF!</definedName>
    <definedName name="s" localSheetId="10">#REF!</definedName>
    <definedName name="s" localSheetId="3">#REF!</definedName>
    <definedName name="s">#REF!</definedName>
    <definedName name="S_T_obligations_under_cap_leases" localSheetId="9">'[7]Invested capital_VDF'!$C$55:$AU$55</definedName>
    <definedName name="S_T_obligations_under_cap_leases">'[6]Invested capital_VDF'!$C$55:$AU$55</definedName>
    <definedName name="sahil"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sahil"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sahil"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Sales_growth" localSheetId="9">[7]NOPAT_VDF!$C$140:$AU$140</definedName>
    <definedName name="Sales_growth">[6]NOPAT_VDF!$C$140:$AU$140</definedName>
    <definedName name="Sales_growth_avg" localSheetId="9">[4]Forecasts_VDF!$B$53</definedName>
    <definedName name="Sales_growth_avg" localSheetId="8">[5]Forecasts_VDF!$B$53</definedName>
    <definedName name="Sales_growth_avg">[6]Forecasts_VDF!$B$53</definedName>
    <definedName name="salesbusseg" localSheetId="11">#REF!</definedName>
    <definedName name="salesbusseg" localSheetId="10">#REF!</definedName>
    <definedName name="salesbusseg">#REF!</definedName>
    <definedName name="salesgeography" localSheetId="11">#REF!</definedName>
    <definedName name="salesgeography" localSheetId="10">#REF!</definedName>
    <definedName name="salesgeography">#REF!</definedName>
    <definedName name="salesgrowth07">'[14]earnings-model'!$AG$12</definedName>
    <definedName name="salesprodline" localSheetId="11">#REF!</definedName>
    <definedName name="salesprodline" localSheetId="10">#REF!</definedName>
    <definedName name="salesprodline">#REF!</definedName>
    <definedName name="SAPBEXdnldView" hidden="1">"DHO2U732T7UBFPMQAQN3WZUJB"</definedName>
    <definedName name="SAPBEXhrIndnt" hidden="1">1</definedName>
    <definedName name="SAPBEXrevision" hidden="1">1</definedName>
    <definedName name="SAPBEXsysID" hidden="1">"UGP"</definedName>
    <definedName name="SAPBEXwbID" hidden="1">"3HJAM0C8PHGQV7UK9SXG1J1DV"</definedName>
    <definedName name="sdsds" localSheetId="9" hidden="1">{"PR1","pr1",TRUE,"Sch PR-1"}</definedName>
    <definedName name="sdsds" localSheetId="8" hidden="1">{"PR1","pr1",TRUE,"Sch PR-1"}</definedName>
    <definedName name="sdsds" localSheetId="11" hidden="1">{"PR1","pr1",TRUE,"Sch PR-1"}</definedName>
    <definedName name="sdsds" localSheetId="10" hidden="1">{"PR1","pr1",TRUE,"Sch PR-1"}</definedName>
    <definedName name="sdsds" localSheetId="3" hidden="1">{"PR1","pr1",TRUE,"Sch PR-1"}</definedName>
    <definedName name="sdsds" hidden="1">{"PR1","pr1",TRUE,"Sch PR-1"}</definedName>
    <definedName name="segment" localSheetId="9">#REF!</definedName>
    <definedName name="segment" localSheetId="11">#REF!</definedName>
    <definedName name="segment" localSheetId="10">#REF!</definedName>
    <definedName name="segment" localSheetId="3">#REF!</definedName>
    <definedName name="segment">#REF!</definedName>
    <definedName name="segment.op.profit" localSheetId="9">[3]BMY!#REF!</definedName>
    <definedName name="segment.op.profit" localSheetId="11">[3]BMY!#REF!</definedName>
    <definedName name="segment.op.profit" localSheetId="10">[3]BMY!#REF!</definedName>
    <definedName name="segment.op.profit" localSheetId="3">[3]BMY!#REF!</definedName>
    <definedName name="segment.op.profit">[3]BMY!#REF!</definedName>
    <definedName name="Segment1_income" localSheetId="9">[4]NOPAT_VDF!$C$5:$AZ$5</definedName>
    <definedName name="Segment1_income" localSheetId="8">[5]NOPAT_VDF!$C$5:$AZ$5</definedName>
    <definedName name="Segment1_income">[6]NOPAT_VDF!$C$5:$AZ$5</definedName>
    <definedName name="Segment1_income_DCF" localSheetId="9">[4]DCF_VDF!$C$6:$BZ$6</definedName>
    <definedName name="Segment1_income_DCF" localSheetId="8">[5]DCF_VDF!$C$6:$BZ$6</definedName>
    <definedName name="Segment1_income_DCF">[6]DCF_VDF!$C$6:$BZ$6</definedName>
    <definedName name="Segment1_income_fore" localSheetId="9">[4]Forecasts_VDF!$E$4:$G$4</definedName>
    <definedName name="Segment1_income_fore" localSheetId="8">[5]Forecasts_VDF!$E$4:$G$4</definedName>
    <definedName name="Segment1_income_fore">[6]Forecasts_VDF!$E$4:$G$4</definedName>
    <definedName name="Segment1_income_growth_fore" localSheetId="9">[4]Forecasts_VDF!$H$50:$K$50</definedName>
    <definedName name="Segment1_income_growth_fore" localSheetId="8">[5]Forecasts_VDF!$H$50:$K$50</definedName>
    <definedName name="Segment1_income_growth_fore">[6]Forecasts_VDF!$H$50:$K$50</definedName>
    <definedName name="Segment2_income" localSheetId="9">[4]NOPAT_VDF!$C$6:$AZ$6</definedName>
    <definedName name="Segment2_income" localSheetId="8">[5]NOPAT_VDF!$C$6:$AZ$6</definedName>
    <definedName name="Segment2_income">[6]NOPAT_VDF!$C$6:$AZ$6</definedName>
    <definedName name="Segment2_income_DCF" localSheetId="9">[4]DCF_VDF!$C$7:$BZ$7</definedName>
    <definedName name="Segment2_income_DCF" localSheetId="8">[5]DCF_VDF!$C$7:$BZ$7</definedName>
    <definedName name="Segment2_income_DCF">[6]DCF_VDF!$C$7:$BZ$7</definedName>
    <definedName name="Segment2_income_fore" localSheetId="9">[4]Forecasts_VDF!$E$5:$G$5</definedName>
    <definedName name="Segment2_income_fore" localSheetId="8">[5]Forecasts_VDF!$E$5:$G$5</definedName>
    <definedName name="Segment2_income_fore">[6]Forecasts_VDF!$E$5:$G$5</definedName>
    <definedName name="Segment2_income_growth_fore" localSheetId="9">[4]Forecasts_VDF!$H$51:$K$51</definedName>
    <definedName name="Segment2_income_growth_fore" localSheetId="8">[5]Forecasts_VDF!$H$51:$K$51</definedName>
    <definedName name="Segment2_income_growth_fore">[6]Forecasts_VDF!$H$51:$K$51</definedName>
    <definedName name="segments" localSheetId="9">#REF!</definedName>
    <definedName name="segments" localSheetId="11">#REF!</definedName>
    <definedName name="segments" localSheetId="10">#REF!</definedName>
    <definedName name="segments" localSheetId="3">#REF!</definedName>
    <definedName name="segments">#REF!</definedName>
    <definedName name="sencount" hidden="1">1</definedName>
    <definedName name="SGA" localSheetId="9">[4]NOPAT_VDF!$C$12:$AE$12</definedName>
    <definedName name="SGA" localSheetId="8">[5]NOPAT_VDF!$C$12:$AE$12</definedName>
    <definedName name="SGA">[6]NOPAT_VDF!$C$12:$AE$12</definedName>
    <definedName name="SGA_fore" localSheetId="9">[4]Forecasts_VDF!$E$10:$X$10</definedName>
    <definedName name="SGA_fore" localSheetId="8">[5]Forecasts_VDF!$E$10:$X$10</definedName>
    <definedName name="SGA_fore">[6]Forecasts_VDF!$E$10:$X$10</definedName>
    <definedName name="SGA_growth" localSheetId="9">[6]NOPAT_VDF!#REF!</definedName>
    <definedName name="SGA_growth" localSheetId="8">[5]NOPAT_VDF!#REF!</definedName>
    <definedName name="SGA_growth" localSheetId="11">[6]NOPAT_VDF!#REF!</definedName>
    <definedName name="SGA_growth" localSheetId="10">[6]NOPAT_VDF!#REF!</definedName>
    <definedName name="SGA_growth" localSheetId="3">[6]NOPAT_VDF!#REF!</definedName>
    <definedName name="SGA_growth">[6]NOPAT_VDF!#REF!</definedName>
    <definedName name="SGA_growth_avg" localSheetId="9">[4]Forecasts_VDF!$B$141</definedName>
    <definedName name="SGA_growth_avg" localSheetId="8">[5]Forecasts_VDF!$B$141</definedName>
    <definedName name="SGA_growth_avg">[6]Forecasts_VDF!$B$141</definedName>
    <definedName name="SGA_growth_fore" localSheetId="9">[4]Forecasts_VDF!$H$53:$K$53</definedName>
    <definedName name="SGA_growth_fore" localSheetId="8">[5]Forecasts_VDF!$H$53:$K$53</definedName>
    <definedName name="SGA_growth_fore">[6]Forecasts_VDF!$H$53:$K$53</definedName>
    <definedName name="SGA_margin" localSheetId="9">[7]NOPAT_VDF!$C$114:$AU$114</definedName>
    <definedName name="SGA_margin" localSheetId="8">[5]NOPAT_VDF!$C$114:$AU$114</definedName>
    <definedName name="SGA_margin">[6]NOPAT_VDF!$C$114:$AU$114</definedName>
    <definedName name="SGA_margin_fore" localSheetId="9">[6]Forecasts_VDF!#REF!</definedName>
    <definedName name="SGA_margin_fore" localSheetId="8">[5]Forecasts_VDF!#REF!</definedName>
    <definedName name="SGA_margin_fore" localSheetId="11">[6]Forecasts_VDF!#REF!</definedName>
    <definedName name="SGA_margin_fore" localSheetId="10">[6]Forecasts_VDF!#REF!</definedName>
    <definedName name="SGA_margin_fore" localSheetId="3">[6]Forecasts_VDF!#REF!</definedName>
    <definedName name="SGA_margin_fore">[6]Forecasts_VDF!#REF!</definedName>
    <definedName name="Share_Price" localSheetId="9">#REF!</definedName>
    <definedName name="Share_Price" localSheetId="3">#REF!</definedName>
    <definedName name="Share_Price">#REF!</definedName>
    <definedName name="Shareholder_value" localSheetId="9">[7]DCF_VDF!$C$36:$AB$36</definedName>
    <definedName name="Shareholder_value" localSheetId="8">[5]DCF_VDF!$C$36:$AB$36</definedName>
    <definedName name="Shareholder_value">[6]DCF_VDF!$C$36:$AB$36</definedName>
    <definedName name="Shareholder_Value_EVA" localSheetId="9">[7]DCF_VDF!$C$61:$BZ$61</definedName>
    <definedName name="Shareholder_Value_EVA" localSheetId="8">[5]DCF_VDF!$C$61:$BZ$61</definedName>
    <definedName name="Shareholder_Value_EVA">[6]DCF_VDF!$C$61:$BZ$61</definedName>
    <definedName name="Shareholders_equity" localSheetId="9">'[7]Invested capital_VDF'!$C$78:$AE$78</definedName>
    <definedName name="Shareholders_equity">'[6]Invested capital_VDF'!$C$78:$AE$78</definedName>
    <definedName name="Shares" localSheetId="9">'[7]Invested capital_VDF'!$C$84:$AE$84</definedName>
    <definedName name="Shares">'[6]Invested capital_VDF'!$C$84:$AE$84</definedName>
    <definedName name="Shares_DCF" localSheetId="9">[4]DCF_VDF!$C$37:$AZ$37</definedName>
    <definedName name="Shares_DCF" localSheetId="8">[5]DCF_VDF!$C$37:$AZ$37</definedName>
    <definedName name="Shares_DCF">[6]DCF_VDF!$C$37:$AZ$37</definedName>
    <definedName name="Shares_fore" localSheetId="9">[4]Forecasts_VDF!$E$41:$W$41</definedName>
    <definedName name="Shares_fore" localSheetId="8">[5]Forecasts_VDF!$E$41:$W$41</definedName>
    <definedName name="Shares_fore">[6]Forecasts_VDF!$E$41:$W$41</definedName>
    <definedName name="Shares_growth" localSheetId="9">[4]NOPAT_VDF!$M$151:$Q$151</definedName>
    <definedName name="Shares_growth" localSheetId="8">[5]NOPAT_VDF!$M$151:$Q$151</definedName>
    <definedName name="Shares_growth">[6]NOPAT_VDF!$M$151:$Q$151</definedName>
    <definedName name="Shares_growth_fore" localSheetId="9">[4]Forecasts_VDF!$E$59:$W$59</definedName>
    <definedName name="Shares_growth_fore" localSheetId="8">[5]Forecasts_VDF!$E$59:$W$59</definedName>
    <definedName name="Shares_growth_fore">[6]Forecasts_VDF!$E$59:$W$59</definedName>
    <definedName name="Shares_repurchase_liability" localSheetId="9">'[6]Invested capital_VDF'!#REF!</definedName>
    <definedName name="Shares_repurchase_liability" localSheetId="8">'[5]Invested capital_VDF'!#REF!</definedName>
    <definedName name="Shares_repurchase_liability" localSheetId="11">'[6]Invested capital_VDF'!#REF!</definedName>
    <definedName name="Shares_repurchase_liability" localSheetId="10">'[6]Invested capital_VDF'!#REF!</definedName>
    <definedName name="Shares_repurchase_liability" localSheetId="3">'[6]Invested capital_VDF'!#REF!</definedName>
    <definedName name="Shares_repurchase_liability">'[6]Invested capital_VDF'!#REF!</definedName>
    <definedName name="SII">[15]cmp!#REF!</definedName>
    <definedName name="SLB" localSheetId="9">[15]cmp!#REF!</definedName>
    <definedName name="SLB">[15]cmp!#REF!</definedName>
    <definedName name="solver_adj" localSheetId="9" hidden="1">#REF!</definedName>
    <definedName name="solver_adj" localSheetId="8" hidden="1">#REF!</definedName>
    <definedName name="solver_adj" localSheetId="3" hidden="1">#REF!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localSheetId="9" hidden="1">#REF!</definedName>
    <definedName name="solver_lhs1" localSheetId="8" hidden="1">#REF!</definedName>
    <definedName name="solver_lhs1" localSheetId="3" hidden="1">#REF!</definedName>
    <definedName name="solver_lhs1" hidden="1">#REF!</definedName>
    <definedName name="solver_lhs10" localSheetId="9" hidden="1">#REF!</definedName>
    <definedName name="solver_lhs10" localSheetId="3" hidden="1">#REF!</definedName>
    <definedName name="solver_lhs10" hidden="1">#REF!</definedName>
    <definedName name="solver_lhs11" localSheetId="9" hidden="1">#REF!</definedName>
    <definedName name="solver_lhs11" localSheetId="3" hidden="1">#REF!</definedName>
    <definedName name="solver_lhs11" hidden="1">#REF!</definedName>
    <definedName name="solver_lhs2" localSheetId="9" hidden="1">#REF!</definedName>
    <definedName name="solver_lhs2" localSheetId="3" hidden="1">#REF!</definedName>
    <definedName name="solver_lhs2" hidden="1">#REF!</definedName>
    <definedName name="solver_lhs3" localSheetId="9" hidden="1">#REF!</definedName>
    <definedName name="solver_lhs3" localSheetId="3" hidden="1">#REF!</definedName>
    <definedName name="solver_lhs3" hidden="1">#REF!</definedName>
    <definedName name="solver_lhs4" localSheetId="9" hidden="1">#REF!</definedName>
    <definedName name="solver_lhs4" localSheetId="3" hidden="1">#REF!</definedName>
    <definedName name="solver_lhs4" hidden="1">#REF!</definedName>
    <definedName name="solver_lhs5" localSheetId="9" hidden="1">#REF!</definedName>
    <definedName name="solver_lhs5" localSheetId="3" hidden="1">#REF!</definedName>
    <definedName name="solver_lhs5" hidden="1">#REF!</definedName>
    <definedName name="solver_lhs6" localSheetId="9" hidden="1">#REF!</definedName>
    <definedName name="solver_lhs6" localSheetId="3" hidden="1">#REF!</definedName>
    <definedName name="solver_lhs6" hidden="1">#REF!</definedName>
    <definedName name="solver_lhs7" localSheetId="9" hidden="1">#REF!</definedName>
    <definedName name="solver_lhs7" localSheetId="3" hidden="1">#REF!</definedName>
    <definedName name="solver_lhs7" hidden="1">#REF!</definedName>
    <definedName name="solver_lhs8" localSheetId="9" hidden="1">#REF!</definedName>
    <definedName name="solver_lhs8" localSheetId="3" hidden="1">#REF!</definedName>
    <definedName name="solver_lhs8" hidden="1">#REF!</definedName>
    <definedName name="solver_lhs9" localSheetId="9" hidden="1">#REF!</definedName>
    <definedName name="solver_lhs9" localSheetId="3" hidden="1">#REF!</definedName>
    <definedName name="solver_lhs9" hidden="1">#REF!</definedName>
    <definedName name="solver_lin" hidden="1">2</definedName>
    <definedName name="solver_neg" hidden="1">2</definedName>
    <definedName name="solver_num" hidden="1">1</definedName>
    <definedName name="solver_nwt" hidden="1">1</definedName>
    <definedName name="solver_opt" localSheetId="9" hidden="1">#REF!</definedName>
    <definedName name="solver_opt" localSheetId="8" hidden="1">#REF!</definedName>
    <definedName name="solver_opt" localSheetId="3" hidden="1">#REF!</definedName>
    <definedName name="solver_opt" hidden="1">#REF!</definedName>
    <definedName name="solver_pre" hidden="1">0.000001</definedName>
    <definedName name="solver_rel1" hidden="1">2</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rhs1" localSheetId="9" hidden="1">#REF!</definedName>
    <definedName name="solver_rhs1" localSheetId="8" hidden="1">#REF!</definedName>
    <definedName name="solver_rhs1" localSheetId="3" hidden="1">#REF!</definedName>
    <definedName name="solver_rhs1" hidden="1">#REF!</definedName>
    <definedName name="solver_rhs10" localSheetId="9" hidden="1">#REF!</definedName>
    <definedName name="solver_rhs10" localSheetId="3" hidden="1">#REF!</definedName>
    <definedName name="solver_rhs10" hidden="1">#REF!</definedName>
    <definedName name="solver_rhs11" localSheetId="9" hidden="1">#REF!</definedName>
    <definedName name="solver_rhs11" localSheetId="3" hidden="1">#REF!</definedName>
    <definedName name="solver_rhs11" hidden="1">#REF!</definedName>
    <definedName name="solver_rhs2" localSheetId="9" hidden="1">#REF!</definedName>
    <definedName name="solver_rhs2" localSheetId="3" hidden="1">#REF!</definedName>
    <definedName name="solver_rhs2" hidden="1">#REF!</definedName>
    <definedName name="solver_rhs3" localSheetId="9" hidden="1">#REF!</definedName>
    <definedName name="solver_rhs3" localSheetId="3" hidden="1">#REF!</definedName>
    <definedName name="solver_rhs3" hidden="1">#REF!</definedName>
    <definedName name="solver_rhs4" localSheetId="9" hidden="1">#REF!</definedName>
    <definedName name="solver_rhs4" localSheetId="3" hidden="1">#REF!</definedName>
    <definedName name="solver_rhs4" hidden="1">#REF!</definedName>
    <definedName name="solver_rhs5" localSheetId="9" hidden="1">#REF!</definedName>
    <definedName name="solver_rhs5" localSheetId="3" hidden="1">#REF!</definedName>
    <definedName name="solver_rhs5" hidden="1">#REF!</definedName>
    <definedName name="solver_rhs6" localSheetId="9" hidden="1">#REF!</definedName>
    <definedName name="solver_rhs6" localSheetId="3" hidden="1">#REF!</definedName>
    <definedName name="solver_rhs6" hidden="1">#REF!</definedName>
    <definedName name="solver_rhs7" localSheetId="9" hidden="1">#REF!</definedName>
    <definedName name="solver_rhs7" localSheetId="3" hidden="1">#REF!</definedName>
    <definedName name="solver_rhs7" hidden="1">#REF!</definedName>
    <definedName name="solver_rhs8" localSheetId="9" hidden="1">#REF!</definedName>
    <definedName name="solver_rhs8" localSheetId="3" hidden="1">#REF!</definedName>
    <definedName name="solver_rhs8" hidden="1">#REF!</definedName>
    <definedName name="solver_rhs9" localSheetId="9" hidden="1">#REF!</definedName>
    <definedName name="solver_rhs9" localSheetId="3" hidden="1">#REF!</definedName>
    <definedName name="solver_rhs9" hidden="1">#REF!</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1053</definedName>
    <definedName name="SourceFolder" localSheetId="9">#REF!</definedName>
    <definedName name="SourceFolder" localSheetId="8">#REF!</definedName>
    <definedName name="SourceFolder" localSheetId="3">#REF!</definedName>
    <definedName name="SourceFolder">#REF!</definedName>
    <definedName name="South_Africa_PMI">OFFSET('[16]PMI Data'!$V$5,0,0,COUNTA('[16]PMI Data'!$V$6:$V$6000)+1,2)</definedName>
    <definedName name="Spread_on_debt" localSheetId="9">'[7]Income Statement_VDF'!$D$49:$S$49</definedName>
    <definedName name="Spread_on_debt" localSheetId="8">'[5]Income Statement_VDF'!$D$49:$S$49</definedName>
    <definedName name="Spread_on_debt">'[6]Income Statement_VDF'!$D$49:$S$49</definedName>
    <definedName name="sssssss" localSheetId="9" hidden="1">{"PR1","pr1",TRUE,"Sch PR-1"}</definedName>
    <definedName name="sssssss" localSheetId="8" hidden="1">{"PR1","pr1",TRUE,"Sch PR-1"}</definedName>
    <definedName name="sssssss" localSheetId="11" hidden="1">{"PR1","pr1",TRUE,"Sch PR-1"}</definedName>
    <definedName name="sssssss" localSheetId="10" hidden="1">{"PR1","pr1",TRUE,"Sch PR-1"}</definedName>
    <definedName name="sssssss" localSheetId="3" hidden="1">{"PR1","pr1",TRUE,"Sch PR-1"}</definedName>
    <definedName name="sssssss" hidden="1">{"PR1","pr1",TRUE,"Sch PR-1"}</definedName>
    <definedName name="ST_debt" localSheetId="9">'[7]Invested capital_VDF'!$C$54:$AE$54</definedName>
    <definedName name="ST_debt" localSheetId="8">'[5]Invested capital_VDF'!$C$54:$AE$54</definedName>
    <definedName name="ST_debt">'[6]Invested capital_VDF'!$C$54:$AE$54</definedName>
    <definedName name="ST_debt_growth_fore" localSheetId="9">[4]Forecasts_VDF!$H$159:$K$159</definedName>
    <definedName name="ST_debt_growth_fore" localSheetId="8">[5]Forecasts_VDF!$H$159:$K$159</definedName>
    <definedName name="ST_debt_growth_fore">[6]Forecasts_VDF!$H$159:$K$159</definedName>
    <definedName name="Staightline_charge" localSheetId="9">'[7]Invested capital_VDF'!$C$29:$AU$29</definedName>
    <definedName name="Staightline_charge" localSheetId="8">'[5]Invested capital_VDF'!$C$29:$AU$29</definedName>
    <definedName name="Staightline_charge">'[6]Invested capital_VDF'!$C$29:$AU$29</definedName>
    <definedName name="Stock_price" localSheetId="9">'[7]Summary Page_VDF'!$B$9</definedName>
    <definedName name="Stock_price" localSheetId="8">'[5]Summary Page_VDF'!$B$9</definedName>
    <definedName name="Stock_price">'[6]Summary Page_VDF'!$B$9</definedName>
    <definedName name="Stock_price_close" localSheetId="9">'[7]Summary Page_VDF'!$C$54:$AZ$54</definedName>
    <definedName name="Stock_price_close">'[6]Summary Page_VDF'!$C$54:$AZ$54</definedName>
    <definedName name="Stock_price_high" localSheetId="9">[7]WACC_VDF!$C$27:$AY$27</definedName>
    <definedName name="Stock_price_high">[6]WACC_VDF!$C$27:$AY$27</definedName>
    <definedName name="Stock_price_low" localSheetId="9">[7]WACC_VDF!$C$28:$AY$28</definedName>
    <definedName name="Stock_price_low">[6]WACC_VDF!$C$28:$AY$28</definedName>
    <definedName name="summ">[2]Sheet12!#REF!</definedName>
    <definedName name="Summary_1" localSheetId="9">'[7]Summary Page_VDF'!$F$1:$F$65536</definedName>
    <definedName name="Summary_1">'[6]Summary Page_VDF'!$F$1:$F$65536</definedName>
    <definedName name="Summary_1991" localSheetId="9">'[7]Summary Page_VDF'!$C$25:$C$106</definedName>
    <definedName name="Summary_1991">'[6]Summary Page_VDF'!$C$25:$C$106</definedName>
    <definedName name="Summary_1992" localSheetId="9">'[7]Summary Page_VDF'!$D$25:$D$106</definedName>
    <definedName name="Summary_1992">'[6]Summary Page_VDF'!$D$25:$D$106</definedName>
    <definedName name="Summary_1993" localSheetId="9">'[7]Summary Page_VDF'!$E$25:$E$106</definedName>
    <definedName name="Summary_1993">'[6]Summary Page_VDF'!$E$25:$E$106</definedName>
    <definedName name="Summary_1994" localSheetId="9">'[7]Summary Page_VDF'!$F$25:$F$106</definedName>
    <definedName name="Summary_1994">'[6]Summary Page_VDF'!$F$25:$F$106</definedName>
    <definedName name="Summary_1995" localSheetId="9">'[7]Summary Page_VDF'!$G$25:$G$106</definedName>
    <definedName name="Summary_1995">'[6]Summary Page_VDF'!$G$25:$G$106</definedName>
    <definedName name="Summary_1996" localSheetId="9">'[7]Summary Page_VDF'!$H$25:$H$106</definedName>
    <definedName name="Summary_1996">'[6]Summary Page_VDF'!$H$25:$H$106</definedName>
    <definedName name="Summary_1997" localSheetId="9">'[7]Summary Page_VDF'!$I$25:$I$106</definedName>
    <definedName name="Summary_1997">'[6]Summary Page_VDF'!$I$25:$I$106</definedName>
    <definedName name="Summary_2" localSheetId="9">'[7]Summary Page_VDF'!$E$1:$E$65536</definedName>
    <definedName name="Summary_2">'[6]Summary Page_VDF'!$E$1:$E$65536</definedName>
    <definedName name="Summary_3" localSheetId="9">'[7]Summary Page_VDF'!$D$1:$D$65536</definedName>
    <definedName name="Summary_3">'[6]Summary Page_VDF'!$D$1:$D$65536</definedName>
    <definedName name="Summary_4" localSheetId="9">'[7]Summary Page_VDF'!$C$1:$C$65536</definedName>
    <definedName name="Summary_4">'[6]Summary Page_VDF'!$C$1:$C$65536</definedName>
    <definedName name="Summary_Date" localSheetId="9">#REF!</definedName>
    <definedName name="Summary_Date" localSheetId="11">#REF!</definedName>
    <definedName name="Summary_Date" localSheetId="10">#REF!</definedName>
    <definedName name="Summary_Date">#REF!</definedName>
    <definedName name="Summary_EY1" localSheetId="9">'[7]Summary Page_VDF'!$H$1:$H$65536</definedName>
    <definedName name="Summary_EY1">'[6]Summary Page_VDF'!$H$1:$H$65536</definedName>
    <definedName name="Summary_EY2" localSheetId="9">'[7]Summary Page_VDF'!$I$1:$I$65536</definedName>
    <definedName name="Summary_EY2">'[6]Summary Page_VDF'!$I$1:$I$65536</definedName>
    <definedName name="Summary_P" localSheetId="9">'[7]Summary Page_VDF'!$G$1:$G$65536</definedName>
    <definedName name="Summary_P">'[6]Summary Page_VDF'!$G$1:$G$65536</definedName>
    <definedName name="Swvu._Current_." localSheetId="11" hidden="1">#REF!</definedName>
    <definedName name="Swvu._Current_." localSheetId="10" hidden="1">#REF!</definedName>
    <definedName name="Swvu._Current_." hidden="1">#REF!</definedName>
    <definedName name="Swvu.FIATOdd." localSheetId="11" hidden="1">#REF!</definedName>
    <definedName name="Swvu.FIATOdd." localSheetId="10" hidden="1">#REF!</definedName>
    <definedName name="Swvu.FIATOdd." hidden="1">#REF!</definedName>
    <definedName name="Target_debt_to_capital" localSheetId="9">[4]Forecasts_VDF!$E$72:$L$72</definedName>
    <definedName name="Target_debt_to_capital" localSheetId="8">[5]Forecasts_VDF!$E$72:$L$72</definedName>
    <definedName name="Target_debt_to_capital">[6]Forecasts_VDF!$E$72:$L$72</definedName>
    <definedName name="Tax_benefit_from_interest" localSheetId="9">[7]NOPAT_VDF!$C$36:$AU$36</definedName>
    <definedName name="Tax_benefit_from_interest" localSheetId="8">[5]NOPAT_VDF!$C$36:$AU$36</definedName>
    <definedName name="Tax_benefit_from_interest">[6]NOPAT_VDF!$C$36:$AU$36</definedName>
    <definedName name="Tax_benefit_from_oper_leases" localSheetId="9">[7]NOPAT_VDF!XEV1:AO1</definedName>
    <definedName name="Tax_benefit_from_oper_leases" localSheetId="8">[5]NOPAT_VDF!XEV1:AO1</definedName>
    <definedName name="Tax_benefit_from_oper_leases">[6]NOPAT_VDF!XEV1:AO1</definedName>
    <definedName name="Tax_benefit_from_ops_leases" localSheetId="9">[7]NOPAT_VDF!$C$37:$AZ$37</definedName>
    <definedName name="Tax_benefit_from_ops_leases">[6]NOPAT_VDF!$C$37:$AZ$37</definedName>
    <definedName name="Tax_rate_for_WACC" localSheetId="9">[6]WACC_VDF!#REF!</definedName>
    <definedName name="Tax_rate_for_WACC" localSheetId="8">[5]WACC_VDF!#REF!</definedName>
    <definedName name="Tax_rate_for_WACC" localSheetId="11">[6]WACC_VDF!#REF!</definedName>
    <definedName name="Tax_rate_for_WACC" localSheetId="10">[6]WACC_VDF!#REF!</definedName>
    <definedName name="Tax_rate_for_WACC" localSheetId="3">[6]WACC_VDF!#REF!</definedName>
    <definedName name="Tax_rate_for_WACC">[6]WACC_VDF!#REF!</definedName>
    <definedName name="Tax_Shield_Tax_Rate" localSheetId="9">[7]NOPAT_VDF!$A$33</definedName>
    <definedName name="Tax_Shield_Tax_Rate" localSheetId="8">[5]NOPAT_VDF!$A$33</definedName>
    <definedName name="Tax_Shield_Tax_Rate">[6]NOPAT_VDF!$A$33</definedName>
    <definedName name="taxtar" localSheetId="9">[21]Inputs!$E$10</definedName>
    <definedName name="taxtar">[21]Inputs!$E$10</definedName>
    <definedName name="taxtar2" localSheetId="9">[21]Inputs!$E$11</definedName>
    <definedName name="taxtar2">[21]Inputs!$E$11</definedName>
    <definedName name="TBD"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TBD"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TBD"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TECH_Theoretical" localSheetId="9">#REF!</definedName>
    <definedName name="TECH_Theoretical" localSheetId="8">#REF!</definedName>
    <definedName name="TECH_Theoretical" localSheetId="3">#REF!</definedName>
    <definedName name="TECH_Theoretical">#REF!</definedName>
    <definedName name="TextRefCopyRangeCount" hidden="1">1</definedName>
    <definedName name="th">1000</definedName>
    <definedName name="thou">1000</definedName>
    <definedName name="Ticker" localSheetId="9">'[40]iQ ML_Model_Summary'!$C$3</definedName>
    <definedName name="Ticker" localSheetId="8">'[41]iQ ML_Model_Summary'!$C$3</definedName>
    <definedName name="Ticker">'[42]iQ ML_Model_Summary'!$C$3</definedName>
    <definedName name="Tigr_Exhibit0db6b789_2997_4d41_831b_f4e97361700d" localSheetId="9" hidden="1">#REF!</definedName>
    <definedName name="Tigr_Exhibit0db6b789_2997_4d41_831b_f4e97361700d" localSheetId="11" hidden="1">#REF!</definedName>
    <definedName name="Tigr_Exhibit0db6b789_2997_4d41_831b_f4e97361700d" localSheetId="10" hidden="1">#REF!</definedName>
    <definedName name="Tigr_Exhibit0db6b789_2997_4d41_831b_f4e97361700d" hidden="1">#REF!</definedName>
    <definedName name="Tigr_Exhibit4d6ecd49_4aa9_49ca_8a37_5abd2dc19e2f" localSheetId="9" hidden="1">#REF!</definedName>
    <definedName name="Tigr_Exhibit4d6ecd49_4aa9_49ca_8a37_5abd2dc19e2f" hidden="1">#REF!</definedName>
    <definedName name="Tigr_Exhibit8e8f182e_a8c2_4624_a28f_879dd80be0fc" localSheetId="9" hidden="1">#REF!</definedName>
    <definedName name="Tigr_Exhibit8e8f182e_a8c2_4624_a28f_879dd80be0fc" hidden="1">#REF!</definedName>
    <definedName name="Tigr_Exhibitb3613579_dfe3_458b_adeb_d40774d53dd4" localSheetId="9" hidden="1">#REF!</definedName>
    <definedName name="Tigr_Exhibitb3613579_dfe3_458b_adeb_d40774d53dd4" hidden="1">#REF!</definedName>
    <definedName name="Tigr_Exhibitbd9059e8_315a_4240_91d4_f350a136c61b" localSheetId="9" hidden="1">#REF!</definedName>
    <definedName name="Tigr_Exhibitbd9059e8_315a_4240_91d4_f350a136c61b" hidden="1">#REF!</definedName>
    <definedName name="Tigr_Exhibitd8c38d3f_eeb8_4bf9_be54_f0c2f9e2dc38" localSheetId="9" hidden="1">#REF!</definedName>
    <definedName name="Tigr_Exhibitd8c38d3f_eeb8_4bf9_be54_f0c2f9e2dc38" hidden="1">#REF!</definedName>
    <definedName name="Tigr_Exhibitda6a43c4_0787_4dc2_95cb_cd31df0ca4a6" localSheetId="9" hidden="1">#REF!</definedName>
    <definedName name="Tigr_Exhibitda6a43c4_0787_4dc2_95cb_cd31df0ca4a6" hidden="1">#REF!</definedName>
    <definedName name="Tigr_Exhibitdbf5f840_83e6_46b9_8d04_0d08b2ecc9d1" localSheetId="9" hidden="1">#REF!</definedName>
    <definedName name="Tigr_Exhibitdbf5f840_83e6_46b9_8d04_0d08b2ecc9d1" hidden="1">#REF!</definedName>
    <definedName name="Tigr_Exhibite9ef4635_f19e_4475_bd77_e7cbce69a310" localSheetId="9" hidden="1">#REF!</definedName>
    <definedName name="Tigr_Exhibite9ef4635_f19e_4475_bd77_e7cbce69a310" hidden="1">#REF!</definedName>
    <definedName name="top" localSheetId="9">#REF!</definedName>
    <definedName name="top">#REF!</definedName>
    <definedName name="tope">#REF!</definedName>
    <definedName name="Total_amort_fore" localSheetId="9">[4]Forecasts_VDF!$E$18:$M$18</definedName>
    <definedName name="Total_amort_fore" localSheetId="8">[5]Forecasts_VDF!$E$18:$M$18</definedName>
    <definedName name="Total_amort_fore">[6]Forecasts_VDF!$E$18:$M$18</definedName>
    <definedName name="Total_Amortization" localSheetId="9">[4]NOPAT_VDF!$C$18:$AZ$18</definedName>
    <definedName name="Total_Amortization" localSheetId="8">[5]NOPAT_VDF!$C$18:$AZ$18</definedName>
    <definedName name="Total_Amortization">[6]NOPAT_VDF!$C$18:$AZ$18</definedName>
    <definedName name="Total_Amortization_fore" localSheetId="9">[4]Forecasts_VDF!$E$15:$G$15</definedName>
    <definedName name="Total_Amortization_fore" localSheetId="8">[5]Forecasts_VDF!$E$15:$G$15</definedName>
    <definedName name="Total_Amortization_fore">[6]Forecasts_VDF!$E$15:$G$15</definedName>
    <definedName name="Total_COS" localSheetId="9">[4]NOPAT_VDF!$C$9:$AZ$9</definedName>
    <definedName name="Total_COS" localSheetId="8">[5]NOPAT_VDF!$C$9:$AZ$9</definedName>
    <definedName name="Total_COS">[6]NOPAT_VDF!$C$9:$AZ$9</definedName>
    <definedName name="Total_COS_fore" localSheetId="9">[4]Forecasts_VDF!$E$8:$W$8</definedName>
    <definedName name="Total_COS_fore" localSheetId="8">[5]Forecasts_VDF!$E$8:$W$8</definedName>
    <definedName name="Total_COS_fore">[6]Forecasts_VDF!$E$8:$W$8</definedName>
    <definedName name="Total_COS_growth_fore" localSheetId="9">[4]Forecasts_VDF!$H$142:$K$142</definedName>
    <definedName name="Total_COS_growth_fore" localSheetId="8">[5]Forecasts_VDF!$H$142:$K$142</definedName>
    <definedName name="Total_COS_growth_fore">[6]Forecasts_VDF!$H$142:$K$142</definedName>
    <definedName name="Total_COS_net_DnA" localSheetId="9">[7]NOPAT_VDF!$C$103:$AZ$103</definedName>
    <definedName name="Total_COS_net_DnA" localSheetId="8">[5]NOPAT_VDF!$C$103:$AZ$103</definedName>
    <definedName name="Total_COS_net_DnA">[6]NOPAT_VDF!$C$103:$AZ$103</definedName>
    <definedName name="Total_COS_net_DnA_fore" localSheetId="9">[6]Forecasts_VDF!#REF!</definedName>
    <definedName name="Total_COS_net_DnA_fore" localSheetId="8">[5]Forecasts_VDF!#REF!</definedName>
    <definedName name="Total_COS_net_DnA_fore" localSheetId="11">[6]Forecasts_VDF!#REF!</definedName>
    <definedName name="Total_COS_net_DnA_fore" localSheetId="10">[6]Forecasts_VDF!#REF!</definedName>
    <definedName name="Total_COS_net_DnA_fore" localSheetId="3">[6]Forecasts_VDF!#REF!</definedName>
    <definedName name="Total_COS_net_DnA_fore">[6]Forecasts_VDF!#REF!</definedName>
    <definedName name="Total_debt" localSheetId="9">'[4]Invested capital_VDF'!$C$61:$AU$61</definedName>
    <definedName name="Total_debt" localSheetId="8">'[5]Invested capital_VDF'!$C$61:$AU$61</definedName>
    <definedName name="Total_debt">'[6]Invested capital_VDF'!$C$61:$AU$61</definedName>
    <definedName name="Total_debt_DCF" localSheetId="9">[4]DCF_VDF!$C$35:$AZ$35</definedName>
    <definedName name="Total_debt_DCF" localSheetId="8">[5]DCF_VDF!$C$35:$AZ$35</definedName>
    <definedName name="Total_debt_DCF">[6]DCF_VDF!$C$35:$AZ$35</definedName>
    <definedName name="Total_debt_fore" localSheetId="9">[4]Forecasts_VDF!$E$46:$W$46</definedName>
    <definedName name="Total_debt_fore" localSheetId="8">[5]Forecasts_VDF!$E$46:$W$46</definedName>
    <definedName name="Total_debt_fore">[6]Forecasts_VDF!$E$46:$W$46</definedName>
    <definedName name="Total_debt_growth_fore" localSheetId="9">[4]Forecasts_VDF!$E$58:$W$58</definedName>
    <definedName name="Total_debt_growth_fore" localSheetId="8">[5]Forecasts_VDF!$E$58:$W$58</definedName>
    <definedName name="Total_debt_growth_fore">[6]Forecasts_VDF!$E$58:$W$58</definedName>
    <definedName name="Total_increase_in_EEs" localSheetId="9">[7]NOPAT_VDF!$C$55:$AZ$55</definedName>
    <definedName name="Total_increase_in_EEs" localSheetId="8">[5]NOPAT_VDF!$C$55:$AZ$55</definedName>
    <definedName name="Total_increase_in_EEs">[6]NOPAT_VDF!$C$55:$AZ$55</definedName>
    <definedName name="Total_Increase_in_EEs_fore" localSheetId="9">[4]Forecasts_VDF!$B$26:$AX$26</definedName>
    <definedName name="Total_Increase_in_EEs_fore" localSheetId="8">[5]Forecasts_VDF!$B$26:$AX$26</definedName>
    <definedName name="Total_Increase_in_EEs_fore">[6]Forecasts_VDF!$B$26:$AX$26</definedName>
    <definedName name="Total_other_assets" localSheetId="9">'[4]Invested capital_VDF'!$C$47:$Z$47</definedName>
    <definedName name="Total_other_assets" localSheetId="8">'[5]Invested capital_VDF'!$C$47:$Z$47</definedName>
    <definedName name="Total_other_assets">'[6]Invested capital_VDF'!$C$47:$Z$47</definedName>
    <definedName name="Total_Sales" localSheetId="9">[22]IS!$A$9:$IV$9</definedName>
    <definedName name="Total_Sales" localSheetId="8">[24]IS!$A$9:$IV$9</definedName>
    <definedName name="Total_Sales">[27]IS!$A$9:$IV$9</definedName>
    <definedName name="trans" localSheetId="9">#N/A</definedName>
    <definedName name="trans">#N/A</definedName>
    <definedName name="transx" localSheetId="9">#N/A</definedName>
    <definedName name="transx">#N/A</definedName>
    <definedName name="Troponin" localSheetId="9">#REF!</definedName>
    <definedName name="Troponin" localSheetId="11">#REF!</definedName>
    <definedName name="Troponin" localSheetId="10">#REF!</definedName>
    <definedName name="Troponin" localSheetId="3">#REF!</definedName>
    <definedName name="Troponin">#REF!</definedName>
    <definedName name="Turkey_PMI">OFFSET('[16]PMI Data'!$X$5,0,0,COUNTA('[16]PMI Data'!$X$6:$X$6000)+1,2)</definedName>
    <definedName name="two" localSheetId="11">[2]Sheet15!#REF!</definedName>
    <definedName name="two" localSheetId="10">[2]Sheet15!#REF!</definedName>
    <definedName name="two">[2]Sheet15!#REF!</definedName>
    <definedName name="Ulcer_Market" localSheetId="9">[25]LLY!#REF!</definedName>
    <definedName name="Ulcer_Market" localSheetId="11">[25]LLY!#REF!</definedName>
    <definedName name="Ulcer_Market" localSheetId="10">[25]LLY!#REF!</definedName>
    <definedName name="Ulcer_Market" localSheetId="3">[25]LLY!#REF!</definedName>
    <definedName name="Ulcer_Market">[25]LLY!#REF!</definedName>
    <definedName name="US_EP_Depr_2003" localSheetId="9">'[30]E&amp;P'!$H$377</definedName>
    <definedName name="US_EP_Depr_2003">'[30]E&amp;P'!$H$377</definedName>
    <definedName name="US_EP_Depr_2004" localSheetId="9">'[9]E&amp;P'!$P$224</definedName>
    <definedName name="US_EP_Depr_2004">'[9]E&amp;P'!$P$224</definedName>
    <definedName name="US_EP_NI_2004" localSheetId="9">'[9]E&amp;P'!$P$230</definedName>
    <definedName name="US_EP_NI_2004">'[9]E&amp;P'!$P$230</definedName>
    <definedName name="US_PMI">OFFSET('[16]PMI Data'!$D$5,0,0,COUNTA('[16]PMI Data'!$D$6:$D$6000)+1,2)</definedName>
    <definedName name="USGasProd_2004" localSheetId="9">'[9]E&amp;P'!$P$5</definedName>
    <definedName name="USGasProd_2004">'[9]E&amp;P'!$P$5</definedName>
    <definedName name="USOilProd_2004" localSheetId="9">'[9]E&amp;P'!$P$4</definedName>
    <definedName name="USOilProd_2004">'[9]E&amp;P'!$P$4</definedName>
    <definedName name="USOtherCosts_2004" localSheetId="9">'[9]E&amp;P'!$P$237</definedName>
    <definedName name="USOtherCosts_2004">'[9]E&amp;P'!$P$237</definedName>
    <definedName name="USProd_2004" localSheetId="9">'[9]E&amp;P'!$P$6</definedName>
    <definedName name="USProd_2004">'[9]E&amp;P'!$P$6</definedName>
    <definedName name="USProdCosts_2004" localSheetId="9">'[9]E&amp;P'!$P$235</definedName>
    <definedName name="USProdCosts_2004">'[9]E&amp;P'!$P$235</definedName>
    <definedName name="v"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v"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v"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Valuation_model" localSheetId="9">#REF!</definedName>
    <definedName name="Valuation_model" localSheetId="3">#REF!</definedName>
    <definedName name="Valuation_model">#REF!</definedName>
    <definedName name="Valuation_summary" localSheetId="9">#REF!</definedName>
    <definedName name="Valuation_summary" localSheetId="3">#REF!</definedName>
    <definedName name="Valuation_summary">#REF!</definedName>
    <definedName name="Value_of_Equity" localSheetId="9">#REF!</definedName>
    <definedName name="Value_of_Equity" localSheetId="3">#REF!</definedName>
    <definedName name="Value_of_Equity">#REF!</definedName>
    <definedName name="Value_of_Firm" localSheetId="9">[7]DCF_VDF!$C$58:$BZ$58</definedName>
    <definedName name="Value_of_Firm" localSheetId="8">[5]DCF_VDF!$C$58:$BZ$58</definedName>
    <definedName name="Value_of_Firm">[6]DCF_VDF!$C$58:$BZ$58</definedName>
    <definedName name="Value_of_Unconsol._Subs" localSheetId="9">[7]DCF_VDF!$C$34:$AZ$34</definedName>
    <definedName name="Value_of_Unconsol._Subs" localSheetId="8">[5]DCF_VDF!$C$34:$AZ$34</definedName>
    <definedName name="Value_of_Unconsol._Subs">[6]DCF_VDF!$C$34:$AZ$34</definedName>
    <definedName name="Value_per_share" localSheetId="9">[7]DCF_VDF!$C$39:$AZ$39</definedName>
    <definedName name="Value_per_share">[6]DCF_VDF!$C$39:$AZ$39</definedName>
    <definedName name="Valuepage" localSheetId="9">#REF!</definedName>
    <definedName name="Valuepage" localSheetId="11">#REF!</definedName>
    <definedName name="Valuepage" localSheetId="10">#REF!</definedName>
    <definedName name="Valuepage">#REF!</definedName>
    <definedName name="vbvn" hidden="1">"c116"</definedName>
    <definedName name="VersusGE">[43]Marketing!$AP$4:$AZ$50</definedName>
    <definedName name="votes_print" localSheetId="9">#REF!</definedName>
    <definedName name="votes_print" localSheetId="8">#REF!</definedName>
    <definedName name="votes_print" localSheetId="3">#REF!</definedName>
    <definedName name="votes_print">#REF!</definedName>
    <definedName name="VRC" localSheetId="9">[15]cmp!#REF!</definedName>
    <definedName name="VRC">[15]cmp!#REF!</definedName>
    <definedName name="WACC_1" localSheetId="9">'[7]Income Statement_VDF'!$Q$44</definedName>
    <definedName name="WACC_1" localSheetId="8">'[5]Income Statement_VDF'!$Q$44</definedName>
    <definedName name="WACC_1">'[6]Income Statement_VDF'!$Q$44</definedName>
    <definedName name="WACC_10" localSheetId="9">'[7]Income Statement_VDF'!$H$44</definedName>
    <definedName name="WACC_10" localSheetId="8">'[5]Income Statement_VDF'!$H$44</definedName>
    <definedName name="WACC_10">'[6]Income Statement_VDF'!$H$44</definedName>
    <definedName name="WACC_11" localSheetId="9">'[7]Income Statement_VDF'!$G$44</definedName>
    <definedName name="WACC_11">'[6]Income Statement_VDF'!$G$44</definedName>
    <definedName name="WACC_12" localSheetId="9">'[7]Income Statement_VDF'!$F$44</definedName>
    <definedName name="WACC_12">'[6]Income Statement_VDF'!$F$44</definedName>
    <definedName name="WACC_13" localSheetId="9">'[7]Income Statement_VDF'!$E$44</definedName>
    <definedName name="WACC_13">'[6]Income Statement_VDF'!$E$44</definedName>
    <definedName name="WACC_14" localSheetId="9">'[7]Income Statement_VDF'!$D$44</definedName>
    <definedName name="WACC_14">'[6]Income Statement_VDF'!$D$44</definedName>
    <definedName name="WACC_2" localSheetId="9">'[7]Income Statement_VDF'!$P$44</definedName>
    <definedName name="WACC_2">'[6]Income Statement_VDF'!$P$44</definedName>
    <definedName name="WACC_3" localSheetId="9">'[7]Income Statement_VDF'!$O$44</definedName>
    <definedName name="WACC_3">'[6]Income Statement_VDF'!$O$44</definedName>
    <definedName name="WACC_4" localSheetId="9">'[7]Income Statement_VDF'!$N$44</definedName>
    <definedName name="WACC_4">'[6]Income Statement_VDF'!$N$44</definedName>
    <definedName name="WACC_5" localSheetId="9">'[7]Income Statement_VDF'!$M$44</definedName>
    <definedName name="WACC_5">'[6]Income Statement_VDF'!$M$44</definedName>
    <definedName name="WACC_6" localSheetId="9">'[7]Income Statement_VDF'!$L$44</definedName>
    <definedName name="WACC_6">'[6]Income Statement_VDF'!$L$44</definedName>
    <definedName name="WACC_7" localSheetId="9">'[7]Income Statement_VDF'!$K$44</definedName>
    <definedName name="WACC_7">'[6]Income Statement_VDF'!$K$44</definedName>
    <definedName name="WACC_8" localSheetId="9">'[7]Income Statement_VDF'!$J$44</definedName>
    <definedName name="WACC_8">'[6]Income Statement_VDF'!$J$44</definedName>
    <definedName name="WACC_9" localSheetId="9">'[7]Income Statement_VDF'!$I$44</definedName>
    <definedName name="WACC_9">'[6]Income Statement_VDF'!$I$44</definedName>
    <definedName name="WACC_fore" localSheetId="9">'[4]Income Statement_VDF'!$S$44</definedName>
    <definedName name="WACC_fore" localSheetId="8">'[5]Income Statement_VDF'!$S$44</definedName>
    <definedName name="WACC_fore">'[6]Income Statement_VDF'!$S$44</definedName>
    <definedName name="WACC_P" localSheetId="9">'[4]Income Statement_VDF'!$R$44</definedName>
    <definedName name="WACC_P" localSheetId="8">'[5]Income Statement_VDF'!$R$44</definedName>
    <definedName name="WACC_P">'[6]Income Statement_VDF'!$R$44</definedName>
    <definedName name="WACC_P_1" localSheetId="9">[4]WACC_VDF!$U$23</definedName>
    <definedName name="WACC_P_1" localSheetId="8">[5]WACC_VDF!$U$23</definedName>
    <definedName name="WACC_P_1">[6]WACC_VDF!$U$23</definedName>
    <definedName name="WACC_P_10" localSheetId="9">[7]WACC_VDF!$U$11</definedName>
    <definedName name="WACC_P_10" localSheetId="8">[5]WACC_VDF!$U$11</definedName>
    <definedName name="WACC_P_10">[6]WACC_VDF!$U$11</definedName>
    <definedName name="WACC_P_11" localSheetId="9">[7]WACC_VDF!$U$10</definedName>
    <definedName name="WACC_P_11" localSheetId="8">[5]WACC_VDF!$U$10</definedName>
    <definedName name="WACC_P_11">[6]WACC_VDF!$U$10</definedName>
    <definedName name="WACC_P_12" localSheetId="9">[7]WACC_VDF!$U$9</definedName>
    <definedName name="WACC_P_12">[6]WACC_VDF!$U$9</definedName>
    <definedName name="WACC_P_13" localSheetId="9">[7]WACC_VDF!$U$8</definedName>
    <definedName name="WACC_P_13">[6]WACC_VDF!$U$8</definedName>
    <definedName name="WACC_P_14" localSheetId="9">[7]WACC_VDF!$U$7</definedName>
    <definedName name="WACC_P_14">[6]WACC_VDF!$U$7</definedName>
    <definedName name="WACC_P_2" localSheetId="9">[7]WACC_VDF!$U$19</definedName>
    <definedName name="WACC_P_2">[6]WACC_VDF!$U$19</definedName>
    <definedName name="WACC_P_3" localSheetId="9">[7]WACC_VDF!$U$18</definedName>
    <definedName name="WACC_P_3">[6]WACC_VDF!$U$18</definedName>
    <definedName name="WACC_P_4" localSheetId="9">[7]WACC_VDF!$U$17</definedName>
    <definedName name="WACC_P_4">[6]WACC_VDF!$U$17</definedName>
    <definedName name="WACC_P_5" localSheetId="9">[7]WACC_VDF!$U$16</definedName>
    <definedName name="WACC_P_5">[6]WACC_VDF!$U$16</definedName>
    <definedName name="WACC_P_6" localSheetId="9">[7]WACC_VDF!$U$15</definedName>
    <definedName name="WACC_P_6">[6]WACC_VDF!$U$15</definedName>
    <definedName name="WACC_P_7" localSheetId="9">[7]WACC_VDF!$U$14</definedName>
    <definedName name="WACC_P_7">[6]WACC_VDF!$U$14</definedName>
    <definedName name="WACC_P_8" localSheetId="9">[6]WACC_VDF!#REF!</definedName>
    <definedName name="WACC_P_8" localSheetId="8">[5]WACC_VDF!#REF!</definedName>
    <definedName name="WACC_P_8" localSheetId="11">[6]WACC_VDF!#REF!</definedName>
    <definedName name="WACC_P_8" localSheetId="10">[6]WACC_VDF!#REF!</definedName>
    <definedName name="WACC_P_8" localSheetId="3">[6]WACC_VDF!#REF!</definedName>
    <definedName name="WACC_P_8">[6]WACC_VDF!#REF!</definedName>
    <definedName name="WACC_P_9" localSheetId="9">[7]WACC_VDF!$U$12</definedName>
    <definedName name="WACC_P_9" localSheetId="8">[5]WACC_VDF!$U$12</definedName>
    <definedName name="WACC_P_9">[6]WACC_VDF!$U$12</definedName>
    <definedName name="Warfarin" localSheetId="9">#REF!</definedName>
    <definedName name="Warfarin" localSheetId="11">#REF!</definedName>
    <definedName name="Warfarin" localSheetId="10">#REF!</definedName>
    <definedName name="Warfarin" localSheetId="3">#REF!</definedName>
    <definedName name="Warfarin">#REF!</definedName>
    <definedName name="workcap" localSheetId="9">#REF!</definedName>
    <definedName name="workcap" localSheetId="3">#REF!</definedName>
    <definedName name="workcap">#REF!</definedName>
    <definedName name="WORLDWIDE" localSheetId="9">[34]iQ_US_CoreIndustrials!$A$161:$AM$183</definedName>
    <definedName name="WORLDWIDE">[34]iQ_US_CoreIndustrials!$A$161:$AM$183</definedName>
    <definedName name="wrn.Aging._.and._.Trend._.Analysis." localSheetId="9"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ash._.V._.LY." localSheetId="11" hidden="1">{"cash",#N/A,FALSE,"Aerospace";"cash",#N/A,FALSE,"Engines";"cash",#N/A,FALSE,"AES";"cash",#N/A,FALSE,"ES";"cash",#N/A,FALSE,"CAS";"cash",#N/A,FALSE,"ATSC";"cash",#N/A,FALSE,"FMT";"cash",#N/A,FALSE,"Aero Other";"cash",#N/A,FALSE,"Judgement"}</definedName>
    <definedName name="wrn.Cash._.V._.LY." localSheetId="10" hidden="1">{"cash",#N/A,FALSE,"Aerospace";"cash",#N/A,FALSE,"Engines";"cash",#N/A,FALSE,"AES";"cash",#N/A,FALSE,"ES";"cash",#N/A,FALSE,"CAS";"cash",#N/A,FALSE,"ATSC";"cash",#N/A,FALSE,"FMT";"cash",#N/A,FALSE,"Aero Other";"cash",#N/A,FALSE,"Judgement"}</definedName>
    <definedName name="wrn.Cash._.V._.LY." hidden="1">{"cash",#N/A,FALSE,"Aerospace";"cash",#N/A,FALSE,"Engines";"cash",#N/A,FALSE,"AES";"cash",#N/A,FALSE,"ES";"cash",#N/A,FALSE,"CAS";"cash",#N/A,FALSE,"ATSC";"cash",#N/A,FALSE,"FMT";"cash",#N/A,FALSE,"Aero Other";"cash",#N/A,FALSE,"Judgement"}</definedName>
    <definedName name="wrn.Cash._.V._.Prior." localSheetId="11" hidden="1">{"cash",#N/A,FALSE,"Aero V prior";"cash",#N/A,FALSE,"Eng V Prior";"cash",#N/A,FALSE,"AES V Prior";"cash",#N/A,FALSE,"ES V Prior";"cash",#N/A,FALSE,"CAS V Prior";"cash",#N/A,FALSE,"ATSC V Prior";"cash",#N/A,FALSE,"FMT V Prior";"cash",#N/A,FALSE,"Aero Other V Prior";"cash",#N/A,FALSE,"Judge V Prior"}</definedName>
    <definedName name="wrn.Cash._.V._.Prior." localSheetId="10" hidden="1">{"cash",#N/A,FALSE,"Aero V prior";"cash",#N/A,FALSE,"Eng V Prior";"cash",#N/A,FALSE,"AES V Prior";"cash",#N/A,FALSE,"ES V Prior";"cash",#N/A,FALSE,"CAS V Prior";"cash",#N/A,FALSE,"ATSC V Prior";"cash",#N/A,FALSE,"FMT V Prior";"cash",#N/A,FALSE,"Aero Other V Prior";"cash",#N/A,FALSE,"Judge V Prior"}</definedName>
    <definedName name="wrn.Cash._.V._.Prior." hidden="1">{"cash",#N/A,FALSE,"Aero V prior";"cash",#N/A,FALSE,"Eng V Prior";"cash",#N/A,FALSE,"AES V Prior";"cash",#N/A,FALSE,"ES V Prior";"cash",#N/A,FALSE,"CAS V Prior";"cash",#N/A,FALSE,"ATSC V Prior";"cash",#N/A,FALSE,"FMT V Prior";"cash",#N/A,FALSE,"Aero Other V Prior";"cash",#N/A,FALSE,"Judge V Prior"}</definedName>
    <definedName name="wrn.profit._.p" localSheetId="11" hidden="1">{"profit",#N/A,FALSE,"Aerospace";"profit",#N/A,FALSE,"Engines";"profit",#N/A,FALSE,"AES";"profit",#N/A,FALSE,"ES";"profit",#N/A,FALSE,"CAS";"profit",#N/A,FALSE,"ATSC";"profit",#N/A,FALSE,"FMT";"profit",#N/A,FALSE,"Aero Other";"profit",#N/A,FALSE,"Judgement"}</definedName>
    <definedName name="wrn.profit._.p" localSheetId="10" hidden="1">{"profit",#N/A,FALSE,"Aerospace";"profit",#N/A,FALSE,"Engines";"profit",#N/A,FALSE,"AES";"profit",#N/A,FALSE,"ES";"profit",#N/A,FALSE,"CAS";"profit",#N/A,FALSE,"ATSC";"profit",#N/A,FALSE,"FMT";"profit",#N/A,FALSE,"Aero Other";"profit",#N/A,FALSE,"Judgement"}</definedName>
    <definedName name="wrn.profit._.p" hidden="1">{"profit",#N/A,FALSE,"Aerospace";"profit",#N/A,FALSE,"Engines";"profit",#N/A,FALSE,"AES";"profit",#N/A,FALSE,"ES";"profit",#N/A,FALSE,"CAS";"profit",#N/A,FALSE,"ATSC";"profit",#N/A,FALSE,"FMT";"profit",#N/A,FALSE,"Aero Other";"profit",#N/A,FALSE,"Judgement"}</definedName>
    <definedName name="wrn.Profit._.V._.LY." localSheetId="11" hidden="1">{"profit",#N/A,FALSE,"Aerospace";"profit",#N/A,FALSE,"Engines";"profit",#N/A,FALSE,"AES";"profit",#N/A,FALSE,"ES";"profit",#N/A,FALSE,"CAS";"profit",#N/A,FALSE,"ATSC";"profit",#N/A,FALSE,"FMT";"profit",#N/A,FALSE,"Aero Other";"profit",#N/A,FALSE,"Judgement"}</definedName>
    <definedName name="wrn.Profit._.V._.LY." localSheetId="10" hidden="1">{"profit",#N/A,FALSE,"Aerospace";"profit",#N/A,FALSE,"Engines";"profit",#N/A,FALSE,"AES";"profit",#N/A,FALSE,"ES";"profit",#N/A,FALSE,"CAS";"profit",#N/A,FALSE,"ATSC";"profit",#N/A,FALSE,"FMT";"profit",#N/A,FALSE,"Aero Other";"profit",#N/A,FALSE,"Judgement"}</definedName>
    <definedName name="wrn.Profit._.V._.LY." hidden="1">{"profit",#N/A,FALSE,"Aerospace";"profit",#N/A,FALSE,"Engines";"profit",#N/A,FALSE,"AES";"profit",#N/A,FALSE,"ES";"profit",#N/A,FALSE,"CAS";"profit",#N/A,FALSE,"ATSC";"profit",#N/A,FALSE,"FMT";"profit",#N/A,FALSE,"Aero Other";"profit",#N/A,FALSE,"Judgement"}</definedName>
    <definedName name="wrn.Profit._.V._.Prior._.Fcst.." localSheetId="11" hidden="1">{"profit",#N/A,FALSE,"Aero V prior";"profit",#N/A,FALSE,"Eng V Prior";"profit",#N/A,FALSE,"AES V Prior";"profit",#N/A,FALSE,"ES V Prior";"profit",#N/A,FALSE,"CAS V Prior";"profit",#N/A,FALSE,"ATSC V Prior";"profit",#N/A,FALSE,"FMT V Prior";"profit",#N/A,FALSE,"Aero Other V Prior";"profit",#N/A,FALSE,"Judge V Prior"}</definedName>
    <definedName name="wrn.Profit._.V._.Prior._.Fcst.." localSheetId="10" hidden="1">{"profit",#N/A,FALSE,"Aero V prior";"profit",#N/A,FALSE,"Eng V Prior";"profit",#N/A,FALSE,"AES V Prior";"profit",#N/A,FALSE,"ES V Prior";"profit",#N/A,FALSE,"CAS V Prior";"profit",#N/A,FALSE,"ATSC V Prior";"profit",#N/A,FALSE,"FMT V Prior";"profit",#N/A,FALSE,"Aero Other V Prior";"profit",#N/A,FALSE,"Judge V Prior"}</definedName>
    <definedName name="wrn.Profit._.V._.Prior._.Fcst.." hidden="1">{"profit",#N/A,FALSE,"Aero V prior";"profit",#N/A,FALSE,"Eng V Prior";"profit",#N/A,FALSE,"AES V Prior";"profit",#N/A,FALSE,"ES V Prior";"profit",#N/A,FALSE,"CAS V Prior";"profit",#N/A,FALSE,"ATSC V Prior";"profit",#N/A,FALSE,"FMT V Prior";"profit",#N/A,FALSE,"Aero Other V Prior";"profit",#N/A,FALSE,"Judge V Prior"}</definedName>
    <definedName name="wrn.PublishPort." localSheetId="11"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wrn.PublishPort." localSheetId="10"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wrn.PublishPort."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wrn.Report_PR_1." localSheetId="9" hidden="1">{"PR1","pr1",TRUE,"Sch PR-1"}</definedName>
    <definedName name="wrn.Report_PR_1." localSheetId="8" hidden="1">{"PR1","pr1",TRUE,"Sch PR-1"}</definedName>
    <definedName name="wrn.Report_PR_1." localSheetId="11" hidden="1">{"PR1","pr1",TRUE,"Sch PR-1"}</definedName>
    <definedName name="wrn.Report_PR_1." localSheetId="10" hidden="1">{"PR1","pr1",TRUE,"Sch PR-1"}</definedName>
    <definedName name="wrn.Report_PR_1." localSheetId="3" hidden="1">{"PR1","pr1",TRUE,"Sch PR-1"}</definedName>
    <definedName name="wrn.Report_PR_1." hidden="1">{"PR1","pr1",TRUE,"Sch PR-1"}</definedName>
    <definedName name="wrn.U.S.._.Monthly._.Autos." localSheetId="1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wrn.U.S.._.Monthly._.Autos." localSheetId="10"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wrn.U.S.._.Monthly._.Autos."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WTI_2004Q3" localSheetId="9">[1]Model!#REF!</definedName>
    <definedName name="WTI_2004Q3">[1]Model!#REF!</definedName>
    <definedName name="WTI_2004Q4" localSheetId="9">[1]Model!#REF!</definedName>
    <definedName name="WTI_2004Q4">[1]Model!#REF!</definedName>
    <definedName name="wvu._Current_." localSheetId="11" hidden="1">{TRUE,TRUE,-0.8,-17,618,378,FALSE,FALSE,TRUE,TRUE,0,2,#N/A,1,#N/A,15.375,30.8,1,FALSE,FALSE,3,TRUE,1,FALSE,100,"Swvu._Current_.","ACwvu._Current_.",#N/A,FALSE,FALSE,0.551181102362205,0.551181102362205,0.551181102362205,0.433070866141732,1,"&amp;A","Page &amp;P",FALSE,FALSE,FALSE,FALSE,1,100,#N/A,#N/A,"=R1C1:R66C15",FALSE,#N/A,#N/A,FALSE,FALSE,FALSE,1,65532,65532,FALSE,FALSE,TRUE,TRUE,TRUE}</definedName>
    <definedName name="wvu._Current_." localSheetId="10" hidden="1">{TRUE,TRUE,-0.8,-17,618,378,FALSE,FALSE,TRUE,TRUE,0,2,#N/A,1,#N/A,15.375,30.8,1,FALSE,FALSE,3,TRUE,1,FALSE,100,"Swvu._Current_.","ACwvu._Current_.",#N/A,FALSE,FALSE,0.551181102362205,0.551181102362205,0.551181102362205,0.433070866141732,1,"&amp;A","Page &amp;P",FALSE,FALSE,FALSE,FALSE,1,100,#N/A,#N/A,"=R1C1:R66C15",FALSE,#N/A,#N/A,FALSE,FALSE,FALSE,1,65532,65532,FALSE,FALSE,TRUE,TRUE,TRUE}</definedName>
    <definedName name="wvu._Current_." hidden="1">{TRUE,TRUE,-0.8,-17,618,378,FALSE,FALSE,TRUE,TRUE,0,2,#N/A,1,#N/A,15.375,30.8,1,FALSE,FALSE,3,TRUE,1,FALSE,100,"Swvu._Current_.","ACwvu._Current_.",#N/A,FALSE,FALSE,0.551181102362205,0.551181102362205,0.551181102362205,0.433070866141732,1,"&amp;A","Page &amp;P",FALSE,FALSE,FALSE,FALSE,1,100,#N/A,#N/A,"=R1C1:R66C15",FALSE,#N/A,#N/A,FALSE,FALSE,FALSE,1,65532,65532,FALSE,FALSE,TRUE,TRUE,TRUE}</definedName>
    <definedName name="wvu.FIATOdd." localSheetId="11" hidden="1">{TRUE,TRUE,-0.8,-17,618,378,FALSE,FALSE,TRUE,TRUE,0,1,#N/A,41,#N/A,15.375,28.9545454545455,1,FALSE,FALSE,3,TRUE,1,FALSE,100,"Swvu.FIATOdd.","ACwvu.FIATOdd.",#N/A,FALSE,FALSE,0.551181102362205,0.551181102362205,0.551181102362205,0.433070866141732,1,"&amp;A","Page &amp;P",FALSE,FALSE,FALSE,FALSE,1,100,#N/A,#N/A,"=R1C1:R66C15",FALSE,#N/A,#N/A,FALSE,FALSE,TRUE,1,65532,65532,FALSE,FALSE,TRUE,TRUE,TRUE}</definedName>
    <definedName name="wvu.FIATOdd." localSheetId="10" hidden="1">{TRUE,TRUE,-0.8,-17,618,378,FALSE,FALSE,TRUE,TRUE,0,1,#N/A,41,#N/A,15.375,28.9545454545455,1,FALSE,FALSE,3,TRUE,1,FALSE,100,"Swvu.FIATOdd.","ACwvu.FIATOdd.",#N/A,FALSE,FALSE,0.551181102362205,0.551181102362205,0.551181102362205,0.433070866141732,1,"&amp;A","Page &amp;P",FALSE,FALSE,FALSE,FALSE,1,100,#N/A,#N/A,"=R1C1:R66C15",FALSE,#N/A,#N/A,FALSE,FALSE,TRUE,1,65532,65532,FALSE,FALSE,TRUE,TRUE,TRUE}</definedName>
    <definedName name="wvu.FIATOdd." hidden="1">{TRUE,TRUE,-0.8,-17,618,378,FALSE,FALSE,TRUE,TRUE,0,1,#N/A,41,#N/A,15.375,28.9545454545455,1,FALSE,FALSE,3,TRUE,1,FALSE,100,"Swvu.FIATOdd.","ACwvu.FIATOdd.",#N/A,FALSE,FALSE,0.551181102362205,0.551181102362205,0.551181102362205,0.433070866141732,1,"&amp;A","Page &amp;P",FALSE,FALSE,FALSE,FALSE,1,100,#N/A,#N/A,"=R1C1:R66C15",FALSE,#N/A,#N/A,FALSE,FALSE,TRUE,1,65532,65532,FALSE,FALSE,TRUE,TRUE,TRUE}</definedName>
    <definedName name="WW_EP_Depr_2004" localSheetId="9">'[9]E&amp;P'!$P$358</definedName>
    <definedName name="WW_EP_Depr_2004">'[9]E&amp;P'!$P$358</definedName>
    <definedName name="WW_EP_NI_2004" localSheetId="9">'[9]E&amp;P'!$P$364</definedName>
    <definedName name="WW_EP_NI_2004">'[9]E&amp;P'!$P$364</definedName>
    <definedName name="WW_EP_ROCC_1998" localSheetId="9">'[9]E&amp;P'!$J$393</definedName>
    <definedName name="WW_EP_ROCC_1998">'[9]E&amp;P'!$J$393</definedName>
    <definedName name="WW_EP_ROCC_1999" localSheetId="9">'[9]E&amp;P'!$K$393</definedName>
    <definedName name="WW_EP_ROCC_1999">'[9]E&amp;P'!$K$393</definedName>
    <definedName name="WW_EP_ROCC_2000" localSheetId="9">'[9]E&amp;P'!$L$393</definedName>
    <definedName name="WW_EP_ROCC_2000">'[9]E&amp;P'!$L$393</definedName>
    <definedName name="WW_EP_ROCC_2001" localSheetId="9">'[9]E&amp;P'!$M$393</definedName>
    <definedName name="WW_EP_ROCC_2001">'[9]E&amp;P'!$M$393</definedName>
    <definedName name="WW_EP_ROCC_2002" localSheetId="9">'[9]E&amp;P'!$N$393</definedName>
    <definedName name="WW_EP_ROCC_2002">'[9]E&amp;P'!$N$393</definedName>
    <definedName name="WW_EP_ROCC_2003" localSheetId="9">'[9]E&amp;P'!$O$393</definedName>
    <definedName name="WW_EP_ROCC_2003">'[9]E&amp;P'!$O$393</definedName>
    <definedName name="WW_EP_ROCC_2004" localSheetId="9">'[9]E&amp;P'!$P$393</definedName>
    <definedName name="WW_EP_ROCC_2004">'[9]E&amp;P'!$P$393</definedName>
    <definedName name="WW_EP_ROCC_2005" localSheetId="9">'[9]E&amp;P'!$Q$393</definedName>
    <definedName name="WW_EP_ROCC_2005">'[9]E&amp;P'!$Q$393</definedName>
    <definedName name="WW_EP_ROCC_2006" localSheetId="9">'[9]E&amp;P'!$R$393</definedName>
    <definedName name="WW_EP_ROCC_2006">'[9]E&amp;P'!$R$393</definedName>
    <definedName name="WW_PMI">OFFSET('[16]PMI Data'!$B$5,0,0,COUNTA('[16]PMI Data'!$B$6:$B$6000)+1,2)</definedName>
    <definedName name="WWGasProd_2004" localSheetId="9">'[9]E&amp;P'!$P$25</definedName>
    <definedName name="WWGasProd_2004">'[9]E&amp;P'!$P$25</definedName>
    <definedName name="WWOilProd_2004" localSheetId="9">'[9]E&amp;P'!$P$24</definedName>
    <definedName name="WWOilProd_2004">'[9]E&amp;P'!$P$24</definedName>
    <definedName name="WWOtherCosts_2004" localSheetId="9">'[9]E&amp;P'!$P$371</definedName>
    <definedName name="WWOtherCosts_2004">'[9]E&amp;P'!$P$371</definedName>
    <definedName name="WWProd_2004" localSheetId="9">'[9]E&amp;P'!$P$26</definedName>
    <definedName name="WWProd_2004">'[9]E&amp;P'!$P$26</definedName>
    <definedName name="WWProdCosts_2004" localSheetId="9">'[9]E&amp;P'!$P$369</definedName>
    <definedName name="WWProdCosts_2004">'[9]E&amp;P'!$P$369</definedName>
    <definedName name="XOM_CAPEX" localSheetId="9">[30]BalanceSheet!$A$76:$IV$76</definedName>
    <definedName name="XOM_CAPEX">[30]BalanceSheet!$A$76:$IV$76</definedName>
    <definedName name="XOM_CAPEX_Chems" localSheetId="9">[30]BalanceSheet!$A$83:$IV$83</definedName>
    <definedName name="XOM_CAPEX_Chems">[30]BalanceSheet!$A$83:$IV$83</definedName>
    <definedName name="XOM_CAPEX_EP" localSheetId="9">[30]BalanceSheet!$A$77:$IV$77</definedName>
    <definedName name="XOM_CAPEX_EP">[30]BalanceSheet!$A$77:$IV$77</definedName>
    <definedName name="XOM_CAPEX_Other" localSheetId="9">[30]BalanceSheet!$A$86:$IV$86</definedName>
    <definedName name="XOM_CAPEX_Other">[30]BalanceSheet!$A$86:$IV$86</definedName>
    <definedName name="XOM_CAPEX_RM" localSheetId="9">[30]BalanceSheet!$A$80:$IV$80</definedName>
    <definedName name="XOM_CAPEX_RM">[30]BalanceSheet!$A$80:$IV$80</definedName>
    <definedName name="XRefColumnsCount" hidden="1">1</definedName>
    <definedName name="XRefCopyRangeCount" hidden="1">5</definedName>
    <definedName name="Year" localSheetId="9">'[7]Summary Page_VDF'!$G$84</definedName>
    <definedName name="Year" localSheetId="8">'[5]Summary Page_VDF'!$G$84</definedName>
    <definedName name="Year">'[6]Summary Page_VDF'!$G$84</definedName>
    <definedName name="Years_in_full_stream" localSheetId="9">'[7]PV of Op Leases_VDF'!$C$15:$AX$15</definedName>
    <definedName name="Years_in_full_stream">'[6]PV of Op Leases_VDF'!$C$15:$AX$15</definedName>
    <definedName name="Years_into_future" localSheetId="9">[7]DCF_VDF!$C$41:$AZ$41</definedName>
    <definedName name="Years_into_future">[6]DCF_VDF!$C$41:$AZ$41</definedName>
    <definedName name="Z_589678D2_01A8_11D5_8029_00C04FC987C4_.wvu.PrintArea" localSheetId="11" hidden="1">#REF!</definedName>
    <definedName name="Z_589678D2_01A8_11D5_8029_00C04FC987C4_.wvu.PrintArea" localSheetId="10" hidden="1">#REF!</definedName>
    <definedName name="Z_589678D2_01A8_11D5_8029_00C04FC987C4_.wvu.PrintArea" hidden="1">#REF!</definedName>
    <definedName name="Z_589678DC_01A8_11D5_8029_00C04FC987C4_.wvu.PrintArea" localSheetId="11" hidden="1">#REF!</definedName>
    <definedName name="Z_589678DC_01A8_11D5_8029_00C04FC987C4_.wvu.PrintArea" localSheetId="10" hidden="1">#REF!</definedName>
    <definedName name="Z_589678DC_01A8_11D5_8029_00C04FC987C4_.wvu.PrintArea" hidden="1">#REF!</definedName>
    <definedName name="Zero">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5" i="7" l="1"/>
  <c r="AE27" i="7"/>
  <c r="EY2" i="2"/>
  <c r="FE74" i="2"/>
  <c r="FG45" i="8"/>
  <c r="FF45" i="8"/>
  <c r="FE45" i="8"/>
  <c r="FD45" i="8"/>
  <c r="FG63" i="34"/>
  <c r="FF63" i="34"/>
  <c r="FE63" i="34"/>
  <c r="FF62" i="34"/>
  <c r="FG62" i="34" s="1"/>
  <c r="FE62" i="34"/>
  <c r="FF60" i="34"/>
  <c r="FE60" i="34"/>
  <c r="FD60" i="34"/>
  <c r="FA60" i="34"/>
  <c r="EY55" i="2"/>
  <c r="EY46" i="2"/>
  <c r="EY38" i="2"/>
  <c r="EY29" i="2"/>
  <c r="EY52" i="2" s="1"/>
  <c r="FA61" i="2"/>
  <c r="FA59" i="2"/>
  <c r="FA58" i="2"/>
  <c r="FA57" i="2"/>
  <c r="FA55" i="2"/>
  <c r="FA54" i="2"/>
  <c r="FA53" i="2"/>
  <c r="FA49" i="2"/>
  <c r="FA46" i="2"/>
  <c r="FA38" i="2"/>
  <c r="EZ38" i="2"/>
  <c r="EZ36" i="2"/>
  <c r="FA29" i="2"/>
  <c r="FA50" i="2" s="1"/>
  <c r="ET11" i="2"/>
  <c r="EU11" i="2"/>
  <c r="FA11" i="2"/>
  <c r="FA16" i="2" s="1"/>
  <c r="FA20" i="2" s="1"/>
  <c r="FA22" i="2" s="1"/>
  <c r="M158" i="37"/>
  <c r="M142" i="37"/>
  <c r="J133" i="37"/>
  <c r="K129" i="37"/>
  <c r="L125" i="37"/>
  <c r="M121" i="37"/>
  <c r="I121" i="37"/>
  <c r="J117" i="37"/>
  <c r="M99" i="37"/>
  <c r="K69" i="37"/>
  <c r="L65" i="37"/>
  <c r="M55" i="37"/>
  <c r="M39" i="37"/>
  <c r="K25" i="37"/>
  <c r="M21" i="37"/>
  <c r="I21" i="37"/>
  <c r="J17" i="37"/>
  <c r="L13" i="37"/>
  <c r="C13" i="37"/>
  <c r="F8" i="37"/>
  <c r="M25" i="37"/>
  <c r="C14" i="37"/>
  <c r="F9" i="37"/>
  <c r="M13" i="37"/>
  <c r="C9" i="37"/>
  <c r="M154" i="37"/>
  <c r="M133" i="37"/>
  <c r="I133" i="37"/>
  <c r="J129" i="37"/>
  <c r="K125" i="37"/>
  <c r="L121" i="37"/>
  <c r="M117" i="37"/>
  <c r="I117" i="37"/>
  <c r="M95" i="37"/>
  <c r="J69" i="37"/>
  <c r="K65" i="37"/>
  <c r="M51" i="37"/>
  <c r="M29" i="37"/>
  <c r="J25" i="37"/>
  <c r="L21" i="37"/>
  <c r="M17" i="37"/>
  <c r="I17" i="37"/>
  <c r="K13" i="37"/>
  <c r="F10" i="37"/>
  <c r="C8" i="37"/>
  <c r="J65" i="37"/>
  <c r="K21" i="37"/>
  <c r="J13" i="37"/>
  <c r="I13" i="37"/>
  <c r="M150" i="37"/>
  <c r="L133" i="37"/>
  <c r="M129" i="37"/>
  <c r="I129" i="37"/>
  <c r="J125" i="37"/>
  <c r="K121" i="37"/>
  <c r="L117" i="37"/>
  <c r="M107" i="37"/>
  <c r="M91" i="37"/>
  <c r="M69" i="37"/>
  <c r="I69" i="37"/>
  <c r="M47" i="37"/>
  <c r="I25" i="37"/>
  <c r="L17" i="37"/>
  <c r="M146" i="37"/>
  <c r="K133" i="37"/>
  <c r="L129" i="37"/>
  <c r="M125" i="37"/>
  <c r="I125" i="37"/>
  <c r="J121" i="37"/>
  <c r="K117" i="37"/>
  <c r="M103" i="37"/>
  <c r="L69" i="37"/>
  <c r="M65" i="37"/>
  <c r="I65" i="37"/>
  <c r="M43" i="37"/>
  <c r="L25" i="37"/>
  <c r="J21" i="37"/>
  <c r="K17" i="37"/>
  <c r="C53" i="36" a="1"/>
  <c r="C44" i="36" a="1"/>
  <c r="M149" i="37" a="1"/>
  <c r="M141" i="37" a="1"/>
  <c r="M94" i="37" a="1"/>
  <c r="M46" i="37" a="1"/>
  <c r="M157" i="37" a="1"/>
  <c r="M102" i="37" a="1"/>
  <c r="M54" i="37" a="1"/>
  <c r="M38" i="37" a="1"/>
  <c r="M145" i="37" a="1"/>
  <c r="M90" i="37" a="1"/>
  <c r="M42" i="37" a="1"/>
  <c r="M153" i="37" a="1"/>
  <c r="M106" i="37" a="1"/>
  <c r="M98" i="37" a="1"/>
  <c r="M50" i="37" a="1"/>
  <c r="C44" i="36" l="1"/>
  <c r="C53" i="36"/>
  <c r="M50" i="37"/>
  <c r="M98" i="37"/>
  <c r="M106" i="37"/>
  <c r="M153" i="37"/>
  <c r="M42" i="37"/>
  <c r="M90" i="37"/>
  <c r="M145" i="37"/>
  <c r="M38" i="37"/>
  <c r="M54" i="37"/>
  <c r="M102" i="37"/>
  <c r="M157" i="37"/>
  <c r="M46" i="37"/>
  <c r="M94" i="37"/>
  <c r="M141" i="37"/>
  <c r="M149" i="37"/>
  <c r="FG60" i="34"/>
  <c r="FA76" i="2"/>
  <c r="FG76" i="2" s="1"/>
  <c r="FA77" i="2"/>
  <c r="FG77" i="2" s="1"/>
  <c r="FA51" i="2"/>
  <c r="FA74" i="2" s="1"/>
  <c r="FG74" i="2" s="1"/>
  <c r="FA52" i="2"/>
  <c r="FA75" i="2" s="1"/>
  <c r="FB47" i="2"/>
  <c r="FB46" i="2"/>
  <c r="FB45" i="2"/>
  <c r="FB44" i="2"/>
  <c r="FB43" i="2"/>
  <c r="FB42" i="2"/>
  <c r="FB39" i="2"/>
  <c r="FB38" i="2"/>
  <c r="FB37" i="2"/>
  <c r="FB36" i="2"/>
  <c r="FB35" i="2"/>
  <c r="FB34" i="2"/>
  <c r="FB33" i="2"/>
  <c r="FB30" i="2"/>
  <c r="FB29" i="2"/>
  <c r="FB28" i="2"/>
  <c r="FB25" i="2"/>
  <c r="FB24" i="2"/>
  <c r="FB21" i="2"/>
  <c r="FB19" i="2"/>
  <c r="FB18" i="2"/>
  <c r="FB17" i="2"/>
  <c r="FB15" i="2"/>
  <c r="FB14" i="2"/>
  <c r="FB13" i="2"/>
  <c r="FB12" i="2"/>
  <c r="FB10" i="2"/>
  <c r="FB9" i="2"/>
  <c r="FA62" i="34"/>
  <c r="FA26" i="34"/>
  <c r="FA20" i="34"/>
  <c r="G15" i="40"/>
  <c r="E12" i="40"/>
  <c r="D12" i="40"/>
  <c r="FA56" i="2" l="1"/>
  <c r="FB11" i="2"/>
  <c r="FB16" i="2" s="1"/>
  <c r="FB20" i="2" s="1"/>
  <c r="FB22" i="2" s="1"/>
  <c r="E10" i="37"/>
  <c r="FA60" i="2" l="1"/>
  <c r="FA70" i="2"/>
  <c r="FA78" i="2" s="1"/>
  <c r="FA79" i="2"/>
  <c r="FA62" i="2" l="1"/>
  <c r="FA82" i="2" s="1"/>
  <c r="FA80" i="2"/>
  <c r="FA81" i="2"/>
  <c r="D26" i="36"/>
  <c r="D24" i="36"/>
  <c r="HJ67" i="8" l="1"/>
  <c r="HI66" i="8"/>
  <c r="HI45" i="5" s="1"/>
  <c r="HH66" i="8"/>
  <c r="HG66" i="8"/>
  <c r="HG45" i="5" s="1"/>
  <c r="HF66" i="8"/>
  <c r="HF45" i="5" s="1"/>
  <c r="HJ60" i="8"/>
  <c r="HJ65" i="5"/>
  <c r="HJ61" i="5"/>
  <c r="HJ60" i="5"/>
  <c r="HJ59" i="5"/>
  <c r="HJ58" i="5"/>
  <c r="HJ56" i="5"/>
  <c r="HJ55" i="5"/>
  <c r="HJ54" i="5"/>
  <c r="HJ53" i="5"/>
  <c r="HJ52" i="5"/>
  <c r="HJ46" i="5"/>
  <c r="HH45" i="5"/>
  <c r="HJ44" i="5"/>
  <c r="HJ43" i="5"/>
  <c r="HJ42" i="5"/>
  <c r="HJ41" i="5"/>
  <c r="HJ40" i="5"/>
  <c r="HJ26" i="5"/>
  <c r="HJ25" i="5"/>
  <c r="HJ24" i="5"/>
  <c r="HJ23" i="5"/>
  <c r="HJ22" i="5"/>
  <c r="HJ21" i="5"/>
  <c r="HJ20" i="5"/>
  <c r="HJ19" i="5"/>
  <c r="HJ18" i="5"/>
  <c r="HJ17" i="5"/>
  <c r="HJ16" i="5"/>
  <c r="HJ15" i="5"/>
  <c r="HI14" i="5"/>
  <c r="HH14" i="5"/>
  <c r="HG14" i="5"/>
  <c r="HF14" i="5"/>
  <c r="HJ13" i="5"/>
  <c r="HF68" i="4"/>
  <c r="HJ7" i="4"/>
  <c r="EZ118" i="34"/>
  <c r="EZ122" i="34" s="1"/>
  <c r="FT93" i="34"/>
  <c r="EY93" i="34"/>
  <c r="HJ59" i="2"/>
  <c r="EZ120" i="34" l="1"/>
  <c r="EZ121" i="34"/>
  <c r="EZ123" i="34"/>
  <c r="HJ14" i="5"/>
  <c r="HG68" i="4"/>
  <c r="HJ66" i="8"/>
  <c r="HJ45" i="5"/>
  <c r="FG61" i="34"/>
  <c r="HH68" i="4" l="1"/>
  <c r="FD51" i="34"/>
  <c r="FJ49" i="34"/>
  <c r="FE41" i="34"/>
  <c r="FE43" i="34" s="1"/>
  <c r="FD43" i="34"/>
  <c r="FB41" i="34"/>
  <c r="HI68" i="4" l="1"/>
  <c r="FE51" i="34"/>
  <c r="FF41" i="34"/>
  <c r="FF51" i="34" l="1"/>
  <c r="FG41" i="34"/>
  <c r="FJ41" i="34" s="1"/>
  <c r="FK41" i="34" s="1"/>
  <c r="FF43" i="34"/>
  <c r="FG51" i="34" l="1"/>
  <c r="FH49" i="34"/>
  <c r="FG43" i="34"/>
  <c r="FH41" i="34"/>
  <c r="FH51" i="34" l="1"/>
  <c r="FJ51" i="34"/>
  <c r="FK49" i="34"/>
  <c r="FL49" i="34" s="1"/>
  <c r="FM49" i="34" s="1"/>
  <c r="FP49" i="34" s="1"/>
  <c r="FH43" i="34"/>
  <c r="FJ43" i="34"/>
  <c r="FQ49" i="34" l="1"/>
  <c r="FP51" i="34"/>
  <c r="FJ44" i="34"/>
  <c r="FJ52" i="34"/>
  <c r="FH50" i="34"/>
  <c r="FK51" i="34"/>
  <c r="FH42" i="34"/>
  <c r="FL41" i="34"/>
  <c r="FK43" i="34"/>
  <c r="FP52" i="34" l="1"/>
  <c r="FQ51" i="34"/>
  <c r="FR49" i="34"/>
  <c r="FK44" i="34"/>
  <c r="FK52" i="34"/>
  <c r="FM51" i="34"/>
  <c r="FL51" i="34"/>
  <c r="FM41" i="34"/>
  <c r="FL43" i="34"/>
  <c r="FM43" i="34" l="1"/>
  <c r="FP41" i="34"/>
  <c r="FS49" i="34"/>
  <c r="FS51" i="34" s="1"/>
  <c r="FR51" i="34"/>
  <c r="FQ52" i="34"/>
  <c r="FN49" i="34"/>
  <c r="FM44" i="34"/>
  <c r="FL52" i="34"/>
  <c r="FL44" i="34"/>
  <c r="FM52" i="34"/>
  <c r="FN41" i="34"/>
  <c r="FN51" i="34"/>
  <c r="FN43" i="34"/>
  <c r="FR52" i="34" l="1"/>
  <c r="FT51" i="34"/>
  <c r="FS52" i="34"/>
  <c r="FP43" i="34"/>
  <c r="FQ41" i="34"/>
  <c r="FT49" i="34"/>
  <c r="FN44" i="34"/>
  <c r="FN52" i="34"/>
  <c r="FN50" i="34"/>
  <c r="FN42" i="34"/>
  <c r="FP44" i="34" l="1"/>
  <c r="FT52" i="34"/>
  <c r="FT50" i="34"/>
  <c r="FQ43" i="34"/>
  <c r="FR41" i="34"/>
  <c r="FA43" i="34"/>
  <c r="EZ43" i="34"/>
  <c r="FS41" i="34" l="1"/>
  <c r="FS43" i="34" s="1"/>
  <c r="FR43" i="34"/>
  <c r="FT41" i="34"/>
  <c r="FQ44" i="34"/>
  <c r="FB43" i="34"/>
  <c r="FB42" i="34"/>
  <c r="EY149" i="34"/>
  <c r="EX149" i="34"/>
  <c r="FR44" i="34" l="1"/>
  <c r="FT43" i="34"/>
  <c r="FS44" i="34"/>
  <c r="EY150" i="34"/>
  <c r="FT44" i="34" l="1"/>
  <c r="FT42" i="34"/>
  <c r="EZ149" i="34"/>
  <c r="FA149" i="34" s="1"/>
  <c r="FD149" i="34" s="1"/>
  <c r="EZ150" i="34" l="1"/>
  <c r="FB150" i="34" s="1"/>
  <c r="FB151" i="34" s="1"/>
  <c r="FB156" i="34" s="1"/>
  <c r="EZ41" i="5" l="1"/>
  <c r="EZ19" i="5"/>
  <c r="EZ18" i="5"/>
  <c r="EZ17" i="5"/>
  <c r="EZ16" i="5"/>
  <c r="EZ15" i="5"/>
  <c r="EZ50" i="2"/>
  <c r="EZ58" i="4"/>
  <c r="EZ49" i="4"/>
  <c r="EZ41" i="4"/>
  <c r="EZ42" i="4" s="1"/>
  <c r="EZ51" i="4" s="1"/>
  <c r="EZ62" i="4" l="1"/>
  <c r="EZ20" i="34"/>
  <c r="EZ10" i="34"/>
  <c r="EZ11" i="34" l="1"/>
  <c r="EZ14" i="34"/>
  <c r="EZ72" i="4" l="1"/>
  <c r="EZ70" i="4"/>
  <c r="EZ62" i="34"/>
  <c r="EY62" i="34"/>
  <c r="EY63" i="34" s="1"/>
  <c r="EZ97" i="34"/>
  <c r="EZ96" i="34"/>
  <c r="EZ93" i="34"/>
  <c r="EY69" i="34" l="1"/>
  <c r="EZ69" i="34"/>
  <c r="EZ63" i="34"/>
  <c r="EZ65" i="34"/>
  <c r="EZ33" i="34"/>
  <c r="FF33" i="34" s="1"/>
  <c r="FL33" i="34" s="1"/>
  <c r="FR33" i="34" l="1"/>
  <c r="FR53" i="34"/>
  <c r="FR45" i="34"/>
  <c r="FF53" i="34"/>
  <c r="FF45" i="34"/>
  <c r="EZ73" i="34"/>
  <c r="FF54" i="34"/>
  <c r="FF46" i="34"/>
  <c r="EZ154" i="34"/>
  <c r="EZ78" i="34"/>
  <c r="EZ79" i="34" s="1"/>
  <c r="EZ56" i="34"/>
  <c r="EZ58" i="34" s="1"/>
  <c r="EZ68" i="8"/>
  <c r="EZ62" i="8"/>
  <c r="EZ60" i="8"/>
  <c r="EZ55" i="8"/>
  <c r="EZ42" i="8"/>
  <c r="EZ41" i="8"/>
  <c r="EZ29" i="8"/>
  <c r="EZ30" i="8"/>
  <c r="EZ31" i="8" s="1"/>
  <c r="EZ9" i="8"/>
  <c r="EZ65" i="2"/>
  <c r="EZ64" i="2"/>
  <c r="EZ59" i="2"/>
  <c r="EZ58" i="2"/>
  <c r="EZ10" i="8" s="1"/>
  <c r="EZ11" i="8" s="1"/>
  <c r="EZ57" i="2"/>
  <c r="EZ48" i="8" s="1"/>
  <c r="EZ54" i="2"/>
  <c r="EZ53" i="2"/>
  <c r="EZ49" i="2"/>
  <c r="EZ44" i="2"/>
  <c r="EZ52" i="2"/>
  <c r="EZ11" i="2"/>
  <c r="EZ16" i="2" s="1"/>
  <c r="EZ20" i="2" s="1"/>
  <c r="EZ22" i="2" s="1"/>
  <c r="EZ115" i="4"/>
  <c r="EZ114" i="4"/>
  <c r="EZ116" i="4" s="1"/>
  <c r="EZ111" i="4"/>
  <c r="EZ110" i="4"/>
  <c r="EZ100" i="4"/>
  <c r="EZ99" i="4"/>
  <c r="EZ101" i="4" s="1"/>
  <c r="EZ96" i="4"/>
  <c r="EZ74" i="4"/>
  <c r="EZ60" i="4"/>
  <c r="EZ95" i="4" s="1"/>
  <c r="EZ29" i="4"/>
  <c r="EZ19" i="4"/>
  <c r="EZ89" i="4" l="1"/>
  <c r="K16" i="37"/>
  <c r="EZ31" i="4"/>
  <c r="EZ112" i="4"/>
  <c r="EZ118" i="4" s="1"/>
  <c r="EZ43" i="8"/>
  <c r="EZ87" i="4"/>
  <c r="EZ61" i="2"/>
  <c r="EZ105" i="4"/>
  <c r="EZ55" i="2"/>
  <c r="EZ75" i="2"/>
  <c r="EZ103" i="4"/>
  <c r="EZ104" i="4"/>
  <c r="EZ92" i="4"/>
  <c r="EZ81" i="4"/>
  <c r="EZ76" i="2"/>
  <c r="EZ86" i="4"/>
  <c r="EZ51" i="2"/>
  <c r="EZ74" i="2" s="1"/>
  <c r="FF74" i="2" s="1"/>
  <c r="EZ77" i="2"/>
  <c r="FF77" i="2" s="1"/>
  <c r="EZ100" i="2"/>
  <c r="EY72" i="4"/>
  <c r="EY70" i="4"/>
  <c r="EZ67" i="4" s="1"/>
  <c r="EZ68" i="4" s="1"/>
  <c r="EY65" i="2"/>
  <c r="EY64" i="2"/>
  <c r="EY61" i="2"/>
  <c r="EY59" i="2"/>
  <c r="EY57" i="2"/>
  <c r="EY54" i="2"/>
  <c r="EY53" i="2"/>
  <c r="EY50" i="2"/>
  <c r="EY49" i="2"/>
  <c r="J16" i="37" s="1"/>
  <c r="FN81" i="2"/>
  <c r="GF81" i="2" s="1"/>
  <c r="GL81" i="2" s="1"/>
  <c r="GR81" i="2" s="1"/>
  <c r="GX81" i="2" s="1"/>
  <c r="HD81" i="2" s="1"/>
  <c r="GZ81" i="2" l="1"/>
  <c r="HJ81" i="2"/>
  <c r="EZ56" i="2"/>
  <c r="EZ60" i="2" s="1"/>
  <c r="EY51" i="2"/>
  <c r="EY56" i="2" s="1"/>
  <c r="EY70" i="2" s="1"/>
  <c r="J120" i="37" s="1"/>
  <c r="EY82" i="4"/>
  <c r="EY71" i="4"/>
  <c r="EY83" i="4"/>
  <c r="EY81" i="4"/>
  <c r="FD93" i="34"/>
  <c r="FA93" i="34"/>
  <c r="EX69" i="34"/>
  <c r="ES69" i="34"/>
  <c r="ET69" i="34"/>
  <c r="EZ70" i="34" s="1"/>
  <c r="EU69" i="34"/>
  <c r="ER69" i="34"/>
  <c r="ES65" i="34"/>
  <c r="ES73" i="34" s="1"/>
  <c r="ET65" i="34"/>
  <c r="ER65" i="34"/>
  <c r="FF61" i="34"/>
  <c r="FE61" i="34"/>
  <c r="FM60" i="34"/>
  <c r="FS60" i="34" s="1"/>
  <c r="FL60" i="34"/>
  <c r="FR60" i="34" s="1"/>
  <c r="FK60" i="34"/>
  <c r="FQ60" i="34" s="1"/>
  <c r="FJ60" i="34"/>
  <c r="FP60" i="34" s="1"/>
  <c r="FH60" i="34"/>
  <c r="FB60" i="34"/>
  <c r="EY118" i="34"/>
  <c r="EY120" i="34" s="1"/>
  <c r="EY10" i="34"/>
  <c r="EY20" i="34"/>
  <c r="EY30" i="8"/>
  <c r="EY68" i="8"/>
  <c r="EZ65" i="8" s="1"/>
  <c r="EZ66" i="8" s="1"/>
  <c r="EY62" i="8"/>
  <c r="EZ58" i="8" s="1"/>
  <c r="EY60" i="8"/>
  <c r="EY55" i="8"/>
  <c r="EZ51" i="8" s="1"/>
  <c r="EY42" i="8"/>
  <c r="EY41" i="8"/>
  <c r="EY9" i="8"/>
  <c r="EY26" i="5"/>
  <c r="EZ26" i="5" s="1"/>
  <c r="EY20" i="5"/>
  <c r="EZ20" i="5" s="1"/>
  <c r="EY22" i="5"/>
  <c r="EZ22" i="5" s="1"/>
  <c r="EY23" i="5"/>
  <c r="EZ23" i="5" s="1"/>
  <c r="EY24" i="5"/>
  <c r="EZ24" i="5" s="1"/>
  <c r="EY42" i="5"/>
  <c r="EZ42" i="5" s="1"/>
  <c r="EY57" i="5"/>
  <c r="EZ57" i="5" s="1"/>
  <c r="EY40" i="5"/>
  <c r="EZ40" i="5" s="1"/>
  <c r="EY39" i="5"/>
  <c r="EY35" i="5"/>
  <c r="EZ35" i="5" s="1"/>
  <c r="EY34" i="5"/>
  <c r="EZ34" i="5" s="1"/>
  <c r="EY33" i="5"/>
  <c r="EZ33" i="5" s="1"/>
  <c r="EY32" i="5"/>
  <c r="EZ32" i="5" s="1"/>
  <c r="EY31" i="5"/>
  <c r="EZ31" i="5" s="1"/>
  <c r="EY30" i="5"/>
  <c r="EZ30" i="5" s="1"/>
  <c r="EY29" i="5"/>
  <c r="EZ29" i="5" s="1"/>
  <c r="EY13" i="5"/>
  <c r="EZ13" i="5" s="1"/>
  <c r="EY12" i="5"/>
  <c r="EY11" i="5"/>
  <c r="EY9" i="5"/>
  <c r="EY115" i="4"/>
  <c r="EY114" i="4"/>
  <c r="EY110" i="4"/>
  <c r="EY100" i="4"/>
  <c r="EY99" i="4"/>
  <c r="EY41" i="4"/>
  <c r="EY76" i="2"/>
  <c r="EY48" i="8"/>
  <c r="EY18" i="2"/>
  <c r="EY11" i="2"/>
  <c r="EY16" i="2" s="1"/>
  <c r="FT60" i="34" l="1"/>
  <c r="HG81" i="2"/>
  <c r="HF81" i="2"/>
  <c r="HH81" i="2"/>
  <c r="HI81" i="2"/>
  <c r="EY53" i="8"/>
  <c r="EZ39" i="5"/>
  <c r="EY54" i="8"/>
  <c r="EZ11" i="5"/>
  <c r="EZ54" i="8" s="1"/>
  <c r="EZ56" i="8" s="1"/>
  <c r="EY111" i="4"/>
  <c r="EZ90" i="4"/>
  <c r="EY61" i="8"/>
  <c r="EZ12" i="5"/>
  <c r="EZ61" i="8" s="1"/>
  <c r="EZ59" i="8" s="1"/>
  <c r="EZ14" i="5"/>
  <c r="EY31" i="8"/>
  <c r="EZ9" i="5"/>
  <c r="EZ12" i="34"/>
  <c r="EZ13" i="34"/>
  <c r="EY65" i="34"/>
  <c r="ET73" i="34"/>
  <c r="EZ74" i="34" s="1"/>
  <c r="EZ66" i="34"/>
  <c r="EZ79" i="2"/>
  <c r="EZ70" i="2"/>
  <c r="K120" i="37" s="1"/>
  <c r="EZ80" i="2"/>
  <c r="EZ62" i="2"/>
  <c r="EZ81" i="2"/>
  <c r="EY58" i="2"/>
  <c r="EY60" i="2" s="1"/>
  <c r="EY62" i="2" s="1"/>
  <c r="EY14" i="5"/>
  <c r="EY36" i="5" s="1"/>
  <c r="ER73" i="34"/>
  <c r="EY20" i="2"/>
  <c r="EY22" i="2" s="1"/>
  <c r="EY116" i="4"/>
  <c r="FN60" i="34"/>
  <c r="FN61" i="34" s="1"/>
  <c r="ES66" i="34"/>
  <c r="EY112" i="4"/>
  <c r="EY43" i="8"/>
  <c r="EY11" i="34"/>
  <c r="EY33" i="34"/>
  <c r="FE33" i="34" s="1"/>
  <c r="EY101" i="4"/>
  <c r="ER66" i="34"/>
  <c r="ET66" i="34"/>
  <c r="FH61" i="34"/>
  <c r="EY123" i="34"/>
  <c r="EY122" i="34"/>
  <c r="EY121" i="34"/>
  <c r="EY86" i="4"/>
  <c r="EY75" i="2"/>
  <c r="EY87" i="4"/>
  <c r="EY77" i="2"/>
  <c r="FE77" i="2" s="1"/>
  <c r="EY89" i="4"/>
  <c r="EX118" i="34"/>
  <c r="EX123" i="34" s="1"/>
  <c r="EX50" i="5"/>
  <c r="EX47" i="5"/>
  <c r="EX14" i="5"/>
  <c r="EX41" i="4"/>
  <c r="EY90" i="4" s="1"/>
  <c r="EZ36" i="5" l="1"/>
  <c r="FT61" i="34"/>
  <c r="EZ78" i="2"/>
  <c r="EZ63" i="8"/>
  <c r="EZ120" i="4"/>
  <c r="EZ121" i="4" s="1"/>
  <c r="EZ123" i="4" s="1"/>
  <c r="EZ47" i="5"/>
  <c r="EZ53" i="8"/>
  <c r="EZ52" i="8" s="1"/>
  <c r="FK33" i="34"/>
  <c r="FE46" i="34"/>
  <c r="FE54" i="34"/>
  <c r="FE45" i="34"/>
  <c r="FE53" i="34"/>
  <c r="EY154" i="34"/>
  <c r="EY66" i="34"/>
  <c r="EY73" i="34"/>
  <c r="EY74" i="34" s="1"/>
  <c r="EY78" i="34"/>
  <c r="EZ82" i="2"/>
  <c r="EZ68" i="2"/>
  <c r="K68" i="37" s="1"/>
  <c r="EZ67" i="2"/>
  <c r="EY67" i="2"/>
  <c r="EY68" i="2"/>
  <c r="J68" i="37" s="1"/>
  <c r="EY10" i="8"/>
  <c r="EY11" i="8" s="1"/>
  <c r="EY118" i="4"/>
  <c r="EX62" i="5"/>
  <c r="EY50" i="5"/>
  <c r="EZ50" i="5" s="1"/>
  <c r="EY84" i="4"/>
  <c r="EY74" i="2"/>
  <c r="EY79" i="2"/>
  <c r="EX120" i="34"/>
  <c r="EX121" i="34"/>
  <c r="EX122" i="34"/>
  <c r="FQ33" i="34" l="1"/>
  <c r="FQ53" i="34"/>
  <c r="FQ45" i="34"/>
  <c r="EY82" i="34"/>
  <c r="EY79" i="34"/>
  <c r="EX72" i="4"/>
  <c r="EX70" i="4"/>
  <c r="FH93" i="34"/>
  <c r="EY67" i="4" l="1"/>
  <c r="EY68" i="4" s="1"/>
  <c r="EY81" i="2"/>
  <c r="EY80" i="2"/>
  <c r="EX71" i="4"/>
  <c r="FB93" i="34"/>
  <c r="FN93" i="34"/>
  <c r="C59" i="36"/>
  <c r="EY82" i="2" l="1"/>
  <c r="EX68" i="8"/>
  <c r="EY65" i="8" s="1"/>
  <c r="EY66" i="8" s="1"/>
  <c r="EX62" i="8"/>
  <c r="EY58" i="8" s="1"/>
  <c r="EX61" i="8"/>
  <c r="EX55" i="8"/>
  <c r="EY51" i="8" s="1"/>
  <c r="EX54" i="8"/>
  <c r="EX9" i="8"/>
  <c r="EX19" i="4"/>
  <c r="EX38" i="2"/>
  <c r="EX65" i="2"/>
  <c r="EX64" i="2"/>
  <c r="EX59" i="2"/>
  <c r="D18" i="39" s="1"/>
  <c r="EX58" i="2"/>
  <c r="EX10" i="8" s="1"/>
  <c r="EX57" i="2"/>
  <c r="EX48" i="8" s="1"/>
  <c r="EX55" i="2"/>
  <c r="EX54" i="2"/>
  <c r="EX53" i="2"/>
  <c r="EX52" i="2"/>
  <c r="EX50" i="2"/>
  <c r="EX49" i="2"/>
  <c r="I16" i="37" s="1"/>
  <c r="ER49" i="2"/>
  <c r="I12" i="37" s="1"/>
  <c r="EX46" i="2"/>
  <c r="EX61" i="2" s="1"/>
  <c r="EX11" i="2"/>
  <c r="EX16" i="2" s="1"/>
  <c r="EX20" i="2" s="1"/>
  <c r="EX22" i="2" s="1"/>
  <c r="EB9" i="34"/>
  <c r="DZ9" i="34"/>
  <c r="EH9" i="34"/>
  <c r="EF9" i="34"/>
  <c r="EN9" i="34"/>
  <c r="EL9" i="34"/>
  <c r="EX20" i="34"/>
  <c r="EX10" i="34"/>
  <c r="E31" i="39"/>
  <c r="E30" i="39"/>
  <c r="F6" i="38"/>
  <c r="F5" i="38"/>
  <c r="ER86" i="4" l="1"/>
  <c r="EX65" i="34"/>
  <c r="EY56" i="8"/>
  <c r="EY52" i="8"/>
  <c r="EY63" i="8"/>
  <c r="EY59" i="8"/>
  <c r="E9" i="39"/>
  <c r="D17" i="39"/>
  <c r="EY13" i="34"/>
  <c r="EY12" i="34"/>
  <c r="EX89" i="4"/>
  <c r="EX87" i="4"/>
  <c r="EX81" i="4"/>
  <c r="EX86" i="4"/>
  <c r="EX82" i="4"/>
  <c r="EX83" i="4"/>
  <c r="EN8" i="34"/>
  <c r="EH8" i="34"/>
  <c r="EB8" i="34"/>
  <c r="D16" i="39"/>
  <c r="EX77" i="2"/>
  <c r="FD77" i="2" s="1"/>
  <c r="EX51" i="2"/>
  <c r="EX74" i="2" s="1"/>
  <c r="FD74" i="2" s="1"/>
  <c r="EX75" i="2"/>
  <c r="FD75" i="2" s="1"/>
  <c r="EX76" i="2"/>
  <c r="FD76" i="2" s="1"/>
  <c r="EX33" i="34"/>
  <c r="FD33" i="34" s="1"/>
  <c r="EX11" i="34"/>
  <c r="D30" i="39"/>
  <c r="EV10" i="2"/>
  <c r="EV12" i="2"/>
  <c r="EV13" i="2"/>
  <c r="EV14" i="2"/>
  <c r="EV15" i="2"/>
  <c r="EV17" i="2"/>
  <c r="EV18" i="2"/>
  <c r="EV19" i="2"/>
  <c r="EV21" i="2"/>
  <c r="EV9" i="2"/>
  <c r="EV24" i="2"/>
  <c r="EV25" i="2"/>
  <c r="EV47" i="2"/>
  <c r="EV45" i="2"/>
  <c r="EV44" i="2"/>
  <c r="EV43" i="2"/>
  <c r="EV42" i="2"/>
  <c r="EV39" i="2"/>
  <c r="EV29" i="2"/>
  <c r="EV30" i="2"/>
  <c r="EV28" i="2"/>
  <c r="EU46" i="2"/>
  <c r="EU64" i="2"/>
  <c r="EU65" i="2"/>
  <c r="FJ33" i="34" l="1"/>
  <c r="FD45" i="34"/>
  <c r="FD53" i="34"/>
  <c r="EX73" i="34"/>
  <c r="EX74" i="34" s="1"/>
  <c r="FD46" i="34"/>
  <c r="FD54" i="34"/>
  <c r="EX66" i="34"/>
  <c r="EX154" i="34"/>
  <c r="EX56" i="2"/>
  <c r="EX60" i="2" s="1"/>
  <c r="EX80" i="2" s="1"/>
  <c r="EX84" i="4"/>
  <c r="EV11" i="2"/>
  <c r="EV16" i="2" s="1"/>
  <c r="EV20" i="2" s="1"/>
  <c r="EV22" i="2" s="1"/>
  <c r="EX56" i="34"/>
  <c r="EX58" i="34" s="1"/>
  <c r="FP33" i="34" l="1"/>
  <c r="FP53" i="34"/>
  <c r="FP45" i="34"/>
  <c r="EX81" i="2"/>
  <c r="EX79" i="2"/>
  <c r="EX62" i="2"/>
  <c r="EX82" i="2" s="1"/>
  <c r="EX70" i="2"/>
  <c r="I120" i="37" s="1"/>
  <c r="EX78" i="2" l="1"/>
  <c r="F12" i="38"/>
  <c r="F11" i="38"/>
  <c r="EU24" i="8"/>
  <c r="EU25" i="8" s="1"/>
  <c r="EV23" i="8"/>
  <c r="EV19" i="8"/>
  <c r="EV15" i="8"/>
  <c r="EV16" i="5"/>
  <c r="EV17" i="5"/>
  <c r="EV18" i="5"/>
  <c r="EV19" i="5"/>
  <c r="EV21" i="5"/>
  <c r="ER14" i="5"/>
  <c r="J5" i="38" l="1"/>
  <c r="L5" i="38" s="1"/>
  <c r="M5" i="38"/>
  <c r="J6" i="38"/>
  <c r="L6" i="38" s="1"/>
  <c r="M6" i="38"/>
  <c r="EU25" i="5"/>
  <c r="EV25" i="5" s="1"/>
  <c r="EU41" i="4"/>
  <c r="EX90" i="4" s="1"/>
  <c r="EV118" i="34"/>
  <c r="EV120" i="34" s="1"/>
  <c r="EU68" i="8"/>
  <c r="EX65" i="8" s="1"/>
  <c r="EX66" i="8" s="1"/>
  <c r="EV67" i="8"/>
  <c r="EU62" i="8"/>
  <c r="EU60" i="8"/>
  <c r="EU55" i="8"/>
  <c r="EX51" i="8" s="1"/>
  <c r="EX56" i="8" s="1"/>
  <c r="EX58" i="8" l="1"/>
  <c r="EX63" i="8" s="1"/>
  <c r="EV123" i="34"/>
  <c r="EV122" i="34"/>
  <c r="EV121" i="34"/>
  <c r="EU20" i="34" l="1"/>
  <c r="EU9" i="8"/>
  <c r="EX11" i="8" s="1"/>
  <c r="EU41" i="8"/>
  <c r="EU42" i="8"/>
  <c r="EU99" i="4"/>
  <c r="EU100" i="4"/>
  <c r="EU101" i="4"/>
  <c r="EU110" i="4"/>
  <c r="EU111" i="4"/>
  <c r="EU114" i="4"/>
  <c r="EU115" i="4"/>
  <c r="EU53" i="2"/>
  <c r="EU54" i="2"/>
  <c r="EU50" i="2"/>
  <c r="EU49" i="2"/>
  <c r="EU59" i="2"/>
  <c r="EU58" i="2"/>
  <c r="EU57" i="2"/>
  <c r="EU55" i="2"/>
  <c r="EU38" i="2"/>
  <c r="EZ77" i="4" l="1"/>
  <c r="L12" i="37"/>
  <c r="EU43" i="8"/>
  <c r="EU116" i="4"/>
  <c r="EU112" i="4"/>
  <c r="EU90" i="34"/>
  <c r="FA94" i="34" s="1"/>
  <c r="EU81" i="4"/>
  <c r="EU87" i="4"/>
  <c r="EU86" i="4"/>
  <c r="EU48" i="8"/>
  <c r="EU83" i="4"/>
  <c r="EU10" i="8"/>
  <c r="EU82" i="4"/>
  <c r="EU89" i="4"/>
  <c r="EU77" i="2"/>
  <c r="EU76" i="2"/>
  <c r="EU51" i="2"/>
  <c r="EU118" i="4" l="1"/>
  <c r="EU84" i="4"/>
  <c r="EU74" i="2"/>
  <c r="B3" i="39" l="1"/>
  <c r="H157" i="37"/>
  <c r="H153" i="37"/>
  <c r="H149" i="37"/>
  <c r="H145" i="37"/>
  <c r="H141" i="37"/>
  <c r="K137" i="37"/>
  <c r="H132" i="37"/>
  <c r="M131" i="37" s="1"/>
  <c r="H128" i="37"/>
  <c r="L127" i="37" s="1"/>
  <c r="H124" i="37"/>
  <c r="J123" i="37" s="1"/>
  <c r="H120" i="37"/>
  <c r="K119" i="37" s="1"/>
  <c r="H116" i="37"/>
  <c r="J115" i="37" s="1"/>
  <c r="K112" i="37"/>
  <c r="J31" i="39"/>
  <c r="N30" i="39"/>
  <c r="B2" i="39"/>
  <c r="L27" i="39"/>
  <c r="L26" i="39"/>
  <c r="L25" i="39"/>
  <c r="I152" i="37" l="1"/>
  <c r="J127" i="37"/>
  <c r="L140" i="37"/>
  <c r="L148" i="37"/>
  <c r="K123" i="37"/>
  <c r="M123" i="37"/>
  <c r="J131" i="37"/>
  <c r="L131" i="37"/>
  <c r="I148" i="37"/>
  <c r="J148" i="37"/>
  <c r="K148" i="37"/>
  <c r="J152" i="37"/>
  <c r="M119" i="37"/>
  <c r="K140" i="37"/>
  <c r="M144" i="37"/>
  <c r="M152" i="37"/>
  <c r="M148" i="37"/>
  <c r="M156" i="37"/>
  <c r="M115" i="37"/>
  <c r="M127" i="37"/>
  <c r="K131" i="37"/>
  <c r="K115" i="37"/>
  <c r="L119" i="37"/>
  <c r="L123" i="37"/>
  <c r="K127" i="37"/>
  <c r="I131" i="37"/>
  <c r="M140" i="37"/>
  <c r="L115" i="37"/>
  <c r="K152" i="37"/>
  <c r="L152" i="37"/>
  <c r="I144" i="37"/>
  <c r="I156" i="37"/>
  <c r="I140" i="37"/>
  <c r="J144" i="37"/>
  <c r="J156" i="37"/>
  <c r="J140" i="37"/>
  <c r="K144" i="37"/>
  <c r="K156" i="37"/>
  <c r="L144" i="37"/>
  <c r="L156" i="37"/>
  <c r="I119" i="37"/>
  <c r="I115" i="37"/>
  <c r="J119" i="37"/>
  <c r="I123" i="37"/>
  <c r="I127" i="37"/>
  <c r="N31" i="39"/>
  <c r="J30" i="39"/>
  <c r="F36" i="38"/>
  <c r="F35" i="38"/>
  <c r="F30" i="38"/>
  <c r="F29" i="38"/>
  <c r="F24" i="38"/>
  <c r="F23" i="38"/>
  <c r="F18" i="38"/>
  <c r="F17" i="38"/>
  <c r="L150" i="37"/>
  <c r="L158" i="37"/>
  <c r="I158" i="37"/>
  <c r="K158" i="37"/>
  <c r="K142" i="37"/>
  <c r="J146" i="37"/>
  <c r="K154" i="37"/>
  <c r="I154" i="37"/>
  <c r="L146" i="37"/>
  <c r="J154" i="37"/>
  <c r="J142" i="37"/>
  <c r="I142" i="37"/>
  <c r="I150" i="37"/>
  <c r="K146" i="37"/>
  <c r="J150" i="37"/>
  <c r="L154" i="37"/>
  <c r="L142" i="37"/>
  <c r="K150" i="37"/>
  <c r="I146" i="37"/>
  <c r="J158" i="37"/>
  <c r="J30" i="38" l="1"/>
  <c r="L30" i="38" s="1"/>
  <c r="M18" i="38"/>
  <c r="J18" i="38"/>
  <c r="L18" i="38" s="1"/>
  <c r="J24" i="38"/>
  <c r="L24" i="38" s="1"/>
  <c r="M24" i="38"/>
  <c r="J17" i="38"/>
  <c r="L17" i="38" s="1"/>
  <c r="J23" i="38"/>
  <c r="L23" i="38" s="1"/>
  <c r="J29" i="38"/>
  <c r="L29" i="38" s="1"/>
  <c r="M30" i="38"/>
  <c r="M17" i="38"/>
  <c r="M23" i="38"/>
  <c r="M29" i="38"/>
  <c r="EF49" i="2" l="1"/>
  <c r="ET81" i="34" l="1"/>
  <c r="ES81" i="34"/>
  <c r="ER81" i="34"/>
  <c r="EO81" i="34"/>
  <c r="EN81" i="34"/>
  <c r="EM81" i="34"/>
  <c r="EL81" i="34"/>
  <c r="EI81" i="34"/>
  <c r="EH81" i="34"/>
  <c r="EG81" i="34"/>
  <c r="EF81" i="34"/>
  <c r="EC81" i="34"/>
  <c r="EB81" i="34"/>
  <c r="EA81" i="34"/>
  <c r="DZ81" i="34"/>
  <c r="DW81" i="34"/>
  <c r="DV81" i="34"/>
  <c r="DU81" i="34"/>
  <c r="DT81" i="34"/>
  <c r="DQ81" i="34"/>
  <c r="DP81" i="34"/>
  <c r="DO81" i="34"/>
  <c r="DN81" i="34"/>
  <c r="DK81" i="34"/>
  <c r="DJ81" i="34"/>
  <c r="DI81" i="34"/>
  <c r="DH81" i="34"/>
  <c r="DE81" i="34"/>
  <c r="DD81" i="34"/>
  <c r="DC81" i="34"/>
  <c r="ET80" i="34"/>
  <c r="ES80" i="34"/>
  <c r="ER80" i="34"/>
  <c r="EO80" i="34"/>
  <c r="EN80" i="34"/>
  <c r="EM80" i="34"/>
  <c r="EL80" i="34"/>
  <c r="EI80" i="34"/>
  <c r="EH80" i="34"/>
  <c r="EG80" i="34"/>
  <c r="EF80" i="34"/>
  <c r="EC80" i="34"/>
  <c r="EB80" i="34"/>
  <c r="EA80" i="34"/>
  <c r="DZ80" i="34"/>
  <c r="DW80" i="34"/>
  <c r="DV80" i="34"/>
  <c r="DU80" i="34"/>
  <c r="DT80" i="34"/>
  <c r="DQ80" i="34"/>
  <c r="DP80" i="34"/>
  <c r="DO80" i="34"/>
  <c r="DN80" i="34"/>
  <c r="DK80" i="34"/>
  <c r="DJ80" i="34"/>
  <c r="DI80" i="34"/>
  <c r="DH80" i="34"/>
  <c r="DE80" i="34"/>
  <c r="DD80" i="34"/>
  <c r="DC80" i="34"/>
  <c r="ET13" i="34"/>
  <c r="ES13" i="34"/>
  <c r="ER13" i="34"/>
  <c r="EO13" i="34"/>
  <c r="EN13" i="34"/>
  <c r="EM13" i="34"/>
  <c r="EL13" i="34"/>
  <c r="EI13" i="34"/>
  <c r="EH13" i="34"/>
  <c r="EG13" i="34"/>
  <c r="EF13" i="34"/>
  <c r="DW13" i="34"/>
  <c r="DV13" i="34"/>
  <c r="DU13" i="34"/>
  <c r="DT13" i="34"/>
  <c r="DQ13" i="34"/>
  <c r="DP13" i="34"/>
  <c r="DO13" i="34"/>
  <c r="DN13" i="34"/>
  <c r="DK13" i="34"/>
  <c r="DJ13" i="34"/>
  <c r="DI13" i="34"/>
  <c r="DH13" i="34"/>
  <c r="DE13" i="34"/>
  <c r="DD13" i="34"/>
  <c r="DC13" i="34"/>
  <c r="ET12" i="34"/>
  <c r="ES12" i="34"/>
  <c r="ER12" i="34"/>
  <c r="EO12" i="34"/>
  <c r="EN12" i="34"/>
  <c r="EM12" i="34"/>
  <c r="EL12" i="34"/>
  <c r="EI12" i="34"/>
  <c r="EH12" i="34"/>
  <c r="EG12" i="34"/>
  <c r="EF12" i="34"/>
  <c r="DW12" i="34"/>
  <c r="DV12" i="34"/>
  <c r="DU12" i="34"/>
  <c r="DT12" i="34"/>
  <c r="DQ12" i="34"/>
  <c r="DP12" i="34"/>
  <c r="DO12" i="34"/>
  <c r="DN12" i="34"/>
  <c r="DK12" i="34"/>
  <c r="DJ12" i="34"/>
  <c r="DI12" i="34"/>
  <c r="DH12" i="34"/>
  <c r="DE12" i="34"/>
  <c r="DD12" i="34"/>
  <c r="DC12" i="34"/>
  <c r="ES106" i="34"/>
  <c r="ES108" i="34" s="1"/>
  <c r="ET106" i="34"/>
  <c r="ET110" i="34" s="1"/>
  <c r="ET108" i="34" l="1"/>
  <c r="ET111" i="34"/>
  <c r="ET109" i="34"/>
  <c r="ES109" i="34"/>
  <c r="ES110" i="34"/>
  <c r="ES111" i="34"/>
  <c r="ET129" i="34" l="1"/>
  <c r="ET134" i="34"/>
  <c r="ET135" i="34" s="1"/>
  <c r="ES134" i="34"/>
  <c r="ES135" i="34" s="1"/>
  <c r="ER134" i="34"/>
  <c r="ER135" i="34" s="1"/>
  <c r="ET132" i="34"/>
  <c r="ES132" i="34"/>
  <c r="ER132" i="34"/>
  <c r="EO134" i="34"/>
  <c r="EO135" i="34" s="1"/>
  <c r="EN134" i="34"/>
  <c r="EN135" i="34" s="1"/>
  <c r="EM134" i="34"/>
  <c r="EM135" i="34" s="1"/>
  <c r="EL134" i="34"/>
  <c r="EL135" i="34" s="1"/>
  <c r="EO132" i="34"/>
  <c r="EN132" i="34"/>
  <c r="EM132" i="34"/>
  <c r="EL132" i="34"/>
  <c r="EI134" i="34"/>
  <c r="EI135" i="34" s="1"/>
  <c r="EH134" i="34"/>
  <c r="EH135" i="34" s="1"/>
  <c r="EG134" i="34"/>
  <c r="EG135" i="34" s="1"/>
  <c r="EF134" i="34"/>
  <c r="EF135" i="34" s="1"/>
  <c r="EI132" i="34"/>
  <c r="EH132" i="34"/>
  <c r="EG132" i="34"/>
  <c r="EF132" i="34"/>
  <c r="EC134" i="34"/>
  <c r="EC135" i="34" s="1"/>
  <c r="EB134" i="34"/>
  <c r="EB135" i="34" s="1"/>
  <c r="EA134" i="34"/>
  <c r="EA135" i="34" s="1"/>
  <c r="DZ134" i="34"/>
  <c r="DZ135" i="34" s="1"/>
  <c r="EC132" i="34"/>
  <c r="EA132" i="34"/>
  <c r="DW134" i="34"/>
  <c r="DW135" i="34" s="1"/>
  <c r="DV134" i="34"/>
  <c r="DV135" i="34" s="1"/>
  <c r="DU134" i="34"/>
  <c r="DU135" i="34" s="1"/>
  <c r="DT134" i="34"/>
  <c r="DT135" i="34" s="1"/>
  <c r="DW132" i="34"/>
  <c r="DV132" i="34"/>
  <c r="DU132" i="34"/>
  <c r="DT132" i="34"/>
  <c r="DQ134" i="34"/>
  <c r="DQ135" i="34" s="1"/>
  <c r="DP134" i="34"/>
  <c r="DP135" i="34" s="1"/>
  <c r="DO134" i="34"/>
  <c r="DO135" i="34" s="1"/>
  <c r="DN134" i="34"/>
  <c r="DN135" i="34" s="1"/>
  <c r="DQ132" i="34"/>
  <c r="DP132" i="34"/>
  <c r="DO132" i="34"/>
  <c r="DN132" i="34"/>
  <c r="DI134" i="34"/>
  <c r="DI135" i="34" s="1"/>
  <c r="DJ134" i="34"/>
  <c r="DJ135" i="34" s="1"/>
  <c r="DK134" i="34"/>
  <c r="DK135" i="34" s="1"/>
  <c r="DH134" i="34"/>
  <c r="DH135" i="34" s="1"/>
  <c r="DI132" i="34"/>
  <c r="DJ132" i="34"/>
  <c r="DK132" i="34"/>
  <c r="DH132" i="34"/>
  <c r="ET25" i="8"/>
  <c r="GZ68" i="4"/>
  <c r="ET41" i="4"/>
  <c r="EU90" i="4" s="1"/>
  <c r="ES41" i="4"/>
  <c r="C60" i="36"/>
  <c r="F28" i="36"/>
  <c r="G28" i="36" s="1"/>
  <c r="H28" i="36" s="1"/>
  <c r="I28" i="36" s="1"/>
  <c r="J28" i="36" s="1"/>
  <c r="K28" i="36" s="1"/>
  <c r="L28" i="36" s="1"/>
  <c r="M28" i="36" s="1"/>
  <c r="N28" i="36" s="1"/>
  <c r="C55" i="36"/>
  <c r="ER136" i="34" l="1"/>
  <c r="EA136" i="34"/>
  <c r="ES136" i="34"/>
  <c r="ET136" i="34"/>
  <c r="EC136" i="34"/>
  <c r="DU136" i="34"/>
  <c r="EM136" i="34"/>
  <c r="DW136" i="34"/>
  <c r="EN136" i="34"/>
  <c r="EF136" i="34"/>
  <c r="EO136" i="34"/>
  <c r="ES133" i="34"/>
  <c r="DP136" i="34"/>
  <c r="EG136" i="34"/>
  <c r="DQ136" i="34"/>
  <c r="EH136" i="34"/>
  <c r="DO136" i="34"/>
  <c r="DN136" i="34"/>
  <c r="DV136" i="34"/>
  <c r="EI136" i="34"/>
  <c r="EL136" i="34"/>
  <c r="DT136" i="34"/>
  <c r="ET133" i="34"/>
  <c r="HA68" i="4"/>
  <c r="HB68" i="4" s="1"/>
  <c r="GT68" i="4"/>
  <c r="GU68" i="4" s="1"/>
  <c r="GV68" i="4" s="1"/>
  <c r="HC68" i="4" l="1"/>
  <c r="GW68" i="4"/>
  <c r="ET9" i="8" l="1"/>
  <c r="EU11" i="8" s="1"/>
  <c r="ET55" i="8"/>
  <c r="EU51" i="8" s="1"/>
  <c r="ET60" i="8"/>
  <c r="ET62" i="8"/>
  <c r="EU58" i="8" s="1"/>
  <c r="ET68" i="8"/>
  <c r="EU65" i="8" s="1"/>
  <c r="EU66" i="8" s="1"/>
  <c r="ET15" i="5"/>
  <c r="ET115" i="4"/>
  <c r="ET99" i="4"/>
  <c r="ET100" i="4"/>
  <c r="ET110" i="4"/>
  <c r="ET72" i="4"/>
  <c r="ET70" i="4"/>
  <c r="EU67" i="4" s="1"/>
  <c r="ET79" i="34"/>
  <c r="ET25" i="34"/>
  <c r="EZ26" i="34" s="1"/>
  <c r="ET20" i="34"/>
  <c r="ET55" i="2"/>
  <c r="ET64" i="2"/>
  <c r="ET65" i="2"/>
  <c r="ET59" i="2"/>
  <c r="ET58" i="2"/>
  <c r="ET57" i="2"/>
  <c r="ET54" i="2"/>
  <c r="EZ89" i="2" s="1"/>
  <c r="ET53" i="2"/>
  <c r="ET50" i="2"/>
  <c r="EZ86" i="2" s="1"/>
  <c r="ET49" i="2"/>
  <c r="K12" i="37" s="1"/>
  <c r="ET46" i="2"/>
  <c r="ET38" i="2"/>
  <c r="EX24" i="8"/>
  <c r="EY24" i="8" s="1"/>
  <c r="EZ24" i="8" s="1"/>
  <c r="EZ25" i="8" s="1"/>
  <c r="EX23" i="8"/>
  <c r="FA23" i="8" s="1"/>
  <c r="FD23" i="8" s="1"/>
  <c r="FE23" i="8" s="1"/>
  <c r="FF23" i="8" s="1"/>
  <c r="FG23" i="8" s="1"/>
  <c r="FJ23" i="8" s="1"/>
  <c r="FK23" i="8" s="1"/>
  <c r="FL23" i="8" s="1"/>
  <c r="FM23" i="8" s="1"/>
  <c r="FP23" i="8" s="1"/>
  <c r="FQ23" i="8" s="1"/>
  <c r="FR23" i="8" s="1"/>
  <c r="FS23" i="8" s="1"/>
  <c r="FV23" i="8" s="1"/>
  <c r="FW23" i="8" s="1"/>
  <c r="FX23" i="8" s="1"/>
  <c r="FY23" i="8" s="1"/>
  <c r="GB23" i="8" s="1"/>
  <c r="GC23" i="8" s="1"/>
  <c r="GD23" i="8" s="1"/>
  <c r="GE23" i="8" s="1"/>
  <c r="GH23" i="8" s="1"/>
  <c r="GI23" i="8" s="1"/>
  <c r="GJ23" i="8" s="1"/>
  <c r="GK23" i="8" s="1"/>
  <c r="GN23" i="8" s="1"/>
  <c r="GO23" i="8" s="1"/>
  <c r="GP23" i="8" s="1"/>
  <c r="GQ23" i="8" s="1"/>
  <c r="GT23" i="8" s="1"/>
  <c r="GU23" i="8" s="1"/>
  <c r="GV23" i="8" s="1"/>
  <c r="GW23" i="8" s="1"/>
  <c r="GZ23" i="8" s="1"/>
  <c r="HA23" i="8" s="1"/>
  <c r="HB23" i="8" s="1"/>
  <c r="HC23" i="8" s="1"/>
  <c r="HF23" i="8" s="1"/>
  <c r="HG23" i="8" s="1"/>
  <c r="HH23" i="8" s="1"/>
  <c r="HI23" i="8" s="1"/>
  <c r="EX19" i="8"/>
  <c r="FA19" i="8" s="1"/>
  <c r="FD19" i="8" s="1"/>
  <c r="FE19" i="8" s="1"/>
  <c r="FF19" i="8" s="1"/>
  <c r="FG19" i="8" s="1"/>
  <c r="FJ19" i="8" s="1"/>
  <c r="FK19" i="8" s="1"/>
  <c r="FL19" i="8" s="1"/>
  <c r="FM19" i="8" s="1"/>
  <c r="FP19" i="8" s="1"/>
  <c r="FQ19" i="8" s="1"/>
  <c r="FR19" i="8" s="1"/>
  <c r="FS19" i="8" s="1"/>
  <c r="FV19" i="8" s="1"/>
  <c r="FW19" i="8" s="1"/>
  <c r="FX19" i="8" s="1"/>
  <c r="FY19" i="8" s="1"/>
  <c r="GB19" i="8" s="1"/>
  <c r="GC19" i="8" s="1"/>
  <c r="GD19" i="8" s="1"/>
  <c r="GE19" i="8" s="1"/>
  <c r="GH19" i="8" s="1"/>
  <c r="GI19" i="8" s="1"/>
  <c r="GJ19" i="8" s="1"/>
  <c r="GK19" i="8" s="1"/>
  <c r="GN19" i="8" s="1"/>
  <c r="GO19" i="8" s="1"/>
  <c r="GP19" i="8" s="1"/>
  <c r="GQ19" i="8" s="1"/>
  <c r="GT19" i="8" s="1"/>
  <c r="GU19" i="8" s="1"/>
  <c r="GV19" i="8" s="1"/>
  <c r="GW19" i="8" s="1"/>
  <c r="GZ19" i="8" s="1"/>
  <c r="HA19" i="8" s="1"/>
  <c r="HB19" i="8" s="1"/>
  <c r="HC19" i="8" s="1"/>
  <c r="HF19" i="8" s="1"/>
  <c r="HG19" i="8" s="1"/>
  <c r="HH19" i="8" s="1"/>
  <c r="HI19" i="8" s="1"/>
  <c r="EX15" i="8"/>
  <c r="EY77" i="4" l="1"/>
  <c r="EZ85" i="2"/>
  <c r="EY15" i="8"/>
  <c r="EY78" i="4"/>
  <c r="EU15" i="5"/>
  <c r="ET48" i="8"/>
  <c r="ET10" i="8"/>
  <c r="ET71" i="4"/>
  <c r="ET82" i="4"/>
  <c r="ET83" i="4"/>
  <c r="ET87" i="4"/>
  <c r="ET81" i="4"/>
  <c r="ET86" i="4"/>
  <c r="ET89" i="4"/>
  <c r="ET90" i="4"/>
  <c r="ET101" i="4"/>
  <c r="ET77" i="2"/>
  <c r="ET76" i="2"/>
  <c r="ET51" i="2"/>
  <c r="EZ87" i="2" s="1"/>
  <c r="EY25" i="8"/>
  <c r="EX25" i="8"/>
  <c r="EZ15" i="8" l="1"/>
  <c r="FA15" i="8" s="1"/>
  <c r="FD15" i="8" s="1"/>
  <c r="FE15" i="8" s="1"/>
  <c r="FF15" i="8" s="1"/>
  <c r="FG15" i="8" s="1"/>
  <c r="FJ15" i="8" s="1"/>
  <c r="FK15" i="8" s="1"/>
  <c r="FL15" i="8" s="1"/>
  <c r="FP15" i="8" s="1"/>
  <c r="FQ15" i="8" s="1"/>
  <c r="FR15" i="8" s="1"/>
  <c r="FS15" i="8" s="1"/>
  <c r="ET84" i="4"/>
  <c r="ET74" i="2"/>
  <c r="FA24" i="8"/>
  <c r="FV15" i="8" l="1"/>
  <c r="FA25" i="8"/>
  <c r="FD24" i="8"/>
  <c r="FW15" i="8" l="1"/>
  <c r="FE24" i="8"/>
  <c r="FD25" i="8"/>
  <c r="AF8" i="7"/>
  <c r="FX15" i="8" l="1"/>
  <c r="FF24" i="8"/>
  <c r="FE25" i="8"/>
  <c r="HC81" i="2"/>
  <c r="HB81" i="2"/>
  <c r="HA81" i="2"/>
  <c r="GW81" i="2"/>
  <c r="GV81" i="2"/>
  <c r="GU81" i="2"/>
  <c r="GT81" i="2"/>
  <c r="GQ81" i="2"/>
  <c r="GP81" i="2"/>
  <c r="GO81" i="2"/>
  <c r="GN81" i="2"/>
  <c r="GK81" i="2"/>
  <c r="GJ81" i="2"/>
  <c r="GI81" i="2"/>
  <c r="GH81" i="2"/>
  <c r="GE81" i="2"/>
  <c r="GD81" i="2"/>
  <c r="GC81" i="2"/>
  <c r="GB81" i="2"/>
  <c r="FY81" i="2"/>
  <c r="FX81" i="2"/>
  <c r="FW81" i="2"/>
  <c r="FV81" i="2"/>
  <c r="FS81" i="2"/>
  <c r="FR81" i="2"/>
  <c r="FQ81" i="2"/>
  <c r="FP81" i="2"/>
  <c r="FM81" i="2"/>
  <c r="FL81" i="2"/>
  <c r="FK81" i="2"/>
  <c r="FJ81" i="2"/>
  <c r="FE19" i="34"/>
  <c r="FD19" i="34"/>
  <c r="ES33" i="34"/>
  <c r="EY34" i="34" s="1"/>
  <c r="ER33" i="34"/>
  <c r="EH33" i="34"/>
  <c r="EH56" i="34" s="1"/>
  <c r="EH58" i="34" s="1"/>
  <c r="EI33" i="34"/>
  <c r="EI56" i="34" s="1"/>
  <c r="EI58" i="34" s="1"/>
  <c r="EF33" i="34"/>
  <c r="EF56" i="34" s="1"/>
  <c r="EF58" i="34" s="1"/>
  <c r="EG33" i="34"/>
  <c r="EG56" i="34" s="1"/>
  <c r="EG58" i="34" s="1"/>
  <c r="ES90" i="34"/>
  <c r="ER90" i="34"/>
  <c r="ES79" i="34"/>
  <c r="ER79" i="34"/>
  <c r="ES25" i="34"/>
  <c r="EY26" i="34" s="1"/>
  <c r="ER25" i="34"/>
  <c r="EX26" i="34" s="1"/>
  <c r="ES20" i="34"/>
  <c r="ER20" i="34"/>
  <c r="ES11" i="34"/>
  <c r="ER11" i="34"/>
  <c r="EO90" i="34"/>
  <c r="EN90" i="34"/>
  <c r="EM90" i="34"/>
  <c r="EL90" i="34"/>
  <c r="EI90" i="34"/>
  <c r="EH90" i="34"/>
  <c r="EG90" i="34"/>
  <c r="EF90" i="34"/>
  <c r="EC90" i="34"/>
  <c r="EA90" i="34"/>
  <c r="DW90" i="34"/>
  <c r="DV90" i="34"/>
  <c r="DU90" i="34"/>
  <c r="DT90" i="34"/>
  <c r="DQ90" i="34"/>
  <c r="DP90" i="34"/>
  <c r="DO90" i="34"/>
  <c r="DN90" i="34"/>
  <c r="DK90" i="34"/>
  <c r="DJ90" i="34"/>
  <c r="DI90" i="34"/>
  <c r="DH90" i="34"/>
  <c r="DC90" i="34"/>
  <c r="DD90" i="34"/>
  <c r="DE90" i="34"/>
  <c r="DB90" i="34"/>
  <c r="EN33" i="34"/>
  <c r="EN56" i="34" s="1"/>
  <c r="EN58" i="34" s="1"/>
  <c r="EM33" i="34"/>
  <c r="EL33" i="34"/>
  <c r="EL56" i="34" s="1"/>
  <c r="EL58" i="34" s="1"/>
  <c r="EO33" i="34"/>
  <c r="EO56" i="34" s="1"/>
  <c r="EO58" i="34" s="1"/>
  <c r="EO79" i="34"/>
  <c r="EN79" i="34"/>
  <c r="EM79" i="34"/>
  <c r="EL79" i="34"/>
  <c r="EP78" i="34"/>
  <c r="EO25" i="34"/>
  <c r="EN25" i="34"/>
  <c r="EM25" i="34"/>
  <c r="EL25" i="34"/>
  <c r="EO20" i="34"/>
  <c r="EN20" i="34"/>
  <c r="EM20" i="34"/>
  <c r="EL20" i="34"/>
  <c r="EP19" i="34"/>
  <c r="EO11" i="34"/>
  <c r="EN11" i="34"/>
  <c r="EM11" i="34"/>
  <c r="EL11" i="34"/>
  <c r="EP10" i="34"/>
  <c r="EG86" i="34"/>
  <c r="EF86" i="34"/>
  <c r="EG84" i="34"/>
  <c r="EF84" i="34"/>
  <c r="EI79" i="34"/>
  <c r="EH79" i="34"/>
  <c r="EG79" i="34"/>
  <c r="EF79" i="34"/>
  <c r="EJ78" i="34"/>
  <c r="EI25" i="34"/>
  <c r="EH25" i="34"/>
  <c r="EG25" i="34"/>
  <c r="EF25" i="34"/>
  <c r="EI20" i="34"/>
  <c r="EH20" i="34"/>
  <c r="EG20" i="34"/>
  <c r="EF20" i="34"/>
  <c r="EJ19" i="34"/>
  <c r="EI11" i="34"/>
  <c r="EG11" i="34"/>
  <c r="EJ10" i="34"/>
  <c r="EC86" i="34"/>
  <c r="EB86" i="34"/>
  <c r="EA86" i="34"/>
  <c r="DZ86" i="34"/>
  <c r="EC84" i="34"/>
  <c r="EB84" i="34"/>
  <c r="EA84" i="34"/>
  <c r="DZ84" i="34"/>
  <c r="EC79" i="34"/>
  <c r="EB79" i="34"/>
  <c r="EA79" i="34"/>
  <c r="DZ79" i="34"/>
  <c r="ED78" i="34"/>
  <c r="EC25" i="34"/>
  <c r="EA25" i="34"/>
  <c r="EA31" i="34" s="1"/>
  <c r="EC22" i="34"/>
  <c r="EB22" i="34"/>
  <c r="EA22" i="34"/>
  <c r="DZ22" i="34"/>
  <c r="EC20" i="34"/>
  <c r="EB20" i="34"/>
  <c r="EA20" i="34"/>
  <c r="DZ20" i="34"/>
  <c r="ED19" i="34"/>
  <c r="EC17" i="34"/>
  <c r="EB17" i="34"/>
  <c r="EA17" i="34"/>
  <c r="DZ17" i="34"/>
  <c r="ED16" i="34"/>
  <c r="EC11" i="34"/>
  <c r="EA11" i="34"/>
  <c r="DW86" i="34"/>
  <c r="DV86" i="34"/>
  <c r="DU86" i="34"/>
  <c r="DT86" i="34"/>
  <c r="DW84" i="34"/>
  <c r="DV84" i="34"/>
  <c r="DU84" i="34"/>
  <c r="DT84" i="34"/>
  <c r="DW79" i="34"/>
  <c r="DV79" i="34"/>
  <c r="DU79" i="34"/>
  <c r="DT79" i="34"/>
  <c r="DX78" i="34"/>
  <c r="DW25" i="34"/>
  <c r="DV25" i="34"/>
  <c r="DV31" i="34" s="1"/>
  <c r="DU25" i="34"/>
  <c r="DU31" i="34" s="1"/>
  <c r="DT25" i="34"/>
  <c r="DZ29" i="34" s="1"/>
  <c r="DW22" i="34"/>
  <c r="DV22" i="34"/>
  <c r="DU22" i="34"/>
  <c r="DT22" i="34"/>
  <c r="DW20" i="34"/>
  <c r="DV20" i="34"/>
  <c r="DU20" i="34"/>
  <c r="DT20" i="34"/>
  <c r="DX19" i="34"/>
  <c r="DW17" i="34"/>
  <c r="DV17" i="34"/>
  <c r="DU17" i="34"/>
  <c r="DT17" i="34"/>
  <c r="DX16" i="34"/>
  <c r="DW11" i="34"/>
  <c r="DV11" i="34"/>
  <c r="DU11" i="34"/>
  <c r="DT11" i="34"/>
  <c r="DX10" i="34"/>
  <c r="DQ86" i="34"/>
  <c r="DQ84" i="34"/>
  <c r="DP86" i="34"/>
  <c r="DP84" i="34"/>
  <c r="DO86" i="34"/>
  <c r="DO84" i="34"/>
  <c r="DO79" i="34"/>
  <c r="DP79" i="34"/>
  <c r="DQ79" i="34"/>
  <c r="DN86" i="34"/>
  <c r="DN84" i="34"/>
  <c r="DN79" i="34"/>
  <c r="DF78" i="34"/>
  <c r="DK84" i="34"/>
  <c r="DK86" i="34"/>
  <c r="DQ25" i="34"/>
  <c r="DW29" i="34" s="1"/>
  <c r="DP25" i="34"/>
  <c r="DV29" i="34" s="1"/>
  <c r="DO25" i="34"/>
  <c r="DN25" i="34"/>
  <c r="DQ22" i="34"/>
  <c r="DP22" i="34"/>
  <c r="DO22" i="34"/>
  <c r="DN22" i="34"/>
  <c r="DQ20" i="34"/>
  <c r="DP20" i="34"/>
  <c r="DO20" i="34"/>
  <c r="DN20" i="34"/>
  <c r="DR19" i="34"/>
  <c r="DQ17" i="34"/>
  <c r="DP17" i="34"/>
  <c r="DO17" i="34"/>
  <c r="DN17" i="34"/>
  <c r="DR16" i="34"/>
  <c r="DQ11" i="34"/>
  <c r="DP11" i="34"/>
  <c r="DO11" i="34"/>
  <c r="DN11" i="34"/>
  <c r="DR10" i="34"/>
  <c r="DF19" i="34"/>
  <c r="DL19" i="34"/>
  <c r="DF16" i="34"/>
  <c r="DL16" i="34"/>
  <c r="DF10" i="34"/>
  <c r="DL10" i="34"/>
  <c r="DK79" i="34"/>
  <c r="DK25" i="34"/>
  <c r="DK22" i="34"/>
  <c r="DK20" i="34"/>
  <c r="DK17" i="34"/>
  <c r="DK11" i="34"/>
  <c r="DE25" i="34"/>
  <c r="DE22" i="34"/>
  <c r="DJ79" i="34"/>
  <c r="DJ86" i="34"/>
  <c r="DJ84" i="34"/>
  <c r="DI86" i="34"/>
  <c r="DI84" i="34"/>
  <c r="DH84" i="34"/>
  <c r="DE84" i="34"/>
  <c r="DI79" i="34"/>
  <c r="DJ25" i="34"/>
  <c r="DJ22" i="34"/>
  <c r="DJ20" i="34"/>
  <c r="DJ17" i="34"/>
  <c r="DJ11" i="34"/>
  <c r="DD25" i="34"/>
  <c r="DD22" i="34"/>
  <c r="DI25" i="34"/>
  <c r="DI22" i="34"/>
  <c r="DI20" i="34"/>
  <c r="DI17" i="34"/>
  <c r="DI11" i="34"/>
  <c r="DC25" i="34"/>
  <c r="DC22" i="34"/>
  <c r="DB25" i="34"/>
  <c r="DH25" i="34"/>
  <c r="DH22" i="34"/>
  <c r="DB22" i="34"/>
  <c r="DH17" i="34"/>
  <c r="DH11" i="34"/>
  <c r="DB106" i="34"/>
  <c r="DH20" i="34"/>
  <c r="DH79" i="34"/>
  <c r="EY94" i="34" l="1"/>
  <c r="EY95" i="34"/>
  <c r="ES56" i="34"/>
  <c r="ES58" i="34" s="1"/>
  <c r="FJ19" i="34"/>
  <c r="FD69" i="34"/>
  <c r="FD70" i="34" s="1"/>
  <c r="FK19" i="34"/>
  <c r="FE69" i="34"/>
  <c r="FE70" i="34" s="1"/>
  <c r="FY15" i="8"/>
  <c r="ER56" i="34"/>
  <c r="EX34" i="34"/>
  <c r="DE14" i="34"/>
  <c r="DE82" i="34"/>
  <c r="DI14" i="34"/>
  <c r="DI82" i="34"/>
  <c r="DO14" i="34"/>
  <c r="DO82" i="34"/>
  <c r="DU14" i="34"/>
  <c r="DU82" i="34"/>
  <c r="EA14" i="34"/>
  <c r="EA82" i="34"/>
  <c r="EG14" i="34"/>
  <c r="EG82" i="34"/>
  <c r="EM14" i="34"/>
  <c r="EM82" i="34"/>
  <c r="ES14" i="34"/>
  <c r="ES82" i="34"/>
  <c r="DD14" i="34"/>
  <c r="DD82" i="34"/>
  <c r="DJ14" i="34"/>
  <c r="DJ82" i="34"/>
  <c r="DP14" i="34"/>
  <c r="DP82" i="34"/>
  <c r="DV14" i="34"/>
  <c r="DV82" i="34"/>
  <c r="EH14" i="34"/>
  <c r="EH82" i="34"/>
  <c r="EN14" i="34"/>
  <c r="EN82" i="34"/>
  <c r="DC14" i="34"/>
  <c r="DC82" i="34"/>
  <c r="DK14" i="34"/>
  <c r="DK82" i="34"/>
  <c r="DQ14" i="34"/>
  <c r="DQ82" i="34"/>
  <c r="DW14" i="34"/>
  <c r="DW82" i="34"/>
  <c r="EC14" i="34"/>
  <c r="EC82" i="34"/>
  <c r="EI14" i="34"/>
  <c r="EI82" i="34"/>
  <c r="EO14" i="34"/>
  <c r="EO82" i="34"/>
  <c r="DB14" i="34"/>
  <c r="DB82" i="34"/>
  <c r="DH14" i="34"/>
  <c r="DH82" i="34"/>
  <c r="DN14" i="34"/>
  <c r="DN82" i="34"/>
  <c r="DT14" i="34"/>
  <c r="DT82" i="34"/>
  <c r="EF14" i="34"/>
  <c r="EF82" i="34"/>
  <c r="EL14" i="34"/>
  <c r="EL82" i="34"/>
  <c r="ER14" i="34"/>
  <c r="ER82" i="34"/>
  <c r="EO57" i="34"/>
  <c r="EM34" i="34"/>
  <c r="DF25" i="34"/>
  <c r="FF25" i="34"/>
  <c r="FL25" i="34" s="1"/>
  <c r="FR25" i="34" s="1"/>
  <c r="ET26" i="34"/>
  <c r="DE96" i="34"/>
  <c r="DE97" i="34"/>
  <c r="DI97" i="34"/>
  <c r="DI96" i="34"/>
  <c r="DO97" i="34"/>
  <c r="DO96" i="34"/>
  <c r="DO137" i="34"/>
  <c r="DU97" i="34"/>
  <c r="DU96" i="34"/>
  <c r="DU137" i="34"/>
  <c r="EA137" i="34"/>
  <c r="EG97" i="34"/>
  <c r="EG96" i="34"/>
  <c r="EG137" i="34"/>
  <c r="EM97" i="34"/>
  <c r="EM96" i="34"/>
  <c r="EM137" i="34"/>
  <c r="ES96" i="34"/>
  <c r="ES97" i="34"/>
  <c r="ES137" i="34"/>
  <c r="DD97" i="34"/>
  <c r="DD96" i="34"/>
  <c r="DJ96" i="34"/>
  <c r="DJ97" i="34"/>
  <c r="DP96" i="34"/>
  <c r="DP97" i="34"/>
  <c r="DP137" i="34"/>
  <c r="DV96" i="34"/>
  <c r="DV97" i="34"/>
  <c r="DV137" i="34"/>
  <c r="EH96" i="34"/>
  <c r="EH97" i="34"/>
  <c r="EH137" i="34"/>
  <c r="EN96" i="34"/>
  <c r="EN97" i="34"/>
  <c r="EN137" i="34"/>
  <c r="DC97" i="34"/>
  <c r="DC96" i="34"/>
  <c r="DK96" i="34"/>
  <c r="DK97" i="34"/>
  <c r="DQ96" i="34"/>
  <c r="DQ97" i="34"/>
  <c r="DQ137" i="34"/>
  <c r="DW96" i="34"/>
  <c r="DW97" i="34"/>
  <c r="DW137" i="34"/>
  <c r="EC137" i="34"/>
  <c r="EI96" i="34"/>
  <c r="EI97" i="34"/>
  <c r="EI137" i="34"/>
  <c r="EO96" i="34"/>
  <c r="EO97" i="34"/>
  <c r="EO137" i="34"/>
  <c r="DL25" i="34"/>
  <c r="DH96" i="34"/>
  <c r="DH97" i="34"/>
  <c r="DN96" i="34"/>
  <c r="DN97" i="34"/>
  <c r="DN137" i="34"/>
  <c r="DT96" i="34"/>
  <c r="DT97" i="34"/>
  <c r="DT137" i="34"/>
  <c r="EF96" i="34"/>
  <c r="EF97" i="34"/>
  <c r="EF137" i="34"/>
  <c r="EL96" i="34"/>
  <c r="EL97" i="34"/>
  <c r="EL137" i="34"/>
  <c r="ER96" i="34"/>
  <c r="ER97" i="34"/>
  <c r="ER137" i="34"/>
  <c r="FG24" i="8"/>
  <c r="FF25" i="8"/>
  <c r="FE25" i="34"/>
  <c r="FK25" i="34" s="1"/>
  <c r="FQ25" i="34" s="1"/>
  <c r="FD25" i="34"/>
  <c r="FJ25" i="34" s="1"/>
  <c r="FP25" i="34" s="1"/>
  <c r="EN57" i="34"/>
  <c r="DQ95" i="34"/>
  <c r="EO95" i="34"/>
  <c r="DH95" i="34"/>
  <c r="DN95" i="34"/>
  <c r="EL57" i="34"/>
  <c r="DI95" i="34"/>
  <c r="DU95" i="34"/>
  <c r="DV95" i="34"/>
  <c r="EL95" i="34"/>
  <c r="ER95" i="34"/>
  <c r="DO95" i="34"/>
  <c r="EA95" i="34"/>
  <c r="EG95" i="34"/>
  <c r="EM95" i="34"/>
  <c r="ES95" i="34"/>
  <c r="EJ33" i="34"/>
  <c r="DJ95" i="34"/>
  <c r="DP95" i="34"/>
  <c r="EN95" i="34"/>
  <c r="DT95" i="34"/>
  <c r="EP33" i="34"/>
  <c r="ER26" i="34"/>
  <c r="DK95" i="34"/>
  <c r="DW95" i="34"/>
  <c r="EC95" i="34"/>
  <c r="EI95" i="34"/>
  <c r="EM56" i="34"/>
  <c r="EL34" i="34"/>
  <c r="EP90" i="34"/>
  <c r="EP14" i="34" s="1"/>
  <c r="EN34" i="34"/>
  <c r="ER34" i="34"/>
  <c r="ES26" i="34"/>
  <c r="ES34" i="34"/>
  <c r="DF90" i="34"/>
  <c r="DF14" i="34" s="1"/>
  <c r="DX90" i="34"/>
  <c r="DX14" i="34" s="1"/>
  <c r="EJ90" i="34"/>
  <c r="EJ14" i="34" s="1"/>
  <c r="EO34" i="34"/>
  <c r="EM26" i="34"/>
  <c r="EJ79" i="34"/>
  <c r="EG26" i="34"/>
  <c r="EP11" i="34"/>
  <c r="EN26" i="34"/>
  <c r="EP79" i="34"/>
  <c r="EI26" i="34"/>
  <c r="EP20" i="34"/>
  <c r="EO26" i="34"/>
  <c r="EL26" i="34"/>
  <c r="EP25" i="34"/>
  <c r="EJ25" i="34"/>
  <c r="EJ20" i="34"/>
  <c r="EA23" i="34"/>
  <c r="DK26" i="34"/>
  <c r="DO23" i="34"/>
  <c r="DO26" i="34"/>
  <c r="DW23" i="34"/>
  <c r="DW26" i="34"/>
  <c r="ED17" i="34"/>
  <c r="EB23" i="34"/>
  <c r="DH26" i="34"/>
  <c r="DJ26" i="34"/>
  <c r="EA29" i="34"/>
  <c r="ED79" i="34"/>
  <c r="DU29" i="34"/>
  <c r="ED20" i="34"/>
  <c r="EC23" i="34"/>
  <c r="ED84" i="34"/>
  <c r="DZ23" i="34"/>
  <c r="ED22" i="34"/>
  <c r="EA26" i="34"/>
  <c r="EC26" i="34"/>
  <c r="DL17" i="34"/>
  <c r="DR17" i="34"/>
  <c r="DP23" i="34"/>
  <c r="DP26" i="34"/>
  <c r="DT26" i="34"/>
  <c r="DI26" i="34"/>
  <c r="DL22" i="34"/>
  <c r="DQ26" i="34"/>
  <c r="DF22" i="34"/>
  <c r="DW31" i="34"/>
  <c r="DN26" i="34"/>
  <c r="DX84" i="34"/>
  <c r="DU26" i="34"/>
  <c r="DR84" i="34"/>
  <c r="DV23" i="34"/>
  <c r="DV26" i="34"/>
  <c r="DL84" i="34"/>
  <c r="DL11" i="34"/>
  <c r="DL20" i="34"/>
  <c r="DR20" i="34"/>
  <c r="DQ23" i="34"/>
  <c r="DN23" i="34"/>
  <c r="DX11" i="34"/>
  <c r="DU23" i="34"/>
  <c r="DX22" i="34"/>
  <c r="DT23" i="34"/>
  <c r="DX17" i="34"/>
  <c r="DX25" i="34"/>
  <c r="DX20" i="34"/>
  <c r="DR25" i="34"/>
  <c r="DR22" i="34"/>
  <c r="DR23" i="34" s="1"/>
  <c r="DR11" i="34"/>
  <c r="DK23" i="34"/>
  <c r="DJ23" i="34"/>
  <c r="DI23" i="34"/>
  <c r="DH23" i="34"/>
  <c r="EY92" i="34" l="1"/>
  <c r="EY91" i="34" s="1"/>
  <c r="FJ69" i="34"/>
  <c r="FJ70" i="34" s="1"/>
  <c r="FP19" i="34"/>
  <c r="FK69" i="34"/>
  <c r="FK70" i="34" s="1"/>
  <c r="FQ19" i="34"/>
  <c r="FQ69" i="34" s="1"/>
  <c r="EM57" i="34"/>
  <c r="EM58" i="34"/>
  <c r="EX57" i="34"/>
  <c r="ER58" i="34"/>
  <c r="EP56" i="34"/>
  <c r="EP58" i="34" s="1"/>
  <c r="EJ35" i="34"/>
  <c r="EP37" i="34"/>
  <c r="EV37" i="34" s="1"/>
  <c r="EV38" i="34" s="1"/>
  <c r="ER57" i="34"/>
  <c r="GB15" i="8"/>
  <c r="FK10" i="34"/>
  <c r="FK35" i="34" s="1"/>
  <c r="FJ10" i="34"/>
  <c r="FJ35" i="34" s="1"/>
  <c r="EJ82" i="34"/>
  <c r="DX82" i="34"/>
  <c r="EP82" i="34"/>
  <c r="DF82" i="34"/>
  <c r="DL26" i="34"/>
  <c r="FE10" i="34"/>
  <c r="FG25" i="8"/>
  <c r="FJ24" i="8"/>
  <c r="FD10" i="34"/>
  <c r="FD65" i="34" s="1"/>
  <c r="EP34" i="34"/>
  <c r="ES57" i="34"/>
  <c r="EJ56" i="34"/>
  <c r="EP35" i="34"/>
  <c r="EP95" i="34"/>
  <c r="EP26" i="34"/>
  <c r="DL23" i="34"/>
  <c r="DR26" i="34"/>
  <c r="DX29" i="34"/>
  <c r="DX31" i="34"/>
  <c r="ED23" i="34"/>
  <c r="DX26" i="34"/>
  <c r="DX23" i="34"/>
  <c r="FQ70" i="34" l="1"/>
  <c r="FQ10" i="34"/>
  <c r="FP69" i="34"/>
  <c r="FP70" i="34" s="1"/>
  <c r="FP10" i="34"/>
  <c r="EP57" i="34"/>
  <c r="EJ58" i="34"/>
  <c r="FE65" i="34"/>
  <c r="FE73" i="34" s="1"/>
  <c r="FE74" i="34" s="1"/>
  <c r="FK56" i="34"/>
  <c r="FK58" i="34" s="1"/>
  <c r="FK65" i="34"/>
  <c r="FJ56" i="34"/>
  <c r="FJ58" i="34" s="1"/>
  <c r="FJ65" i="34"/>
  <c r="GC15" i="8"/>
  <c r="FE11" i="34"/>
  <c r="FD11" i="34"/>
  <c r="FJ11" i="34"/>
  <c r="FK24" i="8"/>
  <c r="FJ25" i="8"/>
  <c r="FK11" i="34"/>
  <c r="HD59" i="2"/>
  <c r="GX59" i="2"/>
  <c r="GR59" i="2"/>
  <c r="GL59" i="2"/>
  <c r="GF59" i="2"/>
  <c r="FZ59" i="2"/>
  <c r="FT59" i="2"/>
  <c r="FN59" i="2"/>
  <c r="FH59" i="2"/>
  <c r="FK55" i="2"/>
  <c r="FQ55" i="2" s="1"/>
  <c r="FW55" i="2" s="1"/>
  <c r="FJ55" i="2"/>
  <c r="FG81" i="2"/>
  <c r="FF81" i="2"/>
  <c r="FE81" i="2"/>
  <c r="FD81" i="2"/>
  <c r="FM55" i="2"/>
  <c r="FS55" i="2" s="1"/>
  <c r="FL55" i="2"/>
  <c r="FR55" i="2" s="1"/>
  <c r="FX55" i="2" s="1"/>
  <c r="GD55" i="2" s="1"/>
  <c r="GJ55" i="2" s="1"/>
  <c r="GP55" i="2" s="1"/>
  <c r="GV55" i="2" s="1"/>
  <c r="HB55" i="2" s="1"/>
  <c r="HH55" i="2" s="1"/>
  <c r="ES46" i="2"/>
  <c r="EV46" i="2" s="1"/>
  <c r="ES38" i="2"/>
  <c r="ES65" i="2"/>
  <c r="AB27" i="7" s="1"/>
  <c r="ER65" i="2"/>
  <c r="ES64" i="2"/>
  <c r="ER64" i="2"/>
  <c r="ES59" i="2"/>
  <c r="ER59" i="2"/>
  <c r="E18" i="39" s="1"/>
  <c r="ES58" i="2"/>
  <c r="ER58" i="2"/>
  <c r="E17" i="39" s="1"/>
  <c r="ES57" i="2"/>
  <c r="ER57" i="2"/>
  <c r="E16" i="39" s="1"/>
  <c r="ES55" i="2"/>
  <c r="ER55" i="2"/>
  <c r="ES54" i="2"/>
  <c r="EY89" i="2" s="1"/>
  <c r="ER54" i="2"/>
  <c r="E14" i="39" s="1"/>
  <c r="ES53" i="2"/>
  <c r="ER53" i="2"/>
  <c r="E13" i="39" s="1"/>
  <c r="ES50" i="2"/>
  <c r="ER50" i="2"/>
  <c r="E10" i="39" s="1"/>
  <c r="ES49" i="2"/>
  <c r="J12" i="37" s="1"/>
  <c r="ER35" i="2"/>
  <c r="ER34" i="2"/>
  <c r="ER33" i="2"/>
  <c r="ES11" i="2"/>
  <c r="ES16" i="2" s="1"/>
  <c r="ES20" i="2" s="1"/>
  <c r="ES22" i="2" s="1"/>
  <c r="ER11" i="2"/>
  <c r="ER16" i="2" s="1"/>
  <c r="ER20" i="2" s="1"/>
  <c r="ER22" i="2" s="1"/>
  <c r="EO59" i="2"/>
  <c r="EO58" i="2"/>
  <c r="EO57" i="2"/>
  <c r="EO55" i="2"/>
  <c r="EO54" i="2"/>
  <c r="EU89" i="2" s="1"/>
  <c r="EO53" i="2"/>
  <c r="EO50" i="2"/>
  <c r="EU86" i="2" s="1"/>
  <c r="EO49" i="2"/>
  <c r="EN59" i="2"/>
  <c r="EN58" i="2"/>
  <c r="EN57" i="2"/>
  <c r="EN55" i="2"/>
  <c r="EN54" i="2"/>
  <c r="EN53" i="2"/>
  <c r="EN50" i="2"/>
  <c r="EN49" i="2"/>
  <c r="EM59" i="2"/>
  <c r="EM58" i="2"/>
  <c r="EM57" i="2"/>
  <c r="EM55" i="2"/>
  <c r="EM54" i="2"/>
  <c r="EM53" i="2"/>
  <c r="EM50" i="2"/>
  <c r="EM49" i="2"/>
  <c r="EL59" i="2"/>
  <c r="EL58" i="2"/>
  <c r="EL57" i="2"/>
  <c r="EL55" i="2"/>
  <c r="EL54" i="2"/>
  <c r="EL53" i="2"/>
  <c r="EL50" i="2"/>
  <c r="EL49" i="2"/>
  <c r="EI55" i="2"/>
  <c r="EP65" i="2"/>
  <c r="EO65" i="2"/>
  <c r="EN65" i="2"/>
  <c r="EM65" i="2"/>
  <c r="EL65" i="2"/>
  <c r="EP64" i="2"/>
  <c r="EO64" i="2"/>
  <c r="EN64" i="2"/>
  <c r="EM64" i="2"/>
  <c r="EL64" i="2"/>
  <c r="EP47" i="2"/>
  <c r="EP46" i="2"/>
  <c r="EP45" i="2"/>
  <c r="EP44" i="2"/>
  <c r="EP43" i="2"/>
  <c r="EP42" i="2"/>
  <c r="EP39" i="2"/>
  <c r="EP38" i="2"/>
  <c r="EP37" i="2"/>
  <c r="EP36" i="2"/>
  <c r="EP30" i="2"/>
  <c r="EP29" i="2"/>
  <c r="EP28" i="2"/>
  <c r="EP21" i="2"/>
  <c r="EP19" i="2"/>
  <c r="EP18" i="2"/>
  <c r="EP17" i="2"/>
  <c r="EP15" i="2"/>
  <c r="EP14" i="2"/>
  <c r="EP13" i="2"/>
  <c r="EP12" i="2"/>
  <c r="EO11" i="2"/>
  <c r="EN11" i="2"/>
  <c r="EN16" i="2" s="1"/>
  <c r="EN20" i="2" s="1"/>
  <c r="EN22" i="2" s="1"/>
  <c r="EM11" i="2"/>
  <c r="EM16" i="2" s="1"/>
  <c r="EM20" i="2" s="1"/>
  <c r="EM22" i="2" s="1"/>
  <c r="EL11" i="2"/>
  <c r="EL16" i="2" s="1"/>
  <c r="EL20" i="2" s="1"/>
  <c r="EL22" i="2" s="1"/>
  <c r="EP9" i="2"/>
  <c r="DZ65" i="2"/>
  <c r="DZ64" i="2"/>
  <c r="DZ59" i="2"/>
  <c r="DZ58" i="2"/>
  <c r="DZ57" i="2"/>
  <c r="DZ55" i="2"/>
  <c r="DZ54" i="2"/>
  <c r="DZ53" i="2"/>
  <c r="DZ50" i="2"/>
  <c r="DZ49" i="2"/>
  <c r="EJ30" i="2"/>
  <c r="EJ29" i="2"/>
  <c r="EJ28" i="2"/>
  <c r="ED30" i="2"/>
  <c r="ED29" i="2"/>
  <c r="ED28" i="2"/>
  <c r="EJ47" i="2"/>
  <c r="EJ46" i="2"/>
  <c r="EJ45" i="2"/>
  <c r="EJ44" i="2"/>
  <c r="EJ43" i="2"/>
  <c r="EJ42" i="2"/>
  <c r="EJ39" i="2"/>
  <c r="EJ38" i="2"/>
  <c r="EJ37" i="2"/>
  <c r="EJ36" i="2"/>
  <c r="EJ21" i="2"/>
  <c r="EJ19" i="2"/>
  <c r="EJ18" i="2"/>
  <c r="EJ17" i="2"/>
  <c r="EJ15" i="2"/>
  <c r="EJ14" i="2"/>
  <c r="EJ13" i="2"/>
  <c r="EJ12" i="2"/>
  <c r="EJ9" i="2"/>
  <c r="EI65" i="2"/>
  <c r="EI64" i="2"/>
  <c r="EI59" i="2"/>
  <c r="EI58" i="2"/>
  <c r="EI57" i="2"/>
  <c r="EI54" i="2"/>
  <c r="EI53" i="2"/>
  <c r="EI50" i="2"/>
  <c r="EI49" i="2"/>
  <c r="EI11" i="2"/>
  <c r="EI16" i="2" s="1"/>
  <c r="EH65" i="2"/>
  <c r="EH64" i="2"/>
  <c r="EH59" i="2"/>
  <c r="EH58" i="2"/>
  <c r="EH57" i="2"/>
  <c r="EH55" i="2"/>
  <c r="EH54" i="2"/>
  <c r="EH53" i="2"/>
  <c r="EH50" i="2"/>
  <c r="EH49" i="2"/>
  <c r="EH11" i="2"/>
  <c r="EH16" i="2" s="1"/>
  <c r="EH20" i="2" s="1"/>
  <c r="EH22" i="2" s="1"/>
  <c r="EG65" i="2"/>
  <c r="EG64" i="2"/>
  <c r="EG59" i="2"/>
  <c r="EG58" i="2"/>
  <c r="EG57" i="2"/>
  <c r="EG55" i="2"/>
  <c r="EG54" i="2"/>
  <c r="EG53" i="2"/>
  <c r="EG50" i="2"/>
  <c r="EG49" i="2"/>
  <c r="EG11" i="2"/>
  <c r="EG16" i="2" s="1"/>
  <c r="EG20" i="2" s="1"/>
  <c r="EG22" i="2" s="1"/>
  <c r="EF65" i="2"/>
  <c r="EF64" i="2"/>
  <c r="EF59" i="2"/>
  <c r="EF58" i="2"/>
  <c r="EF57" i="2"/>
  <c r="EF55" i="2"/>
  <c r="EF54" i="2"/>
  <c r="EF53" i="2"/>
  <c r="EF50" i="2"/>
  <c r="EF11" i="2"/>
  <c r="EF16" i="2" s="1"/>
  <c r="EF20" i="2" s="1"/>
  <c r="EF22" i="2" s="1"/>
  <c r="EC46" i="2"/>
  <c r="EC38" i="2"/>
  <c r="EC65" i="2"/>
  <c r="EC64" i="2"/>
  <c r="EC59" i="2"/>
  <c r="EC58" i="2"/>
  <c r="EC57" i="2"/>
  <c r="EC55" i="2"/>
  <c r="EC54" i="2"/>
  <c r="EC53" i="2"/>
  <c r="EC50" i="2"/>
  <c r="EC49" i="2"/>
  <c r="EC11" i="2"/>
  <c r="EC16" i="2" s="1"/>
  <c r="EC20" i="2" s="1"/>
  <c r="EC22" i="2" s="1"/>
  <c r="EB46" i="2"/>
  <c r="EB38" i="2"/>
  <c r="EB58" i="2"/>
  <c r="EB57" i="2"/>
  <c r="EB55" i="2"/>
  <c r="EB54" i="2"/>
  <c r="EB53" i="2"/>
  <c r="EB50" i="2"/>
  <c r="EB49" i="2"/>
  <c r="EA50" i="2"/>
  <c r="EB19" i="2"/>
  <c r="EB59" i="2" s="1"/>
  <c r="EB65" i="2"/>
  <c r="EB64" i="2"/>
  <c r="ED47" i="2"/>
  <c r="DX47" i="2"/>
  <c r="DR47" i="2"/>
  <c r="DL47" i="2"/>
  <c r="ED39" i="2"/>
  <c r="DX39" i="2"/>
  <c r="DR39" i="2"/>
  <c r="DL39" i="2"/>
  <c r="EA36" i="2"/>
  <c r="EA19" i="2"/>
  <c r="EA59" i="2" s="1"/>
  <c r="DZ44" i="2"/>
  <c r="ED44" i="2" s="1"/>
  <c r="DZ36" i="2"/>
  <c r="ED65" i="2"/>
  <c r="EA65" i="2"/>
  <c r="ED64" i="2"/>
  <c r="EA64" i="2"/>
  <c r="EA58" i="2"/>
  <c r="EA57" i="2"/>
  <c r="EA55" i="2"/>
  <c r="EA54" i="2"/>
  <c r="EA53" i="2"/>
  <c r="EA49" i="2"/>
  <c r="ED45" i="2"/>
  <c r="ED43" i="2"/>
  <c r="ED42" i="2"/>
  <c r="ED37" i="2"/>
  <c r="ED21" i="2"/>
  <c r="ED18" i="2"/>
  <c r="ED17" i="2"/>
  <c r="ED15" i="2"/>
  <c r="ED14" i="2"/>
  <c r="ED13" i="2"/>
  <c r="ED12" i="2"/>
  <c r="EB11" i="2"/>
  <c r="EB16" i="2" s="1"/>
  <c r="EA11" i="2"/>
  <c r="EA16" i="2" s="1"/>
  <c r="DZ11" i="2"/>
  <c r="DZ16" i="2" s="1"/>
  <c r="DZ20" i="2" s="1"/>
  <c r="DZ22" i="2" s="1"/>
  <c r="ED9" i="2"/>
  <c r="DU19" i="2"/>
  <c r="DU59" i="2" s="1"/>
  <c r="DX65" i="2"/>
  <c r="DW65" i="2"/>
  <c r="DV65" i="2"/>
  <c r="DU65" i="2"/>
  <c r="DT65" i="2"/>
  <c r="DX64" i="2"/>
  <c r="DW64" i="2"/>
  <c r="DV64" i="2"/>
  <c r="DU64" i="2"/>
  <c r="DT64" i="2"/>
  <c r="DW59" i="2"/>
  <c r="DV59" i="2"/>
  <c r="DT59" i="2"/>
  <c r="DW58" i="2"/>
  <c r="DV58" i="2"/>
  <c r="DU58" i="2"/>
  <c r="DT58" i="2"/>
  <c r="DW57" i="2"/>
  <c r="DV57" i="2"/>
  <c r="DU57" i="2"/>
  <c r="DT57" i="2"/>
  <c r="DW55" i="2"/>
  <c r="DV55" i="2"/>
  <c r="DU55" i="2"/>
  <c r="DT55" i="2"/>
  <c r="DW54" i="2"/>
  <c r="DV54" i="2"/>
  <c r="DU54" i="2"/>
  <c r="DT54" i="2"/>
  <c r="DW53" i="2"/>
  <c r="DV53" i="2"/>
  <c r="DU53" i="2"/>
  <c r="DT53" i="2"/>
  <c r="DW50" i="2"/>
  <c r="DV50" i="2"/>
  <c r="DU50" i="2"/>
  <c r="DT50" i="2"/>
  <c r="DW49" i="2"/>
  <c r="DV49" i="2"/>
  <c r="DU49" i="2"/>
  <c r="DT49" i="2"/>
  <c r="DX46" i="2"/>
  <c r="DX45" i="2"/>
  <c r="DX44" i="2"/>
  <c r="DX43" i="2"/>
  <c r="DX42" i="2"/>
  <c r="DX38" i="2"/>
  <c r="DX37" i="2"/>
  <c r="DX36" i="2"/>
  <c r="DX21" i="2"/>
  <c r="DX18" i="2"/>
  <c r="DX17" i="2"/>
  <c r="DX15" i="2"/>
  <c r="DX14" i="2"/>
  <c r="DX13" i="2"/>
  <c r="DX12" i="2"/>
  <c r="DW11" i="2"/>
  <c r="DW16" i="2" s="1"/>
  <c r="DW20" i="2" s="1"/>
  <c r="DW22" i="2" s="1"/>
  <c r="DV11" i="2"/>
  <c r="DV16" i="2" s="1"/>
  <c r="DV20" i="2" s="1"/>
  <c r="DV22" i="2" s="1"/>
  <c r="DU11" i="2"/>
  <c r="DU16" i="2" s="1"/>
  <c r="DT11" i="2"/>
  <c r="DX9" i="2"/>
  <c r="DO19" i="2"/>
  <c r="DO59" i="2" s="1"/>
  <c r="DN49" i="2"/>
  <c r="DR65" i="2"/>
  <c r="DQ65" i="2"/>
  <c r="DP65" i="2"/>
  <c r="DO65" i="2"/>
  <c r="DN65" i="2"/>
  <c r="DR64" i="2"/>
  <c r="DQ64" i="2"/>
  <c r="DP64" i="2"/>
  <c r="DO64" i="2"/>
  <c r="DN64" i="2"/>
  <c r="DQ59" i="2"/>
  <c r="DP59" i="2"/>
  <c r="DQ58" i="2"/>
  <c r="DP58" i="2"/>
  <c r="DO58" i="2"/>
  <c r="DN58" i="2"/>
  <c r="DQ57" i="2"/>
  <c r="DP57" i="2"/>
  <c r="DO57" i="2"/>
  <c r="DN57" i="2"/>
  <c r="DQ55" i="2"/>
  <c r="DP55" i="2"/>
  <c r="DO55" i="2"/>
  <c r="DN55" i="2"/>
  <c r="DQ54" i="2"/>
  <c r="DP54" i="2"/>
  <c r="DO54" i="2"/>
  <c r="DN54" i="2"/>
  <c r="DQ53" i="2"/>
  <c r="DP53" i="2"/>
  <c r="DO53" i="2"/>
  <c r="DN53" i="2"/>
  <c r="DQ50" i="2"/>
  <c r="DP50" i="2"/>
  <c r="DO50" i="2"/>
  <c r="DN50" i="2"/>
  <c r="DQ49" i="2"/>
  <c r="DP49" i="2"/>
  <c r="DO49" i="2"/>
  <c r="DR46" i="2"/>
  <c r="DR45" i="2"/>
  <c r="DR44" i="2"/>
  <c r="DR43" i="2"/>
  <c r="DR42" i="2"/>
  <c r="DR38" i="2"/>
  <c r="DR37" i="2"/>
  <c r="DR36" i="2"/>
  <c r="DR21" i="2"/>
  <c r="DR18" i="2"/>
  <c r="DR17" i="2"/>
  <c r="DR15" i="2"/>
  <c r="DR14" i="2"/>
  <c r="DR13" i="2"/>
  <c r="DR12" i="2"/>
  <c r="DQ11" i="2"/>
  <c r="DP11" i="2"/>
  <c r="DP16" i="2" s="1"/>
  <c r="DP20" i="2" s="1"/>
  <c r="DP22" i="2" s="1"/>
  <c r="DO11" i="2"/>
  <c r="DO16" i="2" s="1"/>
  <c r="DN11" i="2"/>
  <c r="DN16" i="2" s="1"/>
  <c r="DR9" i="2"/>
  <c r="DK59" i="2"/>
  <c r="DK58" i="2"/>
  <c r="DK57" i="2"/>
  <c r="DK55" i="2"/>
  <c r="DK54" i="2"/>
  <c r="DK53" i="2"/>
  <c r="DK50" i="2"/>
  <c r="DK49" i="2"/>
  <c r="DL46" i="2"/>
  <c r="DL45" i="2"/>
  <c r="DL44" i="2"/>
  <c r="DL43" i="2"/>
  <c r="DL42" i="2"/>
  <c r="DK11" i="2"/>
  <c r="DK16" i="2" s="1"/>
  <c r="DK20" i="2" s="1"/>
  <c r="DK22" i="2" s="1"/>
  <c r="DJ59" i="2"/>
  <c r="DJ58" i="2"/>
  <c r="DJ57" i="2"/>
  <c r="DJ55" i="2"/>
  <c r="DJ54" i="2"/>
  <c r="DJ53" i="2"/>
  <c r="DJ50" i="2"/>
  <c r="DJ49" i="2"/>
  <c r="DI49" i="2"/>
  <c r="DI50" i="2"/>
  <c r="DI53" i="2"/>
  <c r="DI54" i="2"/>
  <c r="DI55" i="2"/>
  <c r="DI57" i="2"/>
  <c r="DI58" i="2"/>
  <c r="DI59" i="2"/>
  <c r="DJ11" i="2"/>
  <c r="DJ16" i="2" s="1"/>
  <c r="DJ20" i="2" s="1"/>
  <c r="DJ22" i="2" s="1"/>
  <c r="DJ65" i="2"/>
  <c r="DJ64" i="2"/>
  <c r="DI11" i="2"/>
  <c r="DI16" i="2" s="1"/>
  <c r="DI20" i="2" s="1"/>
  <c r="DI22" i="2" s="1"/>
  <c r="DH55" i="2"/>
  <c r="DH19" i="2"/>
  <c r="DH59" i="2" s="1"/>
  <c r="DH57" i="2"/>
  <c r="DH54" i="2"/>
  <c r="EJ65" i="2"/>
  <c r="EJ64" i="2"/>
  <c r="DI64" i="2"/>
  <c r="DK64" i="2"/>
  <c r="DL64" i="2"/>
  <c r="DI65" i="2"/>
  <c r="DK65" i="2"/>
  <c r="DL65" i="2"/>
  <c r="DH65" i="2"/>
  <c r="DH64" i="2"/>
  <c r="DH61" i="2"/>
  <c r="DH50" i="2"/>
  <c r="DH11" i="2"/>
  <c r="ER115" i="4"/>
  <c r="ER114" i="4"/>
  <c r="ER111" i="4"/>
  <c r="ES110" i="4"/>
  <c r="ER110" i="4"/>
  <c r="EO115" i="4"/>
  <c r="EN115" i="4"/>
  <c r="EM115" i="4"/>
  <c r="EL115" i="4"/>
  <c r="EO114" i="4"/>
  <c r="EN114" i="4"/>
  <c r="EM114" i="4"/>
  <c r="EL114" i="4"/>
  <c r="EI115" i="4"/>
  <c r="EH115" i="4"/>
  <c r="EG115" i="4"/>
  <c r="EF115" i="4"/>
  <c r="EI114" i="4"/>
  <c r="EI116" i="4" s="1"/>
  <c r="EH114" i="4"/>
  <c r="EH116" i="4" s="1"/>
  <c r="EG114" i="4"/>
  <c r="EG116" i="4" s="1"/>
  <c r="EF114" i="4"/>
  <c r="EC115" i="4"/>
  <c r="EB115" i="4"/>
  <c r="EA115" i="4"/>
  <c r="DZ115" i="4"/>
  <c r="EC114" i="4"/>
  <c r="EC116" i="4" s="1"/>
  <c r="EB114" i="4"/>
  <c r="EB116" i="4" s="1"/>
  <c r="EA114" i="4"/>
  <c r="EA116" i="4" s="1"/>
  <c r="DZ114" i="4"/>
  <c r="DZ116" i="4" s="1"/>
  <c r="DW115" i="4"/>
  <c r="DV115" i="4"/>
  <c r="DU115" i="4"/>
  <c r="DT115" i="4"/>
  <c r="DW114" i="4"/>
  <c r="DV114" i="4"/>
  <c r="DU114" i="4"/>
  <c r="DT114" i="4"/>
  <c r="DQ114" i="4"/>
  <c r="DP114" i="4"/>
  <c r="DO114" i="4"/>
  <c r="DJ114" i="4"/>
  <c r="DQ115" i="4"/>
  <c r="DQ116" i="4" s="1"/>
  <c r="DP115" i="4"/>
  <c r="DP116" i="4" s="1"/>
  <c r="DO115" i="4"/>
  <c r="DO116" i="4" s="1"/>
  <c r="DN115" i="4"/>
  <c r="DI115" i="4"/>
  <c r="DJ115" i="4"/>
  <c r="DK115" i="4"/>
  <c r="DH115" i="4"/>
  <c r="EO111" i="4"/>
  <c r="EN111" i="4"/>
  <c r="EM111" i="4"/>
  <c r="EL111" i="4"/>
  <c r="EO110" i="4"/>
  <c r="EO112" i="4" s="1"/>
  <c r="EN110" i="4"/>
  <c r="EM110" i="4"/>
  <c r="EL110" i="4"/>
  <c r="EI111" i="4"/>
  <c r="EH111" i="4"/>
  <c r="EG111" i="4"/>
  <c r="EF111" i="4"/>
  <c r="EI110" i="4"/>
  <c r="EH110" i="4"/>
  <c r="EG110" i="4"/>
  <c r="EF110" i="4"/>
  <c r="EF112" i="4" s="1"/>
  <c r="EC111" i="4"/>
  <c r="EB111" i="4"/>
  <c r="EA111" i="4"/>
  <c r="DZ111" i="4"/>
  <c r="EC110" i="4"/>
  <c r="EB110" i="4"/>
  <c r="EA110" i="4"/>
  <c r="DZ110" i="4"/>
  <c r="DW111" i="4"/>
  <c r="DV111" i="4"/>
  <c r="DU111" i="4"/>
  <c r="DT111" i="4"/>
  <c r="DW110" i="4"/>
  <c r="DW112" i="4" s="1"/>
  <c r="DV110" i="4"/>
  <c r="DU110" i="4"/>
  <c r="DT110" i="4"/>
  <c r="DQ111" i="4"/>
  <c r="DP111" i="4"/>
  <c r="DO111" i="4"/>
  <c r="DN111" i="4"/>
  <c r="DQ110" i="4"/>
  <c r="DP110" i="4"/>
  <c r="DO110" i="4"/>
  <c r="DN110" i="4"/>
  <c r="DN112" i="4" s="1"/>
  <c r="DI111" i="4"/>
  <c r="DJ111" i="4"/>
  <c r="DK111" i="4"/>
  <c r="DH111" i="4"/>
  <c r="DI110" i="4"/>
  <c r="DJ110" i="4"/>
  <c r="DK110" i="4"/>
  <c r="DH110" i="4"/>
  <c r="DJ99" i="4"/>
  <c r="DO99" i="4"/>
  <c r="DP99" i="4"/>
  <c r="DQ99" i="4"/>
  <c r="DT99" i="4"/>
  <c r="DU99" i="4"/>
  <c r="DV99" i="4"/>
  <c r="DW99" i="4"/>
  <c r="DZ99" i="4"/>
  <c r="EA99" i="4"/>
  <c r="EB99" i="4"/>
  <c r="EC99" i="4"/>
  <c r="EF99" i="4"/>
  <c r="EG99" i="4"/>
  <c r="EH99" i="4"/>
  <c r="EI99" i="4"/>
  <c r="EL99" i="4"/>
  <c r="EM99" i="4"/>
  <c r="EN99" i="4"/>
  <c r="EO99" i="4"/>
  <c r="ER99" i="4"/>
  <c r="DH100" i="4"/>
  <c r="DI100" i="4"/>
  <c r="DJ100" i="4"/>
  <c r="DK100" i="4"/>
  <c r="DN100" i="4"/>
  <c r="DO100" i="4"/>
  <c r="DP100" i="4"/>
  <c r="DQ100" i="4"/>
  <c r="DT100" i="4"/>
  <c r="DU100" i="4"/>
  <c r="DV100" i="4"/>
  <c r="DW100" i="4"/>
  <c r="DZ100" i="4"/>
  <c r="EA100" i="4"/>
  <c r="EB100" i="4"/>
  <c r="EC100" i="4"/>
  <c r="EF100" i="4"/>
  <c r="EG100" i="4"/>
  <c r="EH100" i="4"/>
  <c r="EI100" i="4"/>
  <c r="EL100" i="4"/>
  <c r="EM100" i="4"/>
  <c r="EN100" i="4"/>
  <c r="EO100" i="4"/>
  <c r="ER100" i="4"/>
  <c r="FP11" i="34" l="1"/>
  <c r="FP56" i="34"/>
  <c r="FP65" i="34"/>
  <c r="FP35" i="34"/>
  <c r="FP54" i="34"/>
  <c r="FP46" i="34"/>
  <c r="FQ54" i="34"/>
  <c r="FQ46" i="34"/>
  <c r="FQ56" i="34"/>
  <c r="FQ65" i="34"/>
  <c r="FQ11" i="34"/>
  <c r="FQ35" i="34"/>
  <c r="FE66" i="34"/>
  <c r="FJ54" i="34"/>
  <c r="FJ46" i="34"/>
  <c r="FK54" i="34"/>
  <c r="FK46" i="34"/>
  <c r="DT116" i="4"/>
  <c r="EF116" i="4"/>
  <c r="ER116" i="4"/>
  <c r="ED38" i="2"/>
  <c r="FK73" i="34"/>
  <c r="FK74" i="34" s="1"/>
  <c r="FK66" i="34"/>
  <c r="FD73" i="34"/>
  <c r="FD74" i="34" s="1"/>
  <c r="FD66" i="34"/>
  <c r="FJ73" i="34"/>
  <c r="FJ66" i="34"/>
  <c r="EX78" i="4"/>
  <c r="EY86" i="2"/>
  <c r="EU78" i="4"/>
  <c r="EY85" i="2"/>
  <c r="EU77" i="4"/>
  <c r="EX77" i="4"/>
  <c r="GD15" i="8"/>
  <c r="N9" i="39"/>
  <c r="AB28" i="7"/>
  <c r="DJ116" i="4"/>
  <c r="EU85" i="2"/>
  <c r="ET89" i="2"/>
  <c r="ET86" i="2"/>
  <c r="ER112" i="4"/>
  <c r="ES122" i="4" s="1"/>
  <c r="EH51" i="2"/>
  <c r="ET85" i="2"/>
  <c r="ER61" i="2"/>
  <c r="E20" i="39" s="1"/>
  <c r="ED46" i="2"/>
  <c r="DW116" i="4"/>
  <c r="EF118" i="4"/>
  <c r="FL24" i="8"/>
  <c r="FK25" i="8"/>
  <c r="GC55" i="2"/>
  <c r="GI55" i="2" s="1"/>
  <c r="FY55" i="2"/>
  <c r="GE55" i="2" s="1"/>
  <c r="FN55" i="2"/>
  <c r="FP55" i="2"/>
  <c r="FV55" i="2" s="1"/>
  <c r="GB55" i="2" s="1"/>
  <c r="GH55" i="2" s="1"/>
  <c r="GN55" i="2" s="1"/>
  <c r="GT55" i="2" s="1"/>
  <c r="GZ55" i="2" s="1"/>
  <c r="HF55" i="2" s="1"/>
  <c r="EB20" i="2"/>
  <c r="EB22" i="2" s="1"/>
  <c r="DZ51" i="2"/>
  <c r="EN51" i="2"/>
  <c r="ET87" i="2" s="1"/>
  <c r="ER52" i="2"/>
  <c r="E12" i="39" s="1"/>
  <c r="EM51" i="2"/>
  <c r="EB51" i="2"/>
  <c r="EL51" i="2"/>
  <c r="ES51" i="2"/>
  <c r="EY87" i="2" s="1"/>
  <c r="EP59" i="2"/>
  <c r="EO51" i="2"/>
  <c r="EU87" i="2" s="1"/>
  <c r="EI20" i="2"/>
  <c r="EI22" i="2" s="1"/>
  <c r="FH55" i="2"/>
  <c r="ER51" i="2"/>
  <c r="EP58" i="2"/>
  <c r="EP54" i="2"/>
  <c r="EP55" i="2"/>
  <c r="EP53" i="2"/>
  <c r="EP57" i="2"/>
  <c r="EP11" i="2"/>
  <c r="EP16" i="2" s="1"/>
  <c r="EP20" i="2" s="1"/>
  <c r="EP22" i="2" s="1"/>
  <c r="EO16" i="2"/>
  <c r="EO20" i="2" s="1"/>
  <c r="EO22" i="2" s="1"/>
  <c r="EP49" i="2"/>
  <c r="EI51" i="2"/>
  <c r="EG51" i="2"/>
  <c r="EF51" i="2"/>
  <c r="EJ11" i="2"/>
  <c r="EJ16" i="2" s="1"/>
  <c r="EJ20" i="2" s="1"/>
  <c r="EJ22" i="2" s="1"/>
  <c r="EC51" i="2"/>
  <c r="DT51" i="2"/>
  <c r="DT74" i="2" s="1"/>
  <c r="DX54" i="2"/>
  <c r="ED54" i="2"/>
  <c r="ED36" i="2"/>
  <c r="DU51" i="2"/>
  <c r="DU74" i="2" s="1"/>
  <c r="EA51" i="2"/>
  <c r="DX19" i="2"/>
  <c r="DV51" i="2"/>
  <c r="DV74" i="2" s="1"/>
  <c r="DW51" i="2"/>
  <c r="DI51" i="2"/>
  <c r="DN51" i="2"/>
  <c r="DV76" i="2"/>
  <c r="DU20" i="2"/>
  <c r="DU22" i="2" s="1"/>
  <c r="ED19" i="2"/>
  <c r="DO20" i="2"/>
  <c r="DO22" i="2" s="1"/>
  <c r="ED50" i="2"/>
  <c r="ED55" i="2"/>
  <c r="EA20" i="2"/>
  <c r="EA22" i="2" s="1"/>
  <c r="ED58" i="2"/>
  <c r="DX58" i="2"/>
  <c r="DX55" i="2"/>
  <c r="DL50" i="2"/>
  <c r="ED57" i="2"/>
  <c r="DO51" i="2"/>
  <c r="ED53" i="2"/>
  <c r="ED49" i="2"/>
  <c r="ED11" i="2"/>
  <c r="ED59" i="2"/>
  <c r="DX50" i="2"/>
  <c r="DW76" i="2"/>
  <c r="DW77" i="2"/>
  <c r="DX57" i="2"/>
  <c r="DV77" i="2"/>
  <c r="DX53" i="2"/>
  <c r="DU76" i="2"/>
  <c r="DX11" i="2"/>
  <c r="DX16" i="2" s="1"/>
  <c r="DX59" i="2"/>
  <c r="DT16" i="2"/>
  <c r="DT20" i="2" s="1"/>
  <c r="DT22" i="2" s="1"/>
  <c r="DT77" i="2"/>
  <c r="DU77" i="2"/>
  <c r="DX49" i="2"/>
  <c r="DT76" i="2"/>
  <c r="DJ51" i="2"/>
  <c r="DR54" i="2"/>
  <c r="DP51" i="2"/>
  <c r="DQ51" i="2"/>
  <c r="DK51" i="2"/>
  <c r="DR58" i="2"/>
  <c r="DR50" i="2"/>
  <c r="DR55" i="2"/>
  <c r="DR57" i="2"/>
  <c r="DR53" i="2"/>
  <c r="DN20" i="2"/>
  <c r="DN22" i="2" s="1"/>
  <c r="DR11" i="2"/>
  <c r="DR16" i="2" s="1"/>
  <c r="DR19" i="2"/>
  <c r="DN59" i="2"/>
  <c r="DR59" i="2" s="1"/>
  <c r="DQ16" i="2"/>
  <c r="DQ20" i="2" s="1"/>
  <c r="DQ22" i="2" s="1"/>
  <c r="DR49" i="2"/>
  <c r="DW118" i="4"/>
  <c r="EL116" i="4"/>
  <c r="DK112" i="4"/>
  <c r="DO122" i="4" s="1"/>
  <c r="DV116" i="4"/>
  <c r="EM116" i="4"/>
  <c r="EH112" i="4"/>
  <c r="EN116" i="4"/>
  <c r="DU116" i="4"/>
  <c r="EO116" i="4"/>
  <c r="EO118" i="4" s="1"/>
  <c r="DJ112" i="4"/>
  <c r="DV112" i="4"/>
  <c r="DZ122" i="4" s="1"/>
  <c r="EB112" i="4"/>
  <c r="EN112" i="4"/>
  <c r="ER122" i="4" s="1"/>
  <c r="EA112" i="4"/>
  <c r="DI112" i="4"/>
  <c r="EC112" i="4"/>
  <c r="EG122" i="4" s="1"/>
  <c r="DT112" i="4"/>
  <c r="EL112" i="4"/>
  <c r="DO112" i="4"/>
  <c r="DU112" i="4"/>
  <c r="EG112" i="4"/>
  <c r="EM112" i="4"/>
  <c r="DP112" i="4"/>
  <c r="DQ112" i="4"/>
  <c r="EI112" i="4"/>
  <c r="DH112" i="4"/>
  <c r="DZ112" i="4"/>
  <c r="FJ74" i="34" l="1"/>
  <c r="FQ73" i="34"/>
  <c r="FQ74" i="34" s="1"/>
  <c r="FQ66" i="34"/>
  <c r="FQ57" i="34"/>
  <c r="FQ58" i="34"/>
  <c r="FP58" i="34"/>
  <c r="FP57" i="34"/>
  <c r="FP66" i="34"/>
  <c r="FP73" i="34"/>
  <c r="FP74" i="34" s="1"/>
  <c r="ER118" i="4"/>
  <c r="GE15" i="8"/>
  <c r="GN15" i="8"/>
  <c r="J9" i="39"/>
  <c r="E11" i="39"/>
  <c r="E25" i="39" s="1"/>
  <c r="J25" i="39" s="1"/>
  <c r="O29" i="38"/>
  <c r="Q29" i="38" s="1"/>
  <c r="O23" i="38"/>
  <c r="Q23" i="38" s="1"/>
  <c r="O17" i="38"/>
  <c r="Q17" i="38" s="1"/>
  <c r="O35" i="38"/>
  <c r="Q35" i="38" s="1"/>
  <c r="ER56" i="2"/>
  <c r="ER60" i="2" s="1"/>
  <c r="ER62" i="2" s="1"/>
  <c r="FM24" i="8"/>
  <c r="FL25" i="8"/>
  <c r="FT55" i="2"/>
  <c r="GO55" i="2"/>
  <c r="GF55" i="2"/>
  <c r="GK55" i="2"/>
  <c r="GQ55" i="2" s="1"/>
  <c r="GW55" i="2" s="1"/>
  <c r="FZ55" i="2"/>
  <c r="DX20" i="2"/>
  <c r="DX22" i="2" s="1"/>
  <c r="DW74" i="2"/>
  <c r="EP10" i="2"/>
  <c r="EP51" i="2"/>
  <c r="EJ10" i="2"/>
  <c r="ED51" i="2"/>
  <c r="DR51" i="2"/>
  <c r="ED16" i="2"/>
  <c r="ED20" i="2" s="1"/>
  <c r="ED22" i="2" s="1"/>
  <c r="ED10" i="2"/>
  <c r="DX51" i="2"/>
  <c r="DX74" i="2" s="1"/>
  <c r="DX10" i="2"/>
  <c r="DX77" i="2"/>
  <c r="DX76" i="2"/>
  <c r="DR20" i="2"/>
  <c r="DR22" i="2" s="1"/>
  <c r="DR10" i="2"/>
  <c r="DW122" i="4"/>
  <c r="DV118" i="4"/>
  <c r="EN122" i="4"/>
  <c r="EM118" i="4"/>
  <c r="EB118" i="4"/>
  <c r="EC122" i="4"/>
  <c r="DJ118" i="4"/>
  <c r="DK122" i="4"/>
  <c r="EL118" i="4"/>
  <c r="EM122" i="4"/>
  <c r="DZ118" i="4"/>
  <c r="EA122" i="4"/>
  <c r="DJ122" i="4"/>
  <c r="DN122" i="4"/>
  <c r="DO118" i="4"/>
  <c r="DP122" i="4"/>
  <c r="EB122" i="4"/>
  <c r="EA118" i="4"/>
  <c r="DQ118" i="4"/>
  <c r="DT122" i="4"/>
  <c r="DQ122" i="4"/>
  <c r="DP118" i="4"/>
  <c r="EH122" i="4"/>
  <c r="EG118" i="4"/>
  <c r="DV122" i="4"/>
  <c r="DU118" i="4"/>
  <c r="EI122" i="4"/>
  <c r="EH118" i="4"/>
  <c r="DU122" i="4"/>
  <c r="DT118" i="4"/>
  <c r="EC118" i="4"/>
  <c r="EF122" i="4"/>
  <c r="EI118" i="4"/>
  <c r="EL122" i="4"/>
  <c r="EO122" i="4"/>
  <c r="EN118" i="4"/>
  <c r="GH15" i="8" l="1"/>
  <c r="GO15" i="8"/>
  <c r="N25" i="39"/>
  <c r="ER67" i="2"/>
  <c r="ER70" i="2"/>
  <c r="I116" i="37" s="1"/>
  <c r="ER68" i="2"/>
  <c r="I64" i="37" s="1"/>
  <c r="FM25" i="8"/>
  <c r="FP24" i="8"/>
  <c r="GL55" i="2"/>
  <c r="HC55" i="2"/>
  <c r="HI55" i="2" s="1"/>
  <c r="GR55" i="2"/>
  <c r="GU55" i="2"/>
  <c r="HA55" i="2" s="1"/>
  <c r="HG55" i="2" s="1"/>
  <c r="HJ55" i="2" s="1"/>
  <c r="EP50" i="2"/>
  <c r="E15" i="39" l="1"/>
  <c r="EX90" i="2"/>
  <c r="GI15" i="8"/>
  <c r="GP15" i="8"/>
  <c r="E23" i="39"/>
  <c r="ER78" i="2"/>
  <c r="FQ24" i="8"/>
  <c r="FP25" i="8"/>
  <c r="HD55" i="2"/>
  <c r="GX55" i="2"/>
  <c r="GJ15" i="8" l="1"/>
  <c r="GQ15" i="8"/>
  <c r="FR24" i="8"/>
  <c r="FQ25" i="8"/>
  <c r="GT15" i="8" l="1"/>
  <c r="FS24" i="8"/>
  <c r="FR25" i="8"/>
  <c r="GU15" i="8" l="1"/>
  <c r="FS25" i="8"/>
  <c r="FV24" i="8"/>
  <c r="ES72" i="4"/>
  <c r="ES70" i="4"/>
  <c r="ER72" i="4"/>
  <c r="ER70" i="4"/>
  <c r="ES67" i="4" s="1"/>
  <c r="EO72" i="4"/>
  <c r="EP72" i="4" s="1"/>
  <c r="EN72" i="4"/>
  <c r="EM72" i="4"/>
  <c r="EL72" i="4"/>
  <c r="EO70" i="4"/>
  <c r="ER67" i="4" s="1"/>
  <c r="EV67" i="4" s="1"/>
  <c r="EN70" i="4"/>
  <c r="EO67" i="4" s="1"/>
  <c r="EM70" i="4"/>
  <c r="EN67" i="4" s="1"/>
  <c r="EL70" i="4"/>
  <c r="EM67" i="4" s="1"/>
  <c r="EP69" i="4"/>
  <c r="EI72" i="4"/>
  <c r="EJ72" i="4" s="1"/>
  <c r="EH72" i="4"/>
  <c r="EG72" i="4"/>
  <c r="EF72" i="4"/>
  <c r="EI70" i="4"/>
  <c r="EL67" i="4" s="1"/>
  <c r="EP67" i="4" s="1"/>
  <c r="EH70" i="4"/>
  <c r="EI67" i="4" s="1"/>
  <c r="EG70" i="4"/>
  <c r="EH67" i="4" s="1"/>
  <c r="EF70" i="4"/>
  <c r="EG67" i="4" s="1"/>
  <c r="EJ69" i="4"/>
  <c r="EC72" i="4"/>
  <c r="ED72" i="4" s="1"/>
  <c r="EB72" i="4"/>
  <c r="EA72" i="4"/>
  <c r="DZ72" i="4"/>
  <c r="EC70" i="4"/>
  <c r="ED70" i="4" s="1"/>
  <c r="EB70" i="4"/>
  <c r="EC67" i="4" s="1"/>
  <c r="EA70" i="4"/>
  <c r="EB67" i="4" s="1"/>
  <c r="DZ70" i="4"/>
  <c r="EA67" i="4" s="1"/>
  <c r="ED69" i="4"/>
  <c r="DW72" i="4"/>
  <c r="DX72" i="4" s="1"/>
  <c r="DV72" i="4"/>
  <c r="DU72" i="4"/>
  <c r="DT72" i="4"/>
  <c r="DW70" i="4"/>
  <c r="DV70" i="4"/>
  <c r="DW67" i="4" s="1"/>
  <c r="DU70" i="4"/>
  <c r="DV67" i="4" s="1"/>
  <c r="DT70" i="4"/>
  <c r="DU67" i="4" s="1"/>
  <c r="DX69" i="4"/>
  <c r="DO72" i="4"/>
  <c r="DP72" i="4"/>
  <c r="DQ72" i="4"/>
  <c r="DR72" i="4" s="1"/>
  <c r="DN72" i="4"/>
  <c r="DI72" i="4"/>
  <c r="DJ72" i="4"/>
  <c r="DK72" i="4"/>
  <c r="DL72" i="4" s="1"/>
  <c r="DH72" i="4"/>
  <c r="DO70" i="4"/>
  <c r="DP67" i="4" s="1"/>
  <c r="DP70" i="4"/>
  <c r="DQ67" i="4" s="1"/>
  <c r="DQ70" i="4"/>
  <c r="DT67" i="4" s="1"/>
  <c r="DX67" i="4" s="1"/>
  <c r="DN70" i="4"/>
  <c r="DI70" i="4"/>
  <c r="DJ70" i="4"/>
  <c r="DK70" i="4"/>
  <c r="DH70" i="4"/>
  <c r="DR69" i="4"/>
  <c r="ET67" i="4" l="1"/>
  <c r="ET68" i="4" s="1"/>
  <c r="GV15" i="8"/>
  <c r="FW24" i="8"/>
  <c r="FV25" i="8"/>
  <c r="EG68" i="4"/>
  <c r="EH68" i="4"/>
  <c r="DV68" i="4"/>
  <c r="DP71" i="4"/>
  <c r="DN71" i="4"/>
  <c r="EN68" i="4"/>
  <c r="EH71" i="4"/>
  <c r="EN71" i="4"/>
  <c r="DJ71" i="4"/>
  <c r="DI71" i="4"/>
  <c r="EM68" i="4"/>
  <c r="DU68" i="4"/>
  <c r="FA74" i="4"/>
  <c r="FD74" i="4" s="1"/>
  <c r="EB68" i="4"/>
  <c r="EL71" i="4"/>
  <c r="EG71" i="4"/>
  <c r="EM71" i="4"/>
  <c r="DO71" i="4"/>
  <c r="DW68" i="4"/>
  <c r="ER68" i="4"/>
  <c r="DK71" i="4"/>
  <c r="EI68" i="4"/>
  <c r="EB71" i="4"/>
  <c r="ES71" i="4"/>
  <c r="DT71" i="4"/>
  <c r="DV71" i="4"/>
  <c r="DZ67" i="4"/>
  <c r="ED67" i="4" s="1"/>
  <c r="DQ71" i="4"/>
  <c r="ER71" i="4"/>
  <c r="DU71" i="4"/>
  <c r="EA71" i="4"/>
  <c r="ES68" i="4"/>
  <c r="DT68" i="4"/>
  <c r="EF67" i="4"/>
  <c r="EF71" i="4"/>
  <c r="EO68" i="4"/>
  <c r="EP70" i="4"/>
  <c r="EP71" i="4" s="1"/>
  <c r="EL68" i="4"/>
  <c r="EO71" i="4"/>
  <c r="EJ70" i="4"/>
  <c r="EJ71" i="4" s="1"/>
  <c r="EI71" i="4"/>
  <c r="EA68" i="4"/>
  <c r="ED71" i="4"/>
  <c r="EC71" i="4"/>
  <c r="EC68" i="4"/>
  <c r="DZ71" i="4"/>
  <c r="DX70" i="4"/>
  <c r="DX71" i="4" s="1"/>
  <c r="DW71" i="4"/>
  <c r="DQ68" i="4"/>
  <c r="DP68" i="4"/>
  <c r="DR70" i="4"/>
  <c r="DR71" i="4" s="1"/>
  <c r="GW15" i="8" l="1"/>
  <c r="EU68" i="4"/>
  <c r="FW25" i="8"/>
  <c r="FX24" i="8"/>
  <c r="FB74" i="4"/>
  <c r="EP68" i="4"/>
  <c r="DX68" i="4"/>
  <c r="EU71" i="4"/>
  <c r="EV71" i="4" s="1"/>
  <c r="FE74" i="4"/>
  <c r="FF74" i="4" s="1"/>
  <c r="FG74" i="4" s="1"/>
  <c r="FJ74" i="4" s="1"/>
  <c r="DZ68" i="4"/>
  <c r="ED68" i="4" s="1"/>
  <c r="EF68" i="4"/>
  <c r="EJ68" i="4" s="1"/>
  <c r="EJ67" i="4"/>
  <c r="GZ15" i="8" l="1"/>
  <c r="FY24" i="8"/>
  <c r="FX25" i="8"/>
  <c r="FK74" i="4"/>
  <c r="FL74" i="4" s="1"/>
  <c r="FM74" i="4" s="1"/>
  <c r="FP74" i="4" s="1"/>
  <c r="FH74" i="4"/>
  <c r="HA15" i="8" l="1"/>
  <c r="FY25" i="8"/>
  <c r="GB24" i="8"/>
  <c r="FN74" i="4"/>
  <c r="FQ74" i="4"/>
  <c r="FR74" i="4" s="1"/>
  <c r="FS74" i="4" s="1"/>
  <c r="FV74" i="4" s="1"/>
  <c r="HB15" i="8" l="1"/>
  <c r="GC24" i="8"/>
  <c r="GB25" i="8"/>
  <c r="FT74" i="4"/>
  <c r="FW74" i="4"/>
  <c r="FX74" i="4" s="1"/>
  <c r="FY74" i="4" s="1"/>
  <c r="GB74" i="4" s="1"/>
  <c r="HC15" i="8" l="1"/>
  <c r="HF15" i="8" s="1"/>
  <c r="HG15" i="8" s="1"/>
  <c r="HH15" i="8" s="1"/>
  <c r="HI15" i="8" s="1"/>
  <c r="GD24" i="8"/>
  <c r="GC25" i="8"/>
  <c r="FZ74" i="4"/>
  <c r="GC74" i="4"/>
  <c r="GD74" i="4" s="1"/>
  <c r="GE74" i="4" s="1"/>
  <c r="GH74" i="4" s="1"/>
  <c r="GE24" i="8" l="1"/>
  <c r="GD25" i="8"/>
  <c r="GI74" i="4"/>
  <c r="GJ74" i="4" s="1"/>
  <c r="GK74" i="4" s="1"/>
  <c r="GN74" i="4" s="1"/>
  <c r="GF74" i="4"/>
  <c r="GE25" i="8" l="1"/>
  <c r="GH24" i="8"/>
  <c r="GL74" i="4"/>
  <c r="GO74" i="4"/>
  <c r="GP74" i="4" s="1"/>
  <c r="GQ74" i="4" s="1"/>
  <c r="GT74" i="4" s="1"/>
  <c r="GT57" i="5" l="1"/>
  <c r="GT69" i="4" s="1"/>
  <c r="GI24" i="8"/>
  <c r="GH25" i="8"/>
  <c r="GR74" i="4"/>
  <c r="GU74" i="4"/>
  <c r="GV74" i="4" s="1"/>
  <c r="GW74" i="4" s="1"/>
  <c r="GZ74" i="4" s="1"/>
  <c r="GU57" i="5" l="1"/>
  <c r="GU69" i="4" s="1"/>
  <c r="GJ24" i="8"/>
  <c r="GI25" i="8"/>
  <c r="GX74" i="4"/>
  <c r="HA74" i="4"/>
  <c r="HB74" i="4" s="1"/>
  <c r="HC74" i="4" s="1"/>
  <c r="HF74" i="4" s="1"/>
  <c r="HG74" i="4" l="1"/>
  <c r="HF57" i="5"/>
  <c r="GV57" i="5"/>
  <c r="GV69" i="4" s="1"/>
  <c r="GK24" i="8"/>
  <c r="GJ25" i="8"/>
  <c r="HD74" i="4"/>
  <c r="ES68" i="8"/>
  <c r="ET65" i="8" s="1"/>
  <c r="ET66" i="8" s="1"/>
  <c r="ES25" i="8"/>
  <c r="ER25" i="8"/>
  <c r="EN25" i="8"/>
  <c r="EM25" i="8"/>
  <c r="EL25" i="8"/>
  <c r="EO24" i="8"/>
  <c r="EO25" i="8" s="1"/>
  <c r="FJ11" i="8"/>
  <c r="FK11" i="8" s="1"/>
  <c r="FL11" i="8" s="1"/>
  <c r="FM11" i="8" s="1"/>
  <c r="FP11" i="8" s="1"/>
  <c r="FQ11" i="8" s="1"/>
  <c r="FR11" i="8" s="1"/>
  <c r="FS11" i="8" s="1"/>
  <c r="FV11" i="8" s="1"/>
  <c r="FW11" i="8" s="1"/>
  <c r="FX11" i="8" s="1"/>
  <c r="FY11" i="8" s="1"/>
  <c r="GB11" i="8" s="1"/>
  <c r="GC11" i="8" s="1"/>
  <c r="GD11" i="8" s="1"/>
  <c r="GE11" i="8" s="1"/>
  <c r="GH11" i="8" s="1"/>
  <c r="GI11" i="8" s="1"/>
  <c r="GJ11" i="8" s="1"/>
  <c r="GK11" i="8" s="1"/>
  <c r="GN11" i="8" s="1"/>
  <c r="GO11" i="8" s="1"/>
  <c r="GP11" i="8" s="1"/>
  <c r="GQ11" i="8" s="1"/>
  <c r="GT11" i="8" s="1"/>
  <c r="GU11" i="8" s="1"/>
  <c r="GV11" i="8" s="1"/>
  <c r="GW11" i="8" s="1"/>
  <c r="GZ11" i="8" s="1"/>
  <c r="HA11" i="8" s="1"/>
  <c r="HB11" i="8" s="1"/>
  <c r="HC11" i="8" s="1"/>
  <c r="HF11" i="8" s="1"/>
  <c r="HG11" i="8" s="1"/>
  <c r="HH11" i="8" s="1"/>
  <c r="HI11" i="8" s="1"/>
  <c r="ER21" i="8"/>
  <c r="ES20" i="8"/>
  <c r="ET20" i="8" s="1"/>
  <c r="ER17" i="8"/>
  <c r="ES16" i="8"/>
  <c r="ET16" i="8" s="1"/>
  <c r="EL21" i="8"/>
  <c r="EM20" i="8"/>
  <c r="EN20" i="8" s="1"/>
  <c r="EP19" i="8"/>
  <c r="EL17" i="8"/>
  <c r="EM16" i="8"/>
  <c r="EN16" i="8" s="1"/>
  <c r="EP15" i="8"/>
  <c r="EH25" i="8"/>
  <c r="EG25" i="8"/>
  <c r="EF25" i="8"/>
  <c r="EI24" i="8"/>
  <c r="EI25" i="8" s="1"/>
  <c r="EF21" i="8"/>
  <c r="EG20" i="8"/>
  <c r="EH20" i="8" s="1"/>
  <c r="EJ19" i="8"/>
  <c r="EF17" i="8"/>
  <c r="EG16" i="8"/>
  <c r="EH16" i="8" s="1"/>
  <c r="EJ15" i="8"/>
  <c r="EB25" i="8"/>
  <c r="DZ25" i="8"/>
  <c r="EC24" i="8"/>
  <c r="EC25" i="8" s="1"/>
  <c r="EA25" i="8"/>
  <c r="DZ21" i="8"/>
  <c r="EA20" i="8"/>
  <c r="EB20" i="8" s="1"/>
  <c r="ED19" i="8"/>
  <c r="DZ17" i="8"/>
  <c r="EA16" i="8"/>
  <c r="EB16" i="8" s="1"/>
  <c r="ED15" i="8"/>
  <c r="DX19" i="8"/>
  <c r="DX15" i="8"/>
  <c r="DW24" i="8"/>
  <c r="DW25" i="8" s="1"/>
  <c r="DV25" i="8"/>
  <c r="DU24" i="8"/>
  <c r="DU25" i="8" s="1"/>
  <c r="DU20" i="8"/>
  <c r="DU21" i="8" s="1"/>
  <c r="DU16" i="8"/>
  <c r="DU17" i="8" s="1"/>
  <c r="DT43" i="8"/>
  <c r="DT42" i="8"/>
  <c r="DT39" i="8"/>
  <c r="DT25" i="8"/>
  <c r="DT21" i="8"/>
  <c r="DT17" i="8"/>
  <c r="DN25" i="8"/>
  <c r="DN21" i="8"/>
  <c r="DN17" i="8"/>
  <c r="DQ43" i="8"/>
  <c r="DP43" i="8"/>
  <c r="DO43" i="8"/>
  <c r="DQ42" i="8"/>
  <c r="DP42" i="8"/>
  <c r="DO42" i="8"/>
  <c r="DN42" i="8"/>
  <c r="DQ39" i="8"/>
  <c r="DP39" i="8"/>
  <c r="DO39" i="8"/>
  <c r="DN39" i="8"/>
  <c r="DO24" i="8"/>
  <c r="DP24" i="8" s="1"/>
  <c r="DQ24" i="8" s="1"/>
  <c r="DQ25" i="8" s="1"/>
  <c r="DR23" i="8"/>
  <c r="DO20" i="8"/>
  <c r="DP20" i="8" s="1"/>
  <c r="DQ20" i="8" s="1"/>
  <c r="DQ21" i="8" s="1"/>
  <c r="DR19" i="8"/>
  <c r="DO16" i="8"/>
  <c r="DP16" i="8" s="1"/>
  <c r="DQ16" i="8" s="1"/>
  <c r="DQ17" i="8" s="1"/>
  <c r="DR15" i="8"/>
  <c r="DI39" i="8"/>
  <c r="DJ39" i="8"/>
  <c r="DK39" i="8"/>
  <c r="DI42" i="8"/>
  <c r="DJ42" i="8"/>
  <c r="DJ43" i="8"/>
  <c r="DH39" i="8"/>
  <c r="DL23" i="8"/>
  <c r="DL19" i="8"/>
  <c r="DL15" i="8"/>
  <c r="DI16" i="8"/>
  <c r="DJ16" i="8" s="1"/>
  <c r="DK16" i="8" s="1"/>
  <c r="DI24" i="8"/>
  <c r="DJ24" i="8" s="1"/>
  <c r="DK24" i="8" s="1"/>
  <c r="DI20" i="8"/>
  <c r="DJ20" i="8" s="1"/>
  <c r="DK20" i="8" s="1"/>
  <c r="DK42" i="8"/>
  <c r="DH42" i="8"/>
  <c r="HF69" i="4" l="1"/>
  <c r="HH74" i="4"/>
  <c r="HG57" i="5"/>
  <c r="HG69" i="4" s="1"/>
  <c r="ET21" i="8"/>
  <c r="EU20" i="8"/>
  <c r="EU21" i="8" s="1"/>
  <c r="ET17" i="8"/>
  <c r="EU16" i="8"/>
  <c r="EU17" i="8" s="1"/>
  <c r="GW57" i="5"/>
  <c r="GW69" i="4" s="1"/>
  <c r="GX69" i="4" s="1"/>
  <c r="ES21" i="8"/>
  <c r="ES17" i="8"/>
  <c r="GK25" i="8"/>
  <c r="GN24" i="8"/>
  <c r="DO41" i="8"/>
  <c r="DO40" i="8" s="1"/>
  <c r="DP41" i="8"/>
  <c r="DP40" i="8" s="1"/>
  <c r="DQ41" i="8"/>
  <c r="DQ40" i="8" s="1"/>
  <c r="EO20" i="8"/>
  <c r="EO21" i="8" s="1"/>
  <c r="EN21" i="8"/>
  <c r="EO16" i="8"/>
  <c r="EO17" i="8" s="1"/>
  <c r="EN17" i="8"/>
  <c r="EM17" i="8"/>
  <c r="EM21" i="8"/>
  <c r="DJ41" i="8"/>
  <c r="DJ40" i="8" s="1"/>
  <c r="DV16" i="8"/>
  <c r="DV17" i="8" s="1"/>
  <c r="EI20" i="8"/>
  <c r="EI21" i="8" s="1"/>
  <c r="EH21" i="8"/>
  <c r="EI16" i="8"/>
  <c r="EI17" i="8" s="1"/>
  <c r="EH17" i="8"/>
  <c r="EG17" i="8"/>
  <c r="EG21" i="8"/>
  <c r="EB21" i="8"/>
  <c r="EC20" i="8"/>
  <c r="EC21" i="8" s="1"/>
  <c r="EB17" i="8"/>
  <c r="EC16" i="8"/>
  <c r="EC17" i="8" s="1"/>
  <c r="EA17" i="8"/>
  <c r="EA21" i="8"/>
  <c r="DT45" i="8"/>
  <c r="DT47" i="8" s="1"/>
  <c r="DO25" i="8"/>
  <c r="DQ45" i="8"/>
  <c r="DN45" i="8"/>
  <c r="DO21" i="8"/>
  <c r="DO17" i="8"/>
  <c r="DP17" i="8"/>
  <c r="DV20" i="8"/>
  <c r="DV21" i="8" s="1"/>
  <c r="DT41" i="8"/>
  <c r="DT40" i="8" s="1"/>
  <c r="DP21" i="8"/>
  <c r="DP25" i="8"/>
  <c r="E6" i="36"/>
  <c r="ES35" i="5"/>
  <c r="ES9" i="8"/>
  <c r="ES129" i="34"/>
  <c r="DV106" i="34"/>
  <c r="ES20" i="5"/>
  <c r="ES26" i="5"/>
  <c r="ET26" i="5" s="1"/>
  <c r="EU26" i="5" s="1"/>
  <c r="ES22" i="5"/>
  <c r="ES24" i="5"/>
  <c r="ES23" i="5"/>
  <c r="ES34" i="5"/>
  <c r="ES33" i="5"/>
  <c r="ES32" i="5"/>
  <c r="ES31" i="5"/>
  <c r="ES30" i="5"/>
  <c r="ES29" i="5"/>
  <c r="ES58" i="4"/>
  <c r="ES60" i="8"/>
  <c r="ES62" i="8"/>
  <c r="ET58" i="8" s="1"/>
  <c r="ES55" i="8"/>
  <c r="ET51" i="8" s="1"/>
  <c r="HI74" i="4" l="1"/>
  <c r="HI57" i="5" s="1"/>
  <c r="HI69" i="4" s="1"/>
  <c r="HH57" i="5"/>
  <c r="HH69" i="4" s="1"/>
  <c r="HJ69" i="4" s="1"/>
  <c r="E26" i="36" a="1"/>
  <c r="E26" i="36" s="1"/>
  <c r="E17" i="36" a="1"/>
  <c r="E17" i="36" s="1"/>
  <c r="HJ74" i="4"/>
  <c r="ET30" i="5"/>
  <c r="EU30" i="5"/>
  <c r="ET34" i="5"/>
  <c r="EU34" i="5" s="1"/>
  <c r="ET31" i="5"/>
  <c r="EU31" i="5"/>
  <c r="ET35" i="5"/>
  <c r="EU35" i="5" s="1"/>
  <c r="ET32" i="5"/>
  <c r="EU32" i="5"/>
  <c r="ET29" i="5"/>
  <c r="EU29" i="5" s="1"/>
  <c r="ET33" i="5"/>
  <c r="EU33" i="5"/>
  <c r="ES14" i="5"/>
  <c r="ET23" i="5"/>
  <c r="EU23" i="5" s="1"/>
  <c r="ET24" i="5"/>
  <c r="ET20" i="5"/>
  <c r="EU20" i="5" s="1"/>
  <c r="ET22" i="5"/>
  <c r="EU22" i="5" s="1"/>
  <c r="DV133" i="34"/>
  <c r="DV111" i="34"/>
  <c r="DV110" i="34"/>
  <c r="DV109" i="34"/>
  <c r="DV108" i="34"/>
  <c r="B67" i="36"/>
  <c r="B65" i="36"/>
  <c r="B63" i="36"/>
  <c r="GO24" i="8"/>
  <c r="GN25" i="8"/>
  <c r="EX16" i="8"/>
  <c r="EY16" i="8" s="1"/>
  <c r="DW16" i="8"/>
  <c r="DW17" i="8" s="1"/>
  <c r="DP45" i="8"/>
  <c r="DO45" i="8"/>
  <c r="DW20" i="8"/>
  <c r="DW21" i="8" s="1"/>
  <c r="F6" i="36"/>
  <c r="ES57" i="5"/>
  <c r="ES42" i="5"/>
  <c r="ET42" i="5" s="1"/>
  <c r="EU42" i="5" s="1"/>
  <c r="ES39" i="5"/>
  <c r="ES13" i="5"/>
  <c r="ES12" i="5"/>
  <c r="ET12" i="5" s="1"/>
  <c r="ES11" i="5"/>
  <c r="ET11" i="5" s="1"/>
  <c r="EU11" i="5" s="1"/>
  <c r="ES9" i="5"/>
  <c r="ET9" i="5" s="1"/>
  <c r="EU9" i="5" s="1"/>
  <c r="ES10" i="8"/>
  <c r="ES48" i="8"/>
  <c r="F17" i="36" l="1" a="1"/>
  <c r="F17" i="36" s="1"/>
  <c r="F26" i="36" a="1"/>
  <c r="F26" i="36" s="1"/>
  <c r="HJ57" i="5"/>
  <c r="EY17" i="8"/>
  <c r="EZ16" i="8"/>
  <c r="EZ17" i="8" s="1"/>
  <c r="ET57" i="5"/>
  <c r="EU57" i="5" s="1"/>
  <c r="EU69" i="4" s="1"/>
  <c r="EU33" i="2"/>
  <c r="EU54" i="8"/>
  <c r="ET61" i="8"/>
  <c r="ET59" i="8" s="1"/>
  <c r="EU12" i="5"/>
  <c r="EV23" i="5"/>
  <c r="EV22" i="5"/>
  <c r="ET14" i="5"/>
  <c r="EV20" i="5"/>
  <c r="EU24" i="5"/>
  <c r="EV24" i="5" s="1"/>
  <c r="ES35" i="2"/>
  <c r="ET13" i="5"/>
  <c r="EU13" i="5" s="1"/>
  <c r="EU35" i="2" s="1"/>
  <c r="ES53" i="8"/>
  <c r="ET39" i="5"/>
  <c r="ET54" i="8"/>
  <c r="ET56" i="8" s="1"/>
  <c r="ET33" i="2"/>
  <c r="B68" i="36"/>
  <c r="B66" i="36"/>
  <c r="B64" i="36"/>
  <c r="ES54" i="8"/>
  <c r="ES33" i="2"/>
  <c r="EX17" i="8"/>
  <c r="ES61" i="8"/>
  <c r="ES34" i="2"/>
  <c r="EX20" i="8"/>
  <c r="EY20" i="8" s="1"/>
  <c r="GP24" i="8"/>
  <c r="GO25" i="8"/>
  <c r="G6" i="36"/>
  <c r="ES87" i="4"/>
  <c r="FA87" i="4" s="1"/>
  <c r="ES86" i="4"/>
  <c r="FA86" i="4" s="1"/>
  <c r="ES120" i="4"/>
  <c r="ES121" i="4" s="1"/>
  <c r="ES81" i="4"/>
  <c r="ES90" i="4"/>
  <c r="ES89" i="4"/>
  <c r="DR45" i="8"/>
  <c r="G26" i="36" l="1" a="1"/>
  <c r="G26" i="36" s="1"/>
  <c r="G17" i="36" a="1"/>
  <c r="G17" i="36" s="1"/>
  <c r="EY21" i="8"/>
  <c r="EZ20" i="8"/>
  <c r="EZ21" i="8" s="1"/>
  <c r="ET63" i="8"/>
  <c r="ET53" i="8"/>
  <c r="ET52" i="8" s="1"/>
  <c r="EU39" i="5"/>
  <c r="EU56" i="8"/>
  <c r="EU34" i="2"/>
  <c r="EU61" i="8"/>
  <c r="H6" i="36"/>
  <c r="GQ24" i="8"/>
  <c r="GP25" i="8"/>
  <c r="ES61" i="2"/>
  <c r="ES52" i="2"/>
  <c r="EX21" i="8"/>
  <c r="ES111" i="4"/>
  <c r="ES112" i="4" s="1"/>
  <c r="FD86" i="4"/>
  <c r="FE86" i="4" s="1"/>
  <c r="FF86" i="4" s="1"/>
  <c r="FG86" i="4" s="1"/>
  <c r="FB86" i="4"/>
  <c r="FD87" i="4"/>
  <c r="FE87" i="4" s="1"/>
  <c r="FF87" i="4" s="1"/>
  <c r="FG87" i="4" s="1"/>
  <c r="FB87" i="4"/>
  <c r="ES83" i="4"/>
  <c r="ES82" i="4"/>
  <c r="I6" i="36"/>
  <c r="B2" i="5"/>
  <c r="B3" i="4"/>
  <c r="B1" i="4"/>
  <c r="FA69" i="34" l="1"/>
  <c r="I26" i="36" a="1"/>
  <c r="I26" i="36" s="1"/>
  <c r="I17" i="36" a="1"/>
  <c r="I17" i="36" s="1"/>
  <c r="H26" i="36" a="1"/>
  <c r="H26" i="36" s="1"/>
  <c r="H17" i="36" a="1"/>
  <c r="H17" i="36" s="1"/>
  <c r="ES56" i="2"/>
  <c r="EY91" i="2" s="1"/>
  <c r="EY88" i="2"/>
  <c r="EU63" i="8"/>
  <c r="EU59" i="8"/>
  <c r="EU61" i="2"/>
  <c r="EU52" i="2"/>
  <c r="EU75" i="2" s="1"/>
  <c r="EU53" i="8"/>
  <c r="EU47" i="5"/>
  <c r="ET122" i="4"/>
  <c r="ET120" i="4"/>
  <c r="ET121" i="4" s="1"/>
  <c r="FA16" i="8"/>
  <c r="GQ25" i="8"/>
  <c r="GT24" i="8"/>
  <c r="FJ87" i="4"/>
  <c r="FK87" i="4" s="1"/>
  <c r="FL87" i="4" s="1"/>
  <c r="FM87" i="4" s="1"/>
  <c r="FH87" i="4"/>
  <c r="FJ86" i="4"/>
  <c r="FK86" i="4" s="1"/>
  <c r="FL86" i="4" s="1"/>
  <c r="FM86" i="4" s="1"/>
  <c r="FH86" i="4"/>
  <c r="FG19" i="34"/>
  <c r="FG69" i="34" s="1"/>
  <c r="FG70" i="34" s="1"/>
  <c r="J6" i="36"/>
  <c r="A139" i="34"/>
  <c r="FB59" i="2"/>
  <c r="HD40" i="2"/>
  <c r="HD38" i="2"/>
  <c r="HD37" i="2"/>
  <c r="HD36" i="2"/>
  <c r="GX40" i="2"/>
  <c r="GX38" i="2"/>
  <c r="GX37" i="2"/>
  <c r="GX36" i="2"/>
  <c r="GR40" i="2"/>
  <c r="GR38" i="2"/>
  <c r="GR37" i="2"/>
  <c r="GR36" i="2"/>
  <c r="GL40" i="2"/>
  <c r="GL38" i="2"/>
  <c r="GL37" i="2"/>
  <c r="GL36" i="2"/>
  <c r="GF40" i="2"/>
  <c r="GF38" i="2"/>
  <c r="GF37" i="2"/>
  <c r="GF36" i="2"/>
  <c r="FZ40" i="2"/>
  <c r="FZ38" i="2"/>
  <c r="FZ37" i="2"/>
  <c r="FZ36" i="2"/>
  <c r="FT40" i="2"/>
  <c r="FT38" i="2"/>
  <c r="FT37" i="2"/>
  <c r="FT36" i="2"/>
  <c r="FN40" i="2"/>
  <c r="FN38" i="2"/>
  <c r="FN37" i="2"/>
  <c r="FN36" i="2"/>
  <c r="FH40" i="2"/>
  <c r="FH38" i="2"/>
  <c r="FH37" i="2"/>
  <c r="FH36" i="2"/>
  <c r="EV38" i="2"/>
  <c r="EV37" i="2"/>
  <c r="EV36" i="2"/>
  <c r="ES70" i="2" l="1"/>
  <c r="J116" i="37" s="1"/>
  <c r="FA70" i="34"/>
  <c r="FB69" i="34"/>
  <c r="ES60" i="2"/>
  <c r="ES62" i="2" s="1"/>
  <c r="EY92" i="2" s="1"/>
  <c r="J26" i="36" a="1"/>
  <c r="J26" i="36" s="1"/>
  <c r="J17" i="36" a="1"/>
  <c r="J17" i="36" s="1"/>
  <c r="EY90" i="2"/>
  <c r="EU52" i="8"/>
  <c r="ES78" i="2"/>
  <c r="ET123" i="4"/>
  <c r="ET124" i="4"/>
  <c r="FA17" i="8"/>
  <c r="FD16" i="8"/>
  <c r="GU24" i="8"/>
  <c r="GT25" i="8"/>
  <c r="FA20" i="8"/>
  <c r="FP86" i="4"/>
  <c r="FQ86" i="4" s="1"/>
  <c r="FR86" i="4" s="1"/>
  <c r="FS86" i="4" s="1"/>
  <c r="FN86" i="4"/>
  <c r="FP87" i="4"/>
  <c r="FQ87" i="4" s="1"/>
  <c r="FR87" i="4" s="1"/>
  <c r="FS87" i="4" s="1"/>
  <c r="FN87" i="4"/>
  <c r="FM19" i="34"/>
  <c r="EV19" i="34"/>
  <c r="K6" i="36"/>
  <c r="DH48" i="8"/>
  <c r="EV59" i="2"/>
  <c r="ER48" i="8"/>
  <c r="EN48" i="8"/>
  <c r="EM48" i="8"/>
  <c r="EL48" i="8"/>
  <c r="DH49" i="2"/>
  <c r="DH53" i="2"/>
  <c r="DI48" i="8"/>
  <c r="DJ48" i="8"/>
  <c r="DH58" i="2"/>
  <c r="DQ10" i="8"/>
  <c r="DP10" i="8"/>
  <c r="DO10" i="8"/>
  <c r="DN10" i="8"/>
  <c r="DP48" i="8"/>
  <c r="DO48" i="8"/>
  <c r="DN48" i="8"/>
  <c r="EC10" i="8"/>
  <c r="EB10" i="8"/>
  <c r="EA10" i="8"/>
  <c r="DZ10" i="8"/>
  <c r="EB48" i="8"/>
  <c r="DZ48" i="8"/>
  <c r="EQ160" i="2"/>
  <c r="EK160" i="2"/>
  <c r="EE160" i="2"/>
  <c r="DY160" i="2"/>
  <c r="DS160" i="2"/>
  <c r="DM160" i="2"/>
  <c r="DW10" i="8"/>
  <c r="DV10" i="8"/>
  <c r="DU10" i="8"/>
  <c r="DT10" i="8"/>
  <c r="DV48" i="8"/>
  <c r="DU48" i="8"/>
  <c r="DT48" i="8"/>
  <c r="EH10" i="8"/>
  <c r="EG10" i="8"/>
  <c r="EF10" i="8"/>
  <c r="EH48" i="8"/>
  <c r="EG48" i="8"/>
  <c r="EF48" i="8"/>
  <c r="DI153" i="2"/>
  <c r="DH153" i="2"/>
  <c r="ES67" i="2" l="1"/>
  <c r="ES68" i="2"/>
  <c r="J64" i="37" s="1"/>
  <c r="K17" i="36" a="1"/>
  <c r="K17" i="36" s="1"/>
  <c r="K26" i="36" a="1"/>
  <c r="K26" i="36" s="1"/>
  <c r="FM69" i="34"/>
  <c r="FM70" i="34" s="1"/>
  <c r="FS19" i="34"/>
  <c r="EV20" i="34"/>
  <c r="EV69" i="34"/>
  <c r="FB70" i="34" s="1"/>
  <c r="FD17" i="8"/>
  <c r="FE16" i="8"/>
  <c r="FA21" i="8"/>
  <c r="FD20" i="8"/>
  <c r="GU25" i="8"/>
  <c r="GV24" i="8"/>
  <c r="FV87" i="4"/>
  <c r="FW87" i="4" s="1"/>
  <c r="FX87" i="4" s="1"/>
  <c r="FY87" i="4" s="1"/>
  <c r="FT87" i="4"/>
  <c r="FV86" i="4"/>
  <c r="FW86" i="4" s="1"/>
  <c r="FX86" i="4" s="1"/>
  <c r="FY86" i="4" s="1"/>
  <c r="FT86" i="4"/>
  <c r="DH51" i="2"/>
  <c r="DL49" i="2"/>
  <c r="DL51" i="2" s="1"/>
  <c r="DI90" i="4"/>
  <c r="DI86" i="4"/>
  <c r="DI89" i="4"/>
  <c r="DI87" i="4"/>
  <c r="DI120" i="4"/>
  <c r="DI121" i="4" s="1"/>
  <c r="DI81" i="4"/>
  <c r="DZ90" i="4"/>
  <c r="DZ89" i="4"/>
  <c r="DZ87" i="4"/>
  <c r="DZ86" i="4"/>
  <c r="DZ120" i="4"/>
  <c r="DZ121" i="4" s="1"/>
  <c r="DZ81" i="4"/>
  <c r="DH90" i="4"/>
  <c r="DH89" i="4"/>
  <c r="DH87" i="4"/>
  <c r="DH86" i="4"/>
  <c r="DH81" i="4"/>
  <c r="EB90" i="4"/>
  <c r="EB89" i="4"/>
  <c r="EB87" i="4"/>
  <c r="EB86" i="4"/>
  <c r="EB120" i="4"/>
  <c r="EB121" i="4" s="1"/>
  <c r="EB123" i="4" s="1"/>
  <c r="EB81" i="4"/>
  <c r="ER120" i="4"/>
  <c r="ER121" i="4" s="1"/>
  <c r="ES124" i="4" s="1"/>
  <c r="ER90" i="4"/>
  <c r="ER89" i="4"/>
  <c r="ER87" i="4"/>
  <c r="ER81" i="4"/>
  <c r="ES123" i="4"/>
  <c r="EM87" i="4"/>
  <c r="EM89" i="4"/>
  <c r="EM90" i="4"/>
  <c r="EM86" i="4"/>
  <c r="EM120" i="4"/>
  <c r="EM121" i="4" s="1"/>
  <c r="EM123" i="4" s="1"/>
  <c r="EM81" i="4"/>
  <c r="EN87" i="4"/>
  <c r="EN86" i="4"/>
  <c r="EN90" i="4"/>
  <c r="EN89" i="4"/>
  <c r="EN120" i="4"/>
  <c r="EN121" i="4" s="1"/>
  <c r="EN123" i="4" s="1"/>
  <c r="EN81" i="4"/>
  <c r="EG87" i="4"/>
  <c r="EG89" i="4"/>
  <c r="EG86" i="4"/>
  <c r="EG120" i="4"/>
  <c r="EG121" i="4" s="1"/>
  <c r="EG123" i="4" s="1"/>
  <c r="EG90" i="4"/>
  <c r="EG81" i="4"/>
  <c r="EH87" i="4"/>
  <c r="EH86" i="4"/>
  <c r="EH89" i="4"/>
  <c r="EH90" i="4"/>
  <c r="EH120" i="4"/>
  <c r="EH121" i="4" s="1"/>
  <c r="EH123" i="4" s="1"/>
  <c r="EH81" i="4"/>
  <c r="DP87" i="4"/>
  <c r="DP86" i="4"/>
  <c r="DP90" i="4"/>
  <c r="DP89" i="4"/>
  <c r="DP120" i="4"/>
  <c r="DP121" i="4" s="1"/>
  <c r="DP123" i="4" s="1"/>
  <c r="DP81" i="4"/>
  <c r="EF89" i="4"/>
  <c r="EF87" i="4"/>
  <c r="EF86" i="4"/>
  <c r="EF90" i="4"/>
  <c r="EF120" i="4"/>
  <c r="EF121" i="4" s="1"/>
  <c r="EF81" i="4"/>
  <c r="DN89" i="4"/>
  <c r="DN87" i="4"/>
  <c r="DN86" i="4"/>
  <c r="DN90" i="4"/>
  <c r="DN120" i="4"/>
  <c r="DN121" i="4" s="1"/>
  <c r="DN81" i="4"/>
  <c r="DT86" i="4"/>
  <c r="DT87" i="4"/>
  <c r="DT89" i="4"/>
  <c r="DT90" i="4"/>
  <c r="DT120" i="4"/>
  <c r="DT121" i="4" s="1"/>
  <c r="DT81" i="4"/>
  <c r="EL86" i="4"/>
  <c r="EL89" i="4"/>
  <c r="EL90" i="4"/>
  <c r="EL87" i="4"/>
  <c r="EL120" i="4"/>
  <c r="EL121" i="4" s="1"/>
  <c r="EL81" i="4"/>
  <c r="DU87" i="4"/>
  <c r="DU86" i="4"/>
  <c r="DU90" i="4"/>
  <c r="DU89" i="4"/>
  <c r="DU120" i="4"/>
  <c r="DU121" i="4" s="1"/>
  <c r="DU123" i="4" s="1"/>
  <c r="DU81" i="4"/>
  <c r="EA90" i="4"/>
  <c r="EA89" i="4"/>
  <c r="EA87" i="4"/>
  <c r="EA86" i="4"/>
  <c r="EA120" i="4"/>
  <c r="EA121" i="4" s="1"/>
  <c r="EA123" i="4" s="1"/>
  <c r="EA81" i="4"/>
  <c r="DO87" i="4"/>
  <c r="DO120" i="4"/>
  <c r="DO121" i="4" s="1"/>
  <c r="DO123" i="4" s="1"/>
  <c r="DO86" i="4"/>
  <c r="DO90" i="4"/>
  <c r="DO89" i="4"/>
  <c r="DO81" i="4"/>
  <c r="DV90" i="4"/>
  <c r="DV89" i="4"/>
  <c r="DV87" i="4"/>
  <c r="DV86" i="4"/>
  <c r="DV120" i="4"/>
  <c r="DV121" i="4" s="1"/>
  <c r="DV123" i="4" s="1"/>
  <c r="DV81" i="4"/>
  <c r="DJ90" i="4"/>
  <c r="DJ89" i="4"/>
  <c r="DJ87" i="4"/>
  <c r="DJ86" i="4"/>
  <c r="DJ120" i="4"/>
  <c r="DJ121" i="4" s="1"/>
  <c r="DJ123" i="4" s="1"/>
  <c r="DJ81" i="4"/>
  <c r="L6" i="36"/>
  <c r="DL12" i="2"/>
  <c r="DL58" i="2"/>
  <c r="DL18" i="2"/>
  <c r="EC48" i="8"/>
  <c r="EA48" i="8"/>
  <c r="DL15" i="2"/>
  <c r="DH16" i="2"/>
  <c r="DL37" i="2"/>
  <c r="DL36" i="2"/>
  <c r="ER74" i="2"/>
  <c r="HC66" i="8"/>
  <c r="HB66" i="8"/>
  <c r="HA66" i="8"/>
  <c r="GZ66" i="8"/>
  <c r="GW66" i="8"/>
  <c r="GV66" i="8"/>
  <c r="GU66" i="8"/>
  <c r="GT66" i="8"/>
  <c r="GQ66" i="8"/>
  <c r="GP66" i="8"/>
  <c r="GO66" i="8"/>
  <c r="GN66" i="8"/>
  <c r="GK66" i="8"/>
  <c r="GJ66" i="8"/>
  <c r="GI66" i="8"/>
  <c r="GH66" i="8"/>
  <c r="GE66" i="8"/>
  <c r="GD66" i="8"/>
  <c r="GC66" i="8"/>
  <c r="GB66" i="8"/>
  <c r="FY66" i="8"/>
  <c r="FX66" i="8"/>
  <c r="FW66" i="8"/>
  <c r="FV66" i="8"/>
  <c r="FS66" i="8"/>
  <c r="FR66" i="8"/>
  <c r="FQ66" i="8"/>
  <c r="FP66" i="8"/>
  <c r="FM66" i="8"/>
  <c r="FL66" i="8"/>
  <c r="FK66" i="8"/>
  <c r="FJ66" i="8"/>
  <c r="FG66" i="8"/>
  <c r="FF66" i="8"/>
  <c r="FE66" i="8"/>
  <c r="FD66" i="8"/>
  <c r="FA66" i="8"/>
  <c r="EC61" i="5"/>
  <c r="EB61" i="5"/>
  <c r="EA61" i="5"/>
  <c r="DZ61" i="5"/>
  <c r="DW61" i="5"/>
  <c r="DV61" i="5"/>
  <c r="DU61" i="5"/>
  <c r="DT61" i="5"/>
  <c r="DQ9" i="5"/>
  <c r="EY93" i="2" l="1"/>
  <c r="FS69" i="34"/>
  <c r="FS70" i="34" s="1"/>
  <c r="L17" i="36" a="1"/>
  <c r="L17" i="36" s="1"/>
  <c r="L26" i="36" a="1"/>
  <c r="L26" i="36" s="1"/>
  <c r="FE20" i="8"/>
  <c r="FD21" i="8"/>
  <c r="GW24" i="8"/>
  <c r="GV25" i="8"/>
  <c r="FE17" i="8"/>
  <c r="FF16" i="8"/>
  <c r="GB86" i="4"/>
  <c r="GC86" i="4" s="1"/>
  <c r="GD86" i="4" s="1"/>
  <c r="GE86" i="4" s="1"/>
  <c r="FZ86" i="4"/>
  <c r="GB87" i="4"/>
  <c r="GC87" i="4" s="1"/>
  <c r="GD87" i="4" s="1"/>
  <c r="GE87" i="4" s="1"/>
  <c r="FZ87" i="4"/>
  <c r="DL54" i="2"/>
  <c r="EM124" i="4"/>
  <c r="DV124" i="4"/>
  <c r="ED48" i="8"/>
  <c r="DN123" i="4"/>
  <c r="DP124" i="4"/>
  <c r="EG124" i="4"/>
  <c r="EB124" i="4"/>
  <c r="DO124" i="4"/>
  <c r="DW48" i="8"/>
  <c r="DX48" i="8" s="1"/>
  <c r="DK90" i="4"/>
  <c r="DK89" i="4"/>
  <c r="DK87" i="4"/>
  <c r="DK86" i="4"/>
  <c r="DK120" i="4"/>
  <c r="DK121" i="4" s="1"/>
  <c r="DN124" i="4" s="1"/>
  <c r="DK81" i="4"/>
  <c r="DL57" i="2"/>
  <c r="DK48" i="8"/>
  <c r="DL48" i="8" s="1"/>
  <c r="DZ82" i="4"/>
  <c r="DZ83" i="4"/>
  <c r="EH124" i="4"/>
  <c r="DJ124" i="4"/>
  <c r="DN82" i="4"/>
  <c r="DN83" i="4"/>
  <c r="EC90" i="4"/>
  <c r="EC89" i="4"/>
  <c r="EC87" i="4"/>
  <c r="EC86" i="4"/>
  <c r="EC120" i="4"/>
  <c r="EC121" i="4" s="1"/>
  <c r="EF124" i="4" s="1"/>
  <c r="EC81" i="4"/>
  <c r="DU124" i="4"/>
  <c r="DT83" i="4"/>
  <c r="DT82" i="4"/>
  <c r="EB83" i="4"/>
  <c r="EB82" i="4"/>
  <c r="EN124" i="4"/>
  <c r="ER83" i="4"/>
  <c r="ER82" i="4"/>
  <c r="DU82" i="4"/>
  <c r="DU83" i="4"/>
  <c r="DO83" i="4"/>
  <c r="DO82" i="4"/>
  <c r="EF123" i="4"/>
  <c r="DV82" i="4"/>
  <c r="DV83" i="4"/>
  <c r="EA82" i="4"/>
  <c r="EA83" i="4"/>
  <c r="EL83" i="4"/>
  <c r="EL82" i="4"/>
  <c r="DH83" i="4"/>
  <c r="DH82" i="4"/>
  <c r="EA124" i="4"/>
  <c r="EO48" i="8"/>
  <c r="M6" i="36"/>
  <c r="ED61" i="5"/>
  <c r="EV55" i="2"/>
  <c r="DL53" i="2"/>
  <c r="DT123" i="4"/>
  <c r="DL55" i="2"/>
  <c r="DL59" i="2"/>
  <c r="ER123" i="4"/>
  <c r="DL9" i="2"/>
  <c r="EI10" i="8"/>
  <c r="EI48" i="8"/>
  <c r="EJ48" i="8" s="1"/>
  <c r="DL17" i="2"/>
  <c r="DL21" i="2"/>
  <c r="DL14" i="2"/>
  <c r="DL38" i="2"/>
  <c r="DH20" i="2"/>
  <c r="DH22" i="2" s="1"/>
  <c r="DL13" i="2"/>
  <c r="DL11" i="2"/>
  <c r="DL19" i="2"/>
  <c r="ER50" i="5"/>
  <c r="ER62" i="5" s="1"/>
  <c r="DQ51" i="5"/>
  <c r="DP51" i="5"/>
  <c r="DO51" i="5"/>
  <c r="DN51" i="5"/>
  <c r="DK51" i="5"/>
  <c r="DJ51" i="5"/>
  <c r="DI51" i="5"/>
  <c r="DH51" i="5"/>
  <c r="DN45" i="4"/>
  <c r="DK45" i="4"/>
  <c r="DI45" i="4"/>
  <c r="DH45" i="4"/>
  <c r="HD67" i="8"/>
  <c r="HD66" i="8"/>
  <c r="HD60" i="8"/>
  <c r="GX67" i="8"/>
  <c r="GX66" i="8"/>
  <c r="GX60" i="8"/>
  <c r="GR67" i="8"/>
  <c r="GR66" i="8"/>
  <c r="GR60" i="8"/>
  <c r="GL67" i="8"/>
  <c r="GL66" i="8"/>
  <c r="GL60" i="8"/>
  <c r="GF67" i="8"/>
  <c r="GF66" i="8"/>
  <c r="GF60" i="8"/>
  <c r="FZ67" i="8"/>
  <c r="FZ66" i="8"/>
  <c r="FZ60" i="8"/>
  <c r="FT67" i="8"/>
  <c r="FT66" i="8"/>
  <c r="FT60" i="8"/>
  <c r="FN67" i="8"/>
  <c r="FN66" i="8"/>
  <c r="FN60" i="8"/>
  <c r="FH67" i="8"/>
  <c r="FH66" i="8"/>
  <c r="FH60" i="8"/>
  <c r="M26" i="36" l="1" a="1"/>
  <c r="M26" i="36" s="1"/>
  <c r="M17" i="36" a="1"/>
  <c r="M17" i="36" s="1"/>
  <c r="GW25" i="8"/>
  <c r="GZ24" i="8"/>
  <c r="FG16" i="8"/>
  <c r="FF17" i="8"/>
  <c r="FE21" i="8"/>
  <c r="FF20" i="8"/>
  <c r="GH87" i="4"/>
  <c r="GI87" i="4" s="1"/>
  <c r="GJ87" i="4" s="1"/>
  <c r="GK87" i="4" s="1"/>
  <c r="GF87" i="4"/>
  <c r="GH86" i="4"/>
  <c r="GI86" i="4" s="1"/>
  <c r="GJ86" i="4" s="1"/>
  <c r="GK86" i="4" s="1"/>
  <c r="GF86" i="4"/>
  <c r="DJ82" i="4"/>
  <c r="DI83" i="4"/>
  <c r="DI82" i="4"/>
  <c r="DJ83" i="4"/>
  <c r="EN82" i="4"/>
  <c r="EN83" i="4"/>
  <c r="DK82" i="4"/>
  <c r="DK83" i="4"/>
  <c r="DW87" i="4"/>
  <c r="DW86" i="4"/>
  <c r="DW90" i="4"/>
  <c r="DW89" i="4"/>
  <c r="DW120" i="4"/>
  <c r="DW121" i="4" s="1"/>
  <c r="DZ124" i="4" s="1"/>
  <c r="DW81" i="4"/>
  <c r="EC82" i="4"/>
  <c r="EC83" i="4"/>
  <c r="EI86" i="4"/>
  <c r="EI87" i="4"/>
  <c r="EI89" i="4"/>
  <c r="EI90" i="4"/>
  <c r="EI120" i="4"/>
  <c r="EI121" i="4" s="1"/>
  <c r="EL124" i="4" s="1"/>
  <c r="EI81" i="4"/>
  <c r="DQ48" i="8"/>
  <c r="DR48" i="8" s="1"/>
  <c r="DQ87" i="4"/>
  <c r="DQ86" i="4"/>
  <c r="DQ90" i="4"/>
  <c r="DQ89" i="4"/>
  <c r="DQ120" i="4"/>
  <c r="DQ121" i="4" s="1"/>
  <c r="DT124" i="4" s="1"/>
  <c r="DQ81" i="4"/>
  <c r="DK123" i="4"/>
  <c r="DK124" i="4"/>
  <c r="DP83" i="4"/>
  <c r="DP82" i="4"/>
  <c r="EM82" i="4"/>
  <c r="EM83" i="4"/>
  <c r="EL123" i="4"/>
  <c r="EO87" i="4"/>
  <c r="EO90" i="4"/>
  <c r="EO89" i="4"/>
  <c r="EO86" i="4"/>
  <c r="EO120" i="4"/>
  <c r="EO121" i="4" s="1"/>
  <c r="ER124" i="4" s="1"/>
  <c r="EO81" i="4"/>
  <c r="EC123" i="4"/>
  <c r="EC124" i="4"/>
  <c r="DZ123" i="4"/>
  <c r="DN99" i="4"/>
  <c r="DN114" i="4"/>
  <c r="DN116" i="4" s="1"/>
  <c r="DN118" i="4" s="1"/>
  <c r="DK99" i="4"/>
  <c r="DK114" i="4"/>
  <c r="DK116" i="4" s="1"/>
  <c r="DK118" i="4" s="1"/>
  <c r="DH99" i="4"/>
  <c r="DH101" i="4" s="1"/>
  <c r="DH114" i="4"/>
  <c r="DH116" i="4" s="1"/>
  <c r="DH118" i="4" s="1"/>
  <c r="DI99" i="4"/>
  <c r="DI114" i="4"/>
  <c r="DI116" i="4" s="1"/>
  <c r="DI118" i="4" s="1"/>
  <c r="Y45" i="7"/>
  <c r="Z45" i="7"/>
  <c r="AA45" i="7"/>
  <c r="DO67" i="4"/>
  <c r="DO68" i="4" s="1"/>
  <c r="DH43" i="8"/>
  <c r="DH41" i="8" s="1"/>
  <c r="DH40" i="8" s="1"/>
  <c r="DI43" i="8"/>
  <c r="DI41" i="8" s="1"/>
  <c r="DI40" i="8" s="1"/>
  <c r="DK43" i="8"/>
  <c r="DK41" i="8" s="1"/>
  <c r="DK40" i="8" s="1"/>
  <c r="DN43" i="8"/>
  <c r="DN41" i="8" s="1"/>
  <c r="DN40" i="8" s="1"/>
  <c r="N6" i="36"/>
  <c r="DI158" i="2"/>
  <c r="EF158" i="2"/>
  <c r="DK158" i="2"/>
  <c r="ER160" i="2"/>
  <c r="EH158" i="2"/>
  <c r="DZ158" i="2"/>
  <c r="DO158" i="2"/>
  <c r="ER158" i="2"/>
  <c r="EL158" i="2"/>
  <c r="DP158" i="2"/>
  <c r="DJ158" i="2"/>
  <c r="DW158" i="2"/>
  <c r="DH158" i="2"/>
  <c r="DU158" i="2"/>
  <c r="DL16" i="2"/>
  <c r="DL10" i="2"/>
  <c r="DR51" i="5"/>
  <c r="DL51" i="5"/>
  <c r="DU101" i="4"/>
  <c r="EA101" i="4"/>
  <c r="EH101" i="4"/>
  <c r="ER101" i="4"/>
  <c r="DJ101" i="4"/>
  <c r="DO101" i="4"/>
  <c r="DP101" i="4"/>
  <c r="DQ101" i="4"/>
  <c r="DV101" i="4"/>
  <c r="DT101" i="4"/>
  <c r="DW101" i="4"/>
  <c r="DZ101" i="4"/>
  <c r="EB101" i="4"/>
  <c r="EC101" i="4"/>
  <c r="EG101" i="4"/>
  <c r="EF101" i="4"/>
  <c r="EI101" i="4"/>
  <c r="HD7" i="4"/>
  <c r="GX7" i="4"/>
  <c r="GR7" i="4"/>
  <c r="GL7" i="4"/>
  <c r="GF7" i="4"/>
  <c r="FZ7" i="4"/>
  <c r="FT7" i="4"/>
  <c r="FN7" i="4"/>
  <c r="FH7" i="4"/>
  <c r="DZ20" i="5"/>
  <c r="DL19" i="5"/>
  <c r="DN19" i="5"/>
  <c r="DO19" i="5"/>
  <c r="DP19" i="5"/>
  <c r="DQ19" i="5"/>
  <c r="DT19" i="5"/>
  <c r="DU19" i="5"/>
  <c r="DV19" i="5"/>
  <c r="DW19" i="5"/>
  <c r="DZ19" i="5"/>
  <c r="EA19" i="5"/>
  <c r="EB19" i="5"/>
  <c r="EC19" i="5"/>
  <c r="EF19" i="5"/>
  <c r="EG19" i="5"/>
  <c r="EH19" i="5"/>
  <c r="EI19" i="5"/>
  <c r="EL19" i="5"/>
  <c r="EM19" i="5"/>
  <c r="EN19" i="5"/>
  <c r="EO19" i="5"/>
  <c r="FB19" i="5"/>
  <c r="FH19" i="5"/>
  <c r="FN19" i="5"/>
  <c r="FT19" i="5"/>
  <c r="FZ19" i="5"/>
  <c r="GF19" i="5"/>
  <c r="GL19" i="5"/>
  <c r="GR19" i="5"/>
  <c r="GX19" i="5"/>
  <c r="HD19" i="5"/>
  <c r="EO35" i="5"/>
  <c r="EN35" i="5"/>
  <c r="EM35" i="5"/>
  <c r="EL35" i="5"/>
  <c r="EI35" i="5"/>
  <c r="EH35" i="5"/>
  <c r="EG35" i="5"/>
  <c r="EF35" i="5"/>
  <c r="EC35" i="5"/>
  <c r="EB35" i="5"/>
  <c r="EA35" i="5"/>
  <c r="DZ35" i="5"/>
  <c r="DW35" i="5"/>
  <c r="DV35" i="5"/>
  <c r="DU35" i="5"/>
  <c r="DT35" i="5"/>
  <c r="DQ35" i="5"/>
  <c r="DP35" i="5"/>
  <c r="DO35" i="5"/>
  <c r="DN35" i="5"/>
  <c r="DK35" i="5"/>
  <c r="DJ35" i="5"/>
  <c r="DI35" i="5"/>
  <c r="DH35" i="5"/>
  <c r="HD65" i="5"/>
  <c r="HD61" i="5"/>
  <c r="HD60" i="5"/>
  <c r="HD59" i="5"/>
  <c r="HD56" i="5"/>
  <c r="HD55" i="5"/>
  <c r="HD54" i="5"/>
  <c r="HD53" i="5"/>
  <c r="HD52" i="5"/>
  <c r="HD46" i="5"/>
  <c r="HC45" i="5"/>
  <c r="HB45" i="5"/>
  <c r="HA45" i="5"/>
  <c r="GZ45" i="5"/>
  <c r="HD44" i="5"/>
  <c r="HD43" i="5"/>
  <c r="HD40" i="5"/>
  <c r="HD42" i="5"/>
  <c r="HD41" i="5"/>
  <c r="HD26" i="5"/>
  <c r="HD25" i="5"/>
  <c r="HD24" i="5"/>
  <c r="HD23" i="5"/>
  <c r="HD22" i="5"/>
  <c r="HD21" i="5"/>
  <c r="HD20" i="5"/>
  <c r="HD18" i="5"/>
  <c r="HD17" i="5"/>
  <c r="HD16" i="5"/>
  <c r="HD15" i="5"/>
  <c r="GX65" i="5"/>
  <c r="GX61" i="5"/>
  <c r="GX60" i="5"/>
  <c r="GX59" i="5"/>
  <c r="GX56" i="5"/>
  <c r="GX55" i="5"/>
  <c r="GX54" i="5"/>
  <c r="GX53" i="5"/>
  <c r="GX52" i="5"/>
  <c r="GX46" i="5"/>
  <c r="GW45" i="5"/>
  <c r="GV45" i="5"/>
  <c r="GU45" i="5"/>
  <c r="GT45" i="5"/>
  <c r="GX44" i="5"/>
  <c r="GX43" i="5"/>
  <c r="GX40" i="5"/>
  <c r="GX42" i="5"/>
  <c r="GX41" i="5"/>
  <c r="GX26" i="5"/>
  <c r="GX25" i="5"/>
  <c r="GX24" i="5"/>
  <c r="GX23" i="5"/>
  <c r="GX22" i="5"/>
  <c r="GX21" i="5"/>
  <c r="GX20" i="5"/>
  <c r="GX18" i="5"/>
  <c r="GX17" i="5"/>
  <c r="GX16" i="5"/>
  <c r="GX15" i="5"/>
  <c r="GR65" i="5"/>
  <c r="GR61" i="5"/>
  <c r="GR60" i="5"/>
  <c r="GR59" i="5"/>
  <c r="GR56" i="5"/>
  <c r="GR55" i="5"/>
  <c r="GR54" i="5"/>
  <c r="GR53" i="5"/>
  <c r="GR52" i="5"/>
  <c r="GR46" i="5"/>
  <c r="GQ45" i="5"/>
  <c r="GP45" i="5"/>
  <c r="GO45" i="5"/>
  <c r="GN45" i="5"/>
  <c r="GR44" i="5"/>
  <c r="GR43" i="5"/>
  <c r="GR40" i="5"/>
  <c r="GR42" i="5"/>
  <c r="GR41" i="5"/>
  <c r="GR26" i="5"/>
  <c r="GR25" i="5"/>
  <c r="GR24" i="5"/>
  <c r="GR23" i="5"/>
  <c r="GR22" i="5"/>
  <c r="GR21" i="5"/>
  <c r="GR20" i="5"/>
  <c r="GR18" i="5"/>
  <c r="GR17" i="5"/>
  <c r="GR16" i="5"/>
  <c r="GR15" i="5"/>
  <c r="GL65" i="5"/>
  <c r="GL61" i="5"/>
  <c r="GL60" i="5"/>
  <c r="GL59" i="5"/>
  <c r="GL56" i="5"/>
  <c r="GL55" i="5"/>
  <c r="GL54" i="5"/>
  <c r="GL53" i="5"/>
  <c r="GL52" i="5"/>
  <c r="GL46" i="5"/>
  <c r="GK45" i="5"/>
  <c r="GJ45" i="5"/>
  <c r="GI45" i="5"/>
  <c r="GH45" i="5"/>
  <c r="GL44" i="5"/>
  <c r="GL43" i="5"/>
  <c r="GL40" i="5"/>
  <c r="GL42" i="5"/>
  <c r="GL41" i="5"/>
  <c r="GL26" i="5"/>
  <c r="GL25" i="5"/>
  <c r="GL24" i="5"/>
  <c r="GL23" i="5"/>
  <c r="GL22" i="5"/>
  <c r="GL21" i="5"/>
  <c r="GL20" i="5"/>
  <c r="GL18" i="5"/>
  <c r="GL17" i="5"/>
  <c r="GL16" i="5"/>
  <c r="GL15" i="5"/>
  <c r="GF65" i="5"/>
  <c r="GF61" i="5"/>
  <c r="GF60" i="5"/>
  <c r="GF59" i="5"/>
  <c r="GF56" i="5"/>
  <c r="GF55" i="5"/>
  <c r="GF54" i="5"/>
  <c r="GF53" i="5"/>
  <c r="GF52" i="5"/>
  <c r="GF46" i="5"/>
  <c r="GE45" i="5"/>
  <c r="GD45" i="5"/>
  <c r="GC45" i="5"/>
  <c r="GB45" i="5"/>
  <c r="GF44" i="5"/>
  <c r="GF43" i="5"/>
  <c r="GF40" i="5"/>
  <c r="GF42" i="5"/>
  <c r="GF41" i="5"/>
  <c r="GF26" i="5"/>
  <c r="GF25" i="5"/>
  <c r="GF24" i="5"/>
  <c r="GF23" i="5"/>
  <c r="GF22" i="5"/>
  <c r="GF21" i="5"/>
  <c r="GF20" i="5"/>
  <c r="GF18" i="5"/>
  <c r="GF17" i="5"/>
  <c r="GF16" i="5"/>
  <c r="GF15" i="5"/>
  <c r="FZ65" i="5"/>
  <c r="FZ61" i="5"/>
  <c r="FZ60" i="5"/>
  <c r="FZ59" i="5"/>
  <c r="FZ56" i="5"/>
  <c r="FZ55" i="5"/>
  <c r="FZ54" i="5"/>
  <c r="FZ53" i="5"/>
  <c r="FZ52" i="5"/>
  <c r="FZ46" i="5"/>
  <c r="FY45" i="5"/>
  <c r="FX45" i="5"/>
  <c r="FW45" i="5"/>
  <c r="FV45" i="5"/>
  <c r="FZ44" i="5"/>
  <c r="FZ43" i="5"/>
  <c r="FZ40" i="5"/>
  <c r="FZ42" i="5"/>
  <c r="FZ41" i="5"/>
  <c r="FZ26" i="5"/>
  <c r="FZ25" i="5"/>
  <c r="FZ24" i="5"/>
  <c r="FZ23" i="5"/>
  <c r="FZ22" i="5"/>
  <c r="FZ21" i="5"/>
  <c r="FZ20" i="5"/>
  <c r="FZ18" i="5"/>
  <c r="FZ17" i="5"/>
  <c r="FZ16" i="5"/>
  <c r="FZ15" i="5"/>
  <c r="FT65" i="5"/>
  <c r="FT61" i="5"/>
  <c r="FT60" i="5"/>
  <c r="FT59" i="5"/>
  <c r="FT56" i="5"/>
  <c r="FT55" i="5"/>
  <c r="FT54" i="5"/>
  <c r="FT53" i="5"/>
  <c r="FT52" i="5"/>
  <c r="FT46" i="5"/>
  <c r="FS45" i="5"/>
  <c r="FR45" i="5"/>
  <c r="FQ45" i="5"/>
  <c r="FP45" i="5"/>
  <c r="FT44" i="5"/>
  <c r="FT43" i="5"/>
  <c r="FT40" i="5"/>
  <c r="FT42" i="5"/>
  <c r="FT41" i="5"/>
  <c r="FT26" i="5"/>
  <c r="FT25" i="5"/>
  <c r="FT24" i="5"/>
  <c r="FT23" i="5"/>
  <c r="FT22" i="5"/>
  <c r="FT21" i="5"/>
  <c r="FT20" i="5"/>
  <c r="FT18" i="5"/>
  <c r="FT17" i="5"/>
  <c r="FT16" i="5"/>
  <c r="FT15" i="5"/>
  <c r="FN65" i="5"/>
  <c r="FN61" i="5"/>
  <c r="FN60" i="5"/>
  <c r="FN59" i="5"/>
  <c r="FN56" i="5"/>
  <c r="FN55" i="5"/>
  <c r="FN54" i="5"/>
  <c r="FN53" i="5"/>
  <c r="FN52" i="5"/>
  <c r="FN46" i="5"/>
  <c r="FM45" i="5"/>
  <c r="FL45" i="5"/>
  <c r="FK45" i="5"/>
  <c r="FJ45" i="5"/>
  <c r="FN44" i="5"/>
  <c r="FN43" i="5"/>
  <c r="FN40" i="5"/>
  <c r="FN42" i="5"/>
  <c r="FN41" i="5"/>
  <c r="FN26" i="5"/>
  <c r="FN25" i="5"/>
  <c r="FN24" i="5"/>
  <c r="FN23" i="5"/>
  <c r="FN22" i="5"/>
  <c r="FN21" i="5"/>
  <c r="FN20" i="5"/>
  <c r="FN18" i="5"/>
  <c r="FN17" i="5"/>
  <c r="FN16" i="5"/>
  <c r="FN15" i="5"/>
  <c r="FH65" i="5"/>
  <c r="FH61" i="5"/>
  <c r="FH60" i="5"/>
  <c r="FH59" i="5"/>
  <c r="FH56" i="5"/>
  <c r="FH55" i="5"/>
  <c r="FH54" i="5"/>
  <c r="FH53" i="5"/>
  <c r="FH52" i="5"/>
  <c r="FH46" i="5"/>
  <c r="FG45" i="5"/>
  <c r="FF45" i="5"/>
  <c r="FE45" i="5"/>
  <c r="FD45" i="5"/>
  <c r="FH44" i="5"/>
  <c r="FH43" i="5"/>
  <c r="FH40" i="5"/>
  <c r="FH42" i="5"/>
  <c r="FH41" i="5"/>
  <c r="FH26" i="5"/>
  <c r="FH25" i="5"/>
  <c r="FH24" i="5"/>
  <c r="FH23" i="5"/>
  <c r="FH22" i="5"/>
  <c r="FH21" i="5"/>
  <c r="FH20" i="5"/>
  <c r="FH18" i="5"/>
  <c r="FH17" i="5"/>
  <c r="FH16" i="5"/>
  <c r="FH15" i="5"/>
  <c r="EO33" i="5"/>
  <c r="EN33" i="5"/>
  <c r="EM33" i="5"/>
  <c r="EL33" i="5"/>
  <c r="EI33" i="5"/>
  <c r="EH33" i="5"/>
  <c r="EG33" i="5"/>
  <c r="EF33" i="5"/>
  <c r="EC33" i="5"/>
  <c r="ED33" i="5" s="1"/>
  <c r="DW42" i="8"/>
  <c r="DV42" i="8"/>
  <c r="DU42" i="8"/>
  <c r="EC42" i="8"/>
  <c r="ED42" i="8" s="1"/>
  <c r="EB42" i="8"/>
  <c r="EA42" i="8"/>
  <c r="DZ42" i="8"/>
  <c r="EI42" i="8"/>
  <c r="EJ42" i="8" s="1"/>
  <c r="EH42" i="8"/>
  <c r="EG42" i="8"/>
  <c r="EF42" i="8"/>
  <c r="EO42" i="8"/>
  <c r="EN42" i="8"/>
  <c r="EM42" i="8"/>
  <c r="EL42" i="8"/>
  <c r="ER42" i="8"/>
  <c r="DW41" i="8"/>
  <c r="DV41" i="8"/>
  <c r="DU41" i="8"/>
  <c r="EC41" i="8"/>
  <c r="EB41" i="8"/>
  <c r="EA41" i="8"/>
  <c r="DZ41" i="8"/>
  <c r="EI41" i="8"/>
  <c r="EH41" i="8"/>
  <c r="EG41" i="8"/>
  <c r="EF41" i="8"/>
  <c r="EO41" i="8"/>
  <c r="EN41" i="8"/>
  <c r="EM41" i="8"/>
  <c r="EL41" i="8"/>
  <c r="ER41" i="8"/>
  <c r="FA46" i="4"/>
  <c r="FB46" i="4" s="1"/>
  <c r="DR45" i="4"/>
  <c r="ER68" i="8"/>
  <c r="ER62" i="8"/>
  <c r="ER61" i="8"/>
  <c r="EV61" i="8" s="1"/>
  <c r="ER60" i="8"/>
  <c r="EV60" i="8" s="1"/>
  <c r="ER55" i="8"/>
  <c r="ER54" i="8"/>
  <c r="EV54" i="8" s="1"/>
  <c r="ER53" i="8"/>
  <c r="EV53" i="8" s="1"/>
  <c r="EV26" i="4"/>
  <c r="EV25" i="4"/>
  <c r="EV39" i="4"/>
  <c r="EV38" i="4"/>
  <c r="ES46" i="4"/>
  <c r="ES114" i="4" s="1"/>
  <c r="N17" i="36" l="1" a="1"/>
  <c r="N17" i="36" s="1"/>
  <c r="N26" i="36" a="1"/>
  <c r="N26" i="36" s="1"/>
  <c r="FG17" i="8"/>
  <c r="FJ16" i="8"/>
  <c r="FG20" i="8"/>
  <c r="FF21" i="8"/>
  <c r="HA24" i="8"/>
  <c r="GZ25" i="8"/>
  <c r="ES115" i="4"/>
  <c r="ES116" i="4" s="1"/>
  <c r="ES118" i="4" s="1"/>
  <c r="GN86" i="4"/>
  <c r="GO86" i="4" s="1"/>
  <c r="GP86" i="4" s="1"/>
  <c r="GQ86" i="4" s="1"/>
  <c r="GL86" i="4"/>
  <c r="GN87" i="4"/>
  <c r="GO87" i="4" s="1"/>
  <c r="GP87" i="4" s="1"/>
  <c r="GQ87" i="4" s="1"/>
  <c r="GL87" i="4"/>
  <c r="DW123" i="4"/>
  <c r="DW124" i="4"/>
  <c r="EO123" i="4"/>
  <c r="EO124" i="4"/>
  <c r="EI123" i="4"/>
  <c r="EI124" i="4"/>
  <c r="DQ83" i="4"/>
  <c r="DQ82" i="4"/>
  <c r="DQ123" i="4"/>
  <c r="DQ124" i="4"/>
  <c r="DW83" i="4"/>
  <c r="DW82" i="4"/>
  <c r="EO83" i="4"/>
  <c r="EO82" i="4"/>
  <c r="EV46" i="4"/>
  <c r="ES99" i="4"/>
  <c r="AB45" i="7" s="1"/>
  <c r="EV12" i="4"/>
  <c r="ES100" i="4"/>
  <c r="DI101" i="4"/>
  <c r="DK101" i="4"/>
  <c r="DN101" i="4"/>
  <c r="ES42" i="8"/>
  <c r="EN158" i="2"/>
  <c r="EM158" i="2"/>
  <c r="EO158" i="2"/>
  <c r="EI158" i="2"/>
  <c r="DN158" i="2"/>
  <c r="EA158" i="2"/>
  <c r="DT158" i="2"/>
  <c r="ER157" i="2"/>
  <c r="DV158" i="2"/>
  <c r="EB158" i="2"/>
  <c r="EC158" i="2"/>
  <c r="DQ158" i="2"/>
  <c r="EG158" i="2"/>
  <c r="DL20" i="2"/>
  <c r="ED19" i="5"/>
  <c r="DR19" i="5"/>
  <c r="EJ19" i="5"/>
  <c r="FD46" i="4"/>
  <c r="GR58" i="5"/>
  <c r="EP19" i="5"/>
  <c r="DX19" i="5"/>
  <c r="DX35" i="5"/>
  <c r="EJ35" i="5"/>
  <c r="EP35" i="5"/>
  <c r="GF45" i="5"/>
  <c r="GX45" i="5"/>
  <c r="ED35" i="5"/>
  <c r="FT45" i="5"/>
  <c r="FH45" i="5"/>
  <c r="FZ45" i="5"/>
  <c r="HD45" i="5"/>
  <c r="DL35" i="5"/>
  <c r="FN45" i="5"/>
  <c r="GL45" i="5"/>
  <c r="DR35" i="5"/>
  <c r="EJ33" i="5"/>
  <c r="EP33" i="5"/>
  <c r="GR45" i="5"/>
  <c r="FA25" i="4"/>
  <c r="EV47" i="4"/>
  <c r="EV27" i="4"/>
  <c r="FA27" i="4"/>
  <c r="FD27" i="4" s="1"/>
  <c r="FE27" i="4" s="1"/>
  <c r="FF27" i="4" s="1"/>
  <c r="FG27" i="4" s="1"/>
  <c r="FH27" i="4" s="1"/>
  <c r="FA26" i="4"/>
  <c r="FD26" i="4" s="1"/>
  <c r="FE26" i="4" s="1"/>
  <c r="FF26" i="4" s="1"/>
  <c r="FG26" i="4" s="1"/>
  <c r="EV17" i="4"/>
  <c r="FA17" i="4"/>
  <c r="FD17" i="4" s="1"/>
  <c r="FE17" i="4" s="1"/>
  <c r="FF17" i="4" s="1"/>
  <c r="FG17" i="4" s="1"/>
  <c r="EV40" i="4" l="1"/>
  <c r="ET42" i="8"/>
  <c r="ET41" i="8"/>
  <c r="ET114" i="4"/>
  <c r="ET116" i="4" s="1"/>
  <c r="HB24" i="8"/>
  <c r="HA25" i="8"/>
  <c r="FJ17" i="8"/>
  <c r="FK16" i="8"/>
  <c r="FG21" i="8"/>
  <c r="FJ20" i="8"/>
  <c r="GT87" i="4"/>
  <c r="GU87" i="4" s="1"/>
  <c r="GV87" i="4" s="1"/>
  <c r="GW87" i="4" s="1"/>
  <c r="GR87" i="4"/>
  <c r="GT86" i="4"/>
  <c r="GU86" i="4" s="1"/>
  <c r="GV86" i="4" s="1"/>
  <c r="GW86" i="4" s="1"/>
  <c r="GR86" i="4"/>
  <c r="FA12" i="4"/>
  <c r="FD12" i="4" s="1"/>
  <c r="FE12" i="4" s="1"/>
  <c r="FF12" i="4" s="1"/>
  <c r="FG12" i="4" s="1"/>
  <c r="FH12" i="4" s="1"/>
  <c r="FA40" i="4"/>
  <c r="FD40" i="4" s="1"/>
  <c r="FE40" i="4" s="1"/>
  <c r="FF40" i="4" s="1"/>
  <c r="FG40" i="4" s="1"/>
  <c r="FH40" i="4" s="1"/>
  <c r="HD58" i="5"/>
  <c r="DR158" i="2"/>
  <c r="EP158" i="2"/>
  <c r="DL22" i="2"/>
  <c r="GF58" i="5"/>
  <c r="GL58" i="5"/>
  <c r="EV34" i="5"/>
  <c r="FZ58" i="5"/>
  <c r="FJ27" i="4"/>
  <c r="FK27" i="4" s="1"/>
  <c r="FL27" i="4" s="1"/>
  <c r="FM27" i="4" s="1"/>
  <c r="FN27" i="4" s="1"/>
  <c r="FA38" i="4"/>
  <c r="FA39" i="4"/>
  <c r="FD39" i="4" s="1"/>
  <c r="FE39" i="4" s="1"/>
  <c r="FF39" i="4" s="1"/>
  <c r="FG39" i="4" s="1"/>
  <c r="FN58" i="5"/>
  <c r="GX58" i="5"/>
  <c r="FJ46" i="4"/>
  <c r="FE46" i="4"/>
  <c r="FF46" i="4" s="1"/>
  <c r="FG46" i="4" s="1"/>
  <c r="FH46" i="4" s="1"/>
  <c r="FB25" i="4"/>
  <c r="FD25" i="4"/>
  <c r="FE25" i="4" s="1"/>
  <c r="FF25" i="4" s="1"/>
  <c r="FG25" i="4" s="1"/>
  <c r="FH26" i="4"/>
  <c r="FJ26" i="4"/>
  <c r="FK26" i="4" s="1"/>
  <c r="FL26" i="4" s="1"/>
  <c r="FM26" i="4" s="1"/>
  <c r="FH17" i="4"/>
  <c r="FJ17" i="4"/>
  <c r="FK17" i="4" s="1"/>
  <c r="FL17" i="4" s="1"/>
  <c r="FM17" i="4" s="1"/>
  <c r="FB27" i="4"/>
  <c r="FB26" i="4"/>
  <c r="FB17" i="4"/>
  <c r="FJ40" i="4" l="1"/>
  <c r="FK40" i="4" s="1"/>
  <c r="FL40" i="4" s="1"/>
  <c r="FM40" i="4" s="1"/>
  <c r="FP40" i="4" s="1"/>
  <c r="FQ40" i="4" s="1"/>
  <c r="FR40" i="4" s="1"/>
  <c r="FS40" i="4" s="1"/>
  <c r="FB40" i="4"/>
  <c r="ET43" i="8"/>
  <c r="FB12" i="4"/>
  <c r="FL16" i="8"/>
  <c r="FK17" i="8"/>
  <c r="FK20" i="8"/>
  <c r="FJ21" i="8"/>
  <c r="HC24" i="8"/>
  <c r="HB25" i="8"/>
  <c r="GZ86" i="4"/>
  <c r="HA86" i="4" s="1"/>
  <c r="HB86" i="4" s="1"/>
  <c r="HC86" i="4" s="1"/>
  <c r="GX86" i="4"/>
  <c r="GZ87" i="4"/>
  <c r="HA87" i="4" s="1"/>
  <c r="HB87" i="4" s="1"/>
  <c r="HC87" i="4" s="1"/>
  <c r="GX87" i="4"/>
  <c r="FJ12" i="4"/>
  <c r="FK12" i="4" s="1"/>
  <c r="FL12" i="4" s="1"/>
  <c r="FM12" i="4" s="1"/>
  <c r="FN12" i="4" s="1"/>
  <c r="DX158" i="2"/>
  <c r="ED158" i="2"/>
  <c r="EJ158" i="2"/>
  <c r="DL158" i="2"/>
  <c r="FP27" i="4"/>
  <c r="FQ27" i="4" s="1"/>
  <c r="FB38" i="4"/>
  <c r="FD38" i="4"/>
  <c r="FE38" i="4" s="1"/>
  <c r="FF38" i="4" s="1"/>
  <c r="FG38" i="4" s="1"/>
  <c r="FH39" i="4"/>
  <c r="FJ39" i="4"/>
  <c r="FK39" i="4" s="1"/>
  <c r="FL39" i="4" s="1"/>
  <c r="FM39" i="4" s="1"/>
  <c r="FK46" i="4"/>
  <c r="FL46" i="4" s="1"/>
  <c r="FM46" i="4" s="1"/>
  <c r="FN46" i="4" s="1"/>
  <c r="FP46" i="4"/>
  <c r="FN40" i="4"/>
  <c r="FN17" i="4"/>
  <c r="FP17" i="4"/>
  <c r="FQ17" i="4" s="1"/>
  <c r="FR17" i="4" s="1"/>
  <c r="FS17" i="4" s="1"/>
  <c r="FH25" i="4"/>
  <c r="FJ25" i="4"/>
  <c r="FK25" i="4" s="1"/>
  <c r="FL25" i="4" s="1"/>
  <c r="FM25" i="4" s="1"/>
  <c r="FB39" i="4"/>
  <c r="FN26" i="4"/>
  <c r="FP26" i="4"/>
  <c r="FQ26" i="4" s="1"/>
  <c r="FR26" i="4" s="1"/>
  <c r="FS26" i="4" s="1"/>
  <c r="FT58" i="5"/>
  <c r="FH58" i="5"/>
  <c r="HC25" i="8" l="1"/>
  <c r="HF24" i="8"/>
  <c r="HD86" i="4"/>
  <c r="HF86" i="4"/>
  <c r="HG86" i="4" s="1"/>
  <c r="HH86" i="4" s="1"/>
  <c r="HI86" i="4" s="1"/>
  <c r="HJ86" i="4" s="1"/>
  <c r="HD87" i="4"/>
  <c r="HF87" i="4"/>
  <c r="HG87" i="4" s="1"/>
  <c r="FL20" i="8"/>
  <c r="FK21" i="8"/>
  <c r="FM16" i="8"/>
  <c r="FL17" i="8"/>
  <c r="FP12" i="4"/>
  <c r="FQ12" i="4" s="1"/>
  <c r="FR12" i="4" s="1"/>
  <c r="FS12" i="4" s="1"/>
  <c r="FV12" i="4" s="1"/>
  <c r="FW12" i="4" s="1"/>
  <c r="FX12" i="4" s="1"/>
  <c r="FY12" i="4" s="1"/>
  <c r="FN39" i="4"/>
  <c r="FP39" i="4"/>
  <c r="FQ39" i="4" s="1"/>
  <c r="FR39" i="4" s="1"/>
  <c r="FS39" i="4" s="1"/>
  <c r="FA47" i="4"/>
  <c r="FT40" i="4"/>
  <c r="FV40" i="4"/>
  <c r="FW40" i="4" s="1"/>
  <c r="FX40" i="4" s="1"/>
  <c r="FY40" i="4" s="1"/>
  <c r="FN25" i="4"/>
  <c r="FP25" i="4"/>
  <c r="FQ25" i="4" s="1"/>
  <c r="FR25" i="4" s="1"/>
  <c r="FS25" i="4" s="1"/>
  <c r="FT26" i="4"/>
  <c r="FV26" i="4"/>
  <c r="FW26" i="4" s="1"/>
  <c r="FX26" i="4" s="1"/>
  <c r="FY26" i="4" s="1"/>
  <c r="FT17" i="4"/>
  <c r="FV17" i="4"/>
  <c r="FW17" i="4" s="1"/>
  <c r="FX17" i="4" s="1"/>
  <c r="FY17" i="4" s="1"/>
  <c r="FH38" i="4"/>
  <c r="FJ38" i="4"/>
  <c r="FK38" i="4" s="1"/>
  <c r="FL38" i="4" s="1"/>
  <c r="FM38" i="4" s="1"/>
  <c r="FQ46" i="4"/>
  <c r="FR46" i="4" s="1"/>
  <c r="FS46" i="4" s="1"/>
  <c r="FT46" i="4" s="1"/>
  <c r="FV46" i="4"/>
  <c r="FR27" i="4"/>
  <c r="HG24" i="8" l="1"/>
  <c r="HF25" i="8"/>
  <c r="HH87" i="4"/>
  <c r="FM17" i="8"/>
  <c r="FP16" i="8"/>
  <c r="FL21" i="8"/>
  <c r="FM20" i="8"/>
  <c r="FT12" i="4"/>
  <c r="FZ17" i="4"/>
  <c r="GB17" i="4"/>
  <c r="GC17" i="4" s="1"/>
  <c r="GD17" i="4" s="1"/>
  <c r="GE17" i="4" s="1"/>
  <c r="FZ26" i="4"/>
  <c r="GB26" i="4"/>
  <c r="GC26" i="4" s="1"/>
  <c r="GD26" i="4" s="1"/>
  <c r="GE26" i="4" s="1"/>
  <c r="FW46" i="4"/>
  <c r="FX46" i="4" s="1"/>
  <c r="FY46" i="4" s="1"/>
  <c r="FZ46" i="4" s="1"/>
  <c r="GB46" i="4"/>
  <c r="FT39" i="4"/>
  <c r="FV39" i="4"/>
  <c r="FW39" i="4" s="1"/>
  <c r="FX39" i="4" s="1"/>
  <c r="FY39" i="4" s="1"/>
  <c r="FT25" i="4"/>
  <c r="FV25" i="4"/>
  <c r="FW25" i="4" s="1"/>
  <c r="FX25" i="4" s="1"/>
  <c r="FY25" i="4" s="1"/>
  <c r="FZ12" i="4"/>
  <c r="GB12" i="4"/>
  <c r="GC12" i="4" s="1"/>
  <c r="GD12" i="4" s="1"/>
  <c r="GE12" i="4" s="1"/>
  <c r="FD47" i="4"/>
  <c r="FA34" i="5"/>
  <c r="FB34" i="5" s="1"/>
  <c r="FB47" i="4"/>
  <c r="FN38" i="4"/>
  <c r="FP38" i="4"/>
  <c r="FQ38" i="4" s="1"/>
  <c r="FR38" i="4" s="1"/>
  <c r="FS38" i="4" s="1"/>
  <c r="FZ40" i="4"/>
  <c r="GB40" i="4"/>
  <c r="GC40" i="4" s="1"/>
  <c r="GD40" i="4" s="1"/>
  <c r="GE40" i="4" s="1"/>
  <c r="FS27" i="4"/>
  <c r="HG25" i="8" l="1"/>
  <c r="HH24" i="8"/>
  <c r="HI87" i="4"/>
  <c r="FM21" i="8"/>
  <c r="FP20" i="8"/>
  <c r="FQ16" i="8"/>
  <c r="FP17" i="8"/>
  <c r="FT38" i="4"/>
  <c r="FV38" i="4"/>
  <c r="FW38" i="4" s="1"/>
  <c r="FX38" i="4" s="1"/>
  <c r="FY38" i="4" s="1"/>
  <c r="FZ25" i="4"/>
  <c r="GB25" i="4"/>
  <c r="GC25" i="4" s="1"/>
  <c r="GD25" i="4" s="1"/>
  <c r="GE25" i="4" s="1"/>
  <c r="GF12" i="4"/>
  <c r="GH12" i="4"/>
  <c r="GI12" i="4" s="1"/>
  <c r="GJ12" i="4" s="1"/>
  <c r="GK12" i="4" s="1"/>
  <c r="GF40" i="4"/>
  <c r="GH40" i="4"/>
  <c r="GI40" i="4" s="1"/>
  <c r="GJ40" i="4" s="1"/>
  <c r="GK40" i="4" s="1"/>
  <c r="GC46" i="4"/>
  <c r="GD46" i="4" s="1"/>
  <c r="GE46" i="4" s="1"/>
  <c r="GF46" i="4" s="1"/>
  <c r="GH46" i="4"/>
  <c r="GF26" i="4"/>
  <c r="GH26" i="4"/>
  <c r="GI26" i="4" s="1"/>
  <c r="GJ26" i="4" s="1"/>
  <c r="GK26" i="4" s="1"/>
  <c r="FZ39" i="4"/>
  <c r="GB39" i="4"/>
  <c r="GC39" i="4" s="1"/>
  <c r="GD39" i="4" s="1"/>
  <c r="GE39" i="4" s="1"/>
  <c r="GF17" i="4"/>
  <c r="GH17" i="4"/>
  <c r="GI17" i="4" s="1"/>
  <c r="GJ17" i="4" s="1"/>
  <c r="GK17" i="4" s="1"/>
  <c r="FE47" i="4"/>
  <c r="FD34" i="5"/>
  <c r="FT27" i="4"/>
  <c r="FV27" i="4"/>
  <c r="HH25" i="8" l="1"/>
  <c r="HI24" i="8"/>
  <c r="HI25" i="8" s="1"/>
  <c r="HJ87" i="4"/>
  <c r="FR16" i="8"/>
  <c r="FQ17" i="8"/>
  <c r="FP21" i="8"/>
  <c r="FQ20" i="8"/>
  <c r="GF39" i="4"/>
  <c r="GH39" i="4"/>
  <c r="GI39" i="4" s="1"/>
  <c r="GJ39" i="4" s="1"/>
  <c r="GK39" i="4" s="1"/>
  <c r="GF25" i="4"/>
  <c r="GH25" i="4"/>
  <c r="GI25" i="4" s="1"/>
  <c r="GJ25" i="4" s="1"/>
  <c r="GK25" i="4" s="1"/>
  <c r="GL40" i="4"/>
  <c r="GN40" i="4"/>
  <c r="GO40" i="4" s="1"/>
  <c r="GP40" i="4" s="1"/>
  <c r="GQ40" i="4" s="1"/>
  <c r="GL12" i="4"/>
  <c r="GN12" i="4"/>
  <c r="GO12" i="4" s="1"/>
  <c r="GP12" i="4" s="1"/>
  <c r="GQ12" i="4" s="1"/>
  <c r="GL26" i="4"/>
  <c r="GN26" i="4"/>
  <c r="GO26" i="4" s="1"/>
  <c r="GP26" i="4" s="1"/>
  <c r="GQ26" i="4" s="1"/>
  <c r="FF47" i="4"/>
  <c r="FE34" i="5"/>
  <c r="GL17" i="4"/>
  <c r="GN17" i="4"/>
  <c r="GO17" i="4" s="1"/>
  <c r="GP17" i="4" s="1"/>
  <c r="GQ17" i="4" s="1"/>
  <c r="GI46" i="4"/>
  <c r="GJ46" i="4" s="1"/>
  <c r="GK46" i="4" s="1"/>
  <c r="GL46" i="4" s="1"/>
  <c r="GN46" i="4"/>
  <c r="FZ38" i="4"/>
  <c r="GB38" i="4"/>
  <c r="GC38" i="4" s="1"/>
  <c r="GD38" i="4" s="1"/>
  <c r="GE38" i="4" s="1"/>
  <c r="FW27" i="4"/>
  <c r="FR20" i="8" l="1"/>
  <c r="FQ21" i="8"/>
  <c r="FS16" i="8"/>
  <c r="FR17" i="8"/>
  <c r="GR17" i="4"/>
  <c r="GT17" i="4"/>
  <c r="GU17" i="4" s="1"/>
  <c r="GV17" i="4" s="1"/>
  <c r="GW17" i="4" s="1"/>
  <c r="GR40" i="4"/>
  <c r="GT40" i="4"/>
  <c r="GU40" i="4" s="1"/>
  <c r="GV40" i="4" s="1"/>
  <c r="GW40" i="4" s="1"/>
  <c r="GL25" i="4"/>
  <c r="GN25" i="4"/>
  <c r="GO25" i="4" s="1"/>
  <c r="GP25" i="4" s="1"/>
  <c r="GQ25" i="4" s="1"/>
  <c r="GR26" i="4"/>
  <c r="GT26" i="4"/>
  <c r="GU26" i="4" s="1"/>
  <c r="GV26" i="4" s="1"/>
  <c r="GW26" i="4" s="1"/>
  <c r="FF34" i="5"/>
  <c r="FG47" i="4"/>
  <c r="GF38" i="4"/>
  <c r="GH38" i="4"/>
  <c r="GI38" i="4" s="1"/>
  <c r="GJ38" i="4" s="1"/>
  <c r="GK38" i="4" s="1"/>
  <c r="GR12" i="4"/>
  <c r="GT12" i="4"/>
  <c r="GU12" i="4" s="1"/>
  <c r="GV12" i="4" s="1"/>
  <c r="GW12" i="4" s="1"/>
  <c r="GL39" i="4"/>
  <c r="GN39" i="4"/>
  <c r="GO39" i="4" s="1"/>
  <c r="GP39" i="4" s="1"/>
  <c r="GQ39" i="4" s="1"/>
  <c r="GO46" i="4"/>
  <c r="GP46" i="4" s="1"/>
  <c r="GQ46" i="4" s="1"/>
  <c r="GR46" i="4" s="1"/>
  <c r="GT46" i="4"/>
  <c r="FX27" i="4"/>
  <c r="FS17" i="8" l="1"/>
  <c r="FV16" i="8"/>
  <c r="FS20" i="8"/>
  <c r="FR21" i="8"/>
  <c r="GX12" i="4"/>
  <c r="GZ12" i="4"/>
  <c r="HA12" i="4" s="1"/>
  <c r="HB12" i="4" s="1"/>
  <c r="HC12" i="4" s="1"/>
  <c r="GX40" i="4"/>
  <c r="GZ40" i="4"/>
  <c r="HA40" i="4" s="1"/>
  <c r="HB40" i="4" s="1"/>
  <c r="HC40" i="4" s="1"/>
  <c r="GR25" i="4"/>
  <c r="GT25" i="4"/>
  <c r="GU25" i="4" s="1"/>
  <c r="GV25" i="4" s="1"/>
  <c r="GW25" i="4" s="1"/>
  <c r="GU46" i="4"/>
  <c r="GV46" i="4" s="1"/>
  <c r="GW46" i="4" s="1"/>
  <c r="GX46" i="4" s="1"/>
  <c r="GZ46" i="4"/>
  <c r="FJ47" i="4"/>
  <c r="FH47" i="4"/>
  <c r="FG34" i="5"/>
  <c r="FH34" i="5" s="1"/>
  <c r="GX17" i="4"/>
  <c r="GZ17" i="4"/>
  <c r="HA17" i="4" s="1"/>
  <c r="HB17" i="4" s="1"/>
  <c r="HC17" i="4" s="1"/>
  <c r="GX26" i="4"/>
  <c r="GZ26" i="4"/>
  <c r="HA26" i="4" s="1"/>
  <c r="HB26" i="4" s="1"/>
  <c r="HC26" i="4" s="1"/>
  <c r="GL38" i="4"/>
  <c r="GN38" i="4"/>
  <c r="GO38" i="4" s="1"/>
  <c r="GP38" i="4" s="1"/>
  <c r="GQ38" i="4" s="1"/>
  <c r="GR39" i="4"/>
  <c r="GT39" i="4"/>
  <c r="GU39" i="4" s="1"/>
  <c r="GV39" i="4" s="1"/>
  <c r="GW39" i="4" s="1"/>
  <c r="FY27" i="4"/>
  <c r="HA46" i="4" l="1"/>
  <c r="HB46" i="4" s="1"/>
  <c r="HC46" i="4" s="1"/>
  <c r="HD46" i="4" s="1"/>
  <c r="HF46" i="4"/>
  <c r="HG46" i="4" s="1"/>
  <c r="HH46" i="4" s="1"/>
  <c r="HI46" i="4" s="1"/>
  <c r="HJ46" i="4" s="1"/>
  <c r="HD26" i="4"/>
  <c r="HF26" i="4"/>
  <c r="HG26" i="4" s="1"/>
  <c r="HH26" i="4" s="1"/>
  <c r="HI26" i="4" s="1"/>
  <c r="HJ26" i="4" s="1"/>
  <c r="HD12" i="4"/>
  <c r="HF12" i="4"/>
  <c r="HG12" i="4" s="1"/>
  <c r="HH12" i="4" s="1"/>
  <c r="HI12" i="4" s="1"/>
  <c r="HJ12" i="4" s="1"/>
  <c r="HD40" i="4"/>
  <c r="HF40" i="4"/>
  <c r="HG40" i="4" s="1"/>
  <c r="HH40" i="4" s="1"/>
  <c r="HI40" i="4" s="1"/>
  <c r="HJ40" i="4" s="1"/>
  <c r="HD17" i="4"/>
  <c r="HF17" i="4"/>
  <c r="HG17" i="4" s="1"/>
  <c r="HH17" i="4" s="1"/>
  <c r="HI17" i="4" s="1"/>
  <c r="HJ17" i="4" s="1"/>
  <c r="FS21" i="8"/>
  <c r="FV20" i="8"/>
  <c r="FW16" i="8"/>
  <c r="FV17" i="8"/>
  <c r="GX25" i="4"/>
  <c r="GZ25" i="4"/>
  <c r="HA25" i="4" s="1"/>
  <c r="HB25" i="4" s="1"/>
  <c r="HC25" i="4" s="1"/>
  <c r="GX39" i="4"/>
  <c r="GZ39" i="4"/>
  <c r="HA39" i="4" s="1"/>
  <c r="HB39" i="4" s="1"/>
  <c r="HC39" i="4" s="1"/>
  <c r="GR38" i="4"/>
  <c r="GT38" i="4"/>
  <c r="GU38" i="4" s="1"/>
  <c r="GV38" i="4" s="1"/>
  <c r="GW38" i="4" s="1"/>
  <c r="FK47" i="4"/>
  <c r="FJ34" i="5"/>
  <c r="FZ27" i="4"/>
  <c r="GB27" i="4"/>
  <c r="HD25" i="4" l="1"/>
  <c r="HF25" i="4"/>
  <c r="HG25" i="4" s="1"/>
  <c r="HH25" i="4" s="1"/>
  <c r="HI25" i="4" s="1"/>
  <c r="HJ25" i="4" s="1"/>
  <c r="HD39" i="4"/>
  <c r="HF39" i="4"/>
  <c r="HG39" i="4" s="1"/>
  <c r="HH39" i="4" s="1"/>
  <c r="HI39" i="4" s="1"/>
  <c r="HJ39" i="4" s="1"/>
  <c r="FX16" i="8"/>
  <c r="FW17" i="8"/>
  <c r="FW20" i="8"/>
  <c r="FV21" i="8"/>
  <c r="GX38" i="4"/>
  <c r="GZ38" i="4"/>
  <c r="HA38" i="4" s="1"/>
  <c r="HB38" i="4" s="1"/>
  <c r="HC38" i="4" s="1"/>
  <c r="FL47" i="4"/>
  <c r="FK34" i="5"/>
  <c r="GC27" i="4"/>
  <c r="HD38" i="4" l="1"/>
  <c r="HF38" i="4"/>
  <c r="HG38" i="4" s="1"/>
  <c r="HH38" i="4" s="1"/>
  <c r="HI38" i="4" s="1"/>
  <c r="HJ38" i="4" s="1"/>
  <c r="FW21" i="8"/>
  <c r="FX20" i="8"/>
  <c r="FX17" i="8"/>
  <c r="FY16" i="8"/>
  <c r="FM47" i="4"/>
  <c r="FL34" i="5"/>
  <c r="GD27" i="4"/>
  <c r="FY17" i="8" l="1"/>
  <c r="GB16" i="8"/>
  <c r="FY20" i="8"/>
  <c r="FX21" i="8"/>
  <c r="FN47" i="4"/>
  <c r="FP47" i="4"/>
  <c r="FM34" i="5"/>
  <c r="FN34" i="5" s="1"/>
  <c r="GE27" i="4"/>
  <c r="FY21" i="8" l="1"/>
  <c r="GB20" i="8"/>
  <c r="GC16" i="8"/>
  <c r="GB17" i="8"/>
  <c r="FQ47" i="4"/>
  <c r="FP34" i="5"/>
  <c r="GF27" i="4"/>
  <c r="GH27" i="4"/>
  <c r="GD16" i="8" l="1"/>
  <c r="GC17" i="8"/>
  <c r="GC20" i="8"/>
  <c r="GB21" i="8"/>
  <c r="FR47" i="4"/>
  <c r="FQ34" i="5"/>
  <c r="GI27" i="4"/>
  <c r="GD20" i="8" l="1"/>
  <c r="GC21" i="8"/>
  <c r="GE16" i="8"/>
  <c r="GD17" i="8"/>
  <c r="FS47" i="4"/>
  <c r="FR34" i="5"/>
  <c r="GJ27" i="4"/>
  <c r="GE17" i="8" l="1"/>
  <c r="GH16" i="8"/>
  <c r="GE20" i="8"/>
  <c r="GD21" i="8"/>
  <c r="FT47" i="4"/>
  <c r="FV47" i="4"/>
  <c r="FS34" i="5"/>
  <c r="FT34" i="5" s="1"/>
  <c r="GK27" i="4"/>
  <c r="GE21" i="8" l="1"/>
  <c r="GH20" i="8"/>
  <c r="GI16" i="8"/>
  <c r="GH17" i="8"/>
  <c r="FW47" i="4"/>
  <c r="FV34" i="5"/>
  <c r="GL27" i="4"/>
  <c r="GN27" i="4"/>
  <c r="GI17" i="8" l="1"/>
  <c r="GJ16" i="8"/>
  <c r="GI20" i="8"/>
  <c r="GH21" i="8"/>
  <c r="FX47" i="4"/>
  <c r="FW34" i="5"/>
  <c r="GO27" i="4"/>
  <c r="GJ20" i="8" l="1"/>
  <c r="GI21" i="8"/>
  <c r="GJ17" i="8"/>
  <c r="GK16" i="8"/>
  <c r="FY47" i="4"/>
  <c r="FX34" i="5"/>
  <c r="GP27" i="4"/>
  <c r="GK17" i="8" l="1"/>
  <c r="GN16" i="8"/>
  <c r="GK20" i="8"/>
  <c r="GJ21" i="8"/>
  <c r="FZ47" i="4"/>
  <c r="GB47" i="4"/>
  <c r="FY34" i="5"/>
  <c r="FZ34" i="5" s="1"/>
  <c r="GQ27" i="4"/>
  <c r="GK21" i="8" l="1"/>
  <c r="GN20" i="8"/>
  <c r="GO16" i="8"/>
  <c r="GN17" i="8"/>
  <c r="GC47" i="4"/>
  <c r="GB34" i="5"/>
  <c r="GR27" i="4"/>
  <c r="GT27" i="4"/>
  <c r="GO20" i="8" l="1"/>
  <c r="GN21" i="8"/>
  <c r="GP16" i="8"/>
  <c r="GO17" i="8"/>
  <c r="GD47" i="4"/>
  <c r="GC34" i="5"/>
  <c r="GU27" i="4"/>
  <c r="GQ16" i="8" l="1"/>
  <c r="GP17" i="8"/>
  <c r="GP20" i="8"/>
  <c r="GO21" i="8"/>
  <c r="GE47" i="4"/>
  <c r="GD34" i="5"/>
  <c r="GV27" i="4"/>
  <c r="GQ20" i="8" l="1"/>
  <c r="GP21" i="8"/>
  <c r="GQ17" i="8"/>
  <c r="GT16" i="8"/>
  <c r="GF47" i="4"/>
  <c r="GH47" i="4"/>
  <c r="GE34" i="5"/>
  <c r="GF34" i="5" s="1"/>
  <c r="GW27" i="4"/>
  <c r="GU16" i="8" l="1"/>
  <c r="GT17" i="8"/>
  <c r="GQ21" i="8"/>
  <c r="GT20" i="8"/>
  <c r="GI47" i="4"/>
  <c r="GH34" i="5"/>
  <c r="GX27" i="4"/>
  <c r="GZ27" i="4"/>
  <c r="GU20" i="8" l="1"/>
  <c r="GT21" i="8"/>
  <c r="GV16" i="8"/>
  <c r="GU17" i="8"/>
  <c r="GJ47" i="4"/>
  <c r="GI34" i="5"/>
  <c r="HA27" i="4"/>
  <c r="GV17" i="8" l="1"/>
  <c r="GW16" i="8"/>
  <c r="GU21" i="8"/>
  <c r="GV20" i="8"/>
  <c r="GK47" i="4"/>
  <c r="GJ34" i="5"/>
  <c r="HB27" i="4"/>
  <c r="GV21" i="8" l="1"/>
  <c r="GW20" i="8"/>
  <c r="GW17" i="8"/>
  <c r="GZ16" i="8"/>
  <c r="GL47" i="4"/>
  <c r="GN47" i="4"/>
  <c r="GK34" i="5"/>
  <c r="GL34" i="5" s="1"/>
  <c r="HC27" i="4"/>
  <c r="HF27" i="4" s="1"/>
  <c r="HG27" i="4" l="1"/>
  <c r="GZ17" i="8"/>
  <c r="HA16" i="8"/>
  <c r="GW21" i="8"/>
  <c r="GZ20" i="8"/>
  <c r="GO47" i="4"/>
  <c r="GN34" i="5"/>
  <c r="HD27" i="4"/>
  <c r="HH27" i="4" l="1"/>
  <c r="HA20" i="8"/>
  <c r="GZ21" i="8"/>
  <c r="HA17" i="8"/>
  <c r="HB16" i="8"/>
  <c r="GP47" i="4"/>
  <c r="GO34" i="5"/>
  <c r="HI27" i="4" l="1"/>
  <c r="HC16" i="8"/>
  <c r="HB17" i="8"/>
  <c r="HB20" i="8"/>
  <c r="HA21" i="8"/>
  <c r="GQ47" i="4"/>
  <c r="GP34" i="5"/>
  <c r="HC17" i="8" l="1"/>
  <c r="HF16" i="8"/>
  <c r="HJ27" i="4"/>
  <c r="HC20" i="8"/>
  <c r="HB21" i="8"/>
  <c r="GR47" i="4"/>
  <c r="GT47" i="4"/>
  <c r="GQ34" i="5"/>
  <c r="GR34" i="5" s="1"/>
  <c r="HC21" i="8" l="1"/>
  <c r="HF20" i="8"/>
  <c r="HG16" i="8"/>
  <c r="HF17" i="8"/>
  <c r="GU47" i="4"/>
  <c r="GT34" i="5"/>
  <c r="HG20" i="8" l="1"/>
  <c r="HF21" i="8"/>
  <c r="HH16" i="8"/>
  <c r="HG17" i="8"/>
  <c r="GV47" i="4"/>
  <c r="GU34" i="5"/>
  <c r="HI16" i="8" l="1"/>
  <c r="HI17" i="8" s="1"/>
  <c r="HH17" i="8"/>
  <c r="HH20" i="8"/>
  <c r="HG21" i="8"/>
  <c r="GW47" i="4"/>
  <c r="GV34" i="5"/>
  <c r="EP42" i="8"/>
  <c r="ED41" i="8"/>
  <c r="ER10" i="8"/>
  <c r="EN10" i="8"/>
  <c r="EM10" i="8"/>
  <c r="EL10" i="8"/>
  <c r="DK10" i="8"/>
  <c r="DJ10" i="8"/>
  <c r="DI10" i="8"/>
  <c r="DH10" i="8"/>
  <c r="HH21" i="8" l="1"/>
  <c r="HI20" i="8"/>
  <c r="HI21" i="8" s="1"/>
  <c r="GX47" i="4"/>
  <c r="GZ47" i="4"/>
  <c r="GW34" i="5"/>
  <c r="GX34" i="5" s="1"/>
  <c r="DV43" i="8"/>
  <c r="DW43" i="8"/>
  <c r="DZ43" i="8"/>
  <c r="EP41" i="8"/>
  <c r="EJ41" i="8"/>
  <c r="EA43" i="8"/>
  <c r="EB43" i="8"/>
  <c r="EC43" i="8"/>
  <c r="HA47" i="4" l="1"/>
  <c r="GZ34" i="5"/>
  <c r="EV65" i="5"/>
  <c r="EV61" i="5"/>
  <c r="EV60" i="5"/>
  <c r="EV59" i="5"/>
  <c r="EV56" i="5"/>
  <c r="EV55" i="5"/>
  <c r="EV54" i="5"/>
  <c r="EV53" i="5"/>
  <c r="EV52" i="5"/>
  <c r="EV46" i="5"/>
  <c r="EV44" i="5"/>
  <c r="EV40" i="5"/>
  <c r="EV42" i="5"/>
  <c r="EV41" i="5"/>
  <c r="EV15" i="5"/>
  <c r="FB42" i="5"/>
  <c r="FB41" i="5"/>
  <c r="FB44" i="5"/>
  <c r="FB56" i="5"/>
  <c r="FB55" i="5"/>
  <c r="FB59" i="5"/>
  <c r="FB60" i="5"/>
  <c r="EP60" i="5"/>
  <c r="EJ60" i="5"/>
  <c r="ED60" i="5"/>
  <c r="DX60" i="5"/>
  <c r="DR60" i="5"/>
  <c r="DL60" i="5"/>
  <c r="HB47" i="4" l="1"/>
  <c r="HA34" i="5"/>
  <c r="ER76" i="2"/>
  <c r="EN76" i="2"/>
  <c r="EM76" i="2"/>
  <c r="EL76" i="2"/>
  <c r="EH76" i="2"/>
  <c r="EG76" i="2"/>
  <c r="EF76" i="2"/>
  <c r="EB76" i="2"/>
  <c r="EA76" i="2"/>
  <c r="DZ76" i="2"/>
  <c r="DP76" i="2"/>
  <c r="DO76" i="2"/>
  <c r="DN76" i="2"/>
  <c r="DJ76" i="2"/>
  <c r="DH76" i="2"/>
  <c r="C76" i="2"/>
  <c r="HC47" i="4" l="1"/>
  <c r="HF47" i="4" s="1"/>
  <c r="HB34" i="5"/>
  <c r="HG47" i="4" l="1"/>
  <c r="HF34" i="5"/>
  <c r="HD47" i="4"/>
  <c r="HC34" i="5"/>
  <c r="HD34" i="5" s="1"/>
  <c r="HH47" i="4" l="1"/>
  <c r="HG34" i="5"/>
  <c r="ER129" i="34"/>
  <c r="EO129" i="34"/>
  <c r="EN129" i="34"/>
  <c r="EM129" i="34"/>
  <c r="EL129" i="34"/>
  <c r="EI129" i="34"/>
  <c r="EH129" i="34"/>
  <c r="EG129" i="34"/>
  <c r="EF129" i="34"/>
  <c r="EC129" i="34"/>
  <c r="EB129" i="34"/>
  <c r="EA129" i="34"/>
  <c r="DZ129" i="34"/>
  <c r="DW129" i="34"/>
  <c r="DV129" i="34"/>
  <c r="DU129" i="34"/>
  <c r="DT129" i="34"/>
  <c r="DQ129" i="34"/>
  <c r="DP129" i="34"/>
  <c r="DO129" i="34"/>
  <c r="DN129" i="34"/>
  <c r="DK129" i="34"/>
  <c r="DJ129" i="34"/>
  <c r="DI129" i="34"/>
  <c r="DH129" i="34"/>
  <c r="EP128" i="34"/>
  <c r="EP134" i="34" s="1"/>
  <c r="EP135" i="34" s="1"/>
  <c r="EJ128" i="34"/>
  <c r="EJ134" i="34" s="1"/>
  <c r="EJ135" i="34" s="1"/>
  <c r="ED128" i="34"/>
  <c r="ED134" i="34" s="1"/>
  <c r="ED135" i="34" s="1"/>
  <c r="DX128" i="34"/>
  <c r="DX134" i="34" s="1"/>
  <c r="DX135" i="34" s="1"/>
  <c r="DR128" i="34"/>
  <c r="DL128" i="34"/>
  <c r="EP127" i="34"/>
  <c r="EP132" i="34" s="1"/>
  <c r="EJ127" i="34"/>
  <c r="EJ132" i="34" s="1"/>
  <c r="ED127" i="34"/>
  <c r="DX127" i="34"/>
  <c r="DX132" i="34" s="1"/>
  <c r="DR127" i="34"/>
  <c r="DR132" i="34" s="1"/>
  <c r="DL127" i="34"/>
  <c r="DL132" i="34" s="1"/>
  <c r="HI47" i="4" l="1"/>
  <c r="HH34" i="5"/>
  <c r="DX136" i="34"/>
  <c r="DX137" i="34" s="1"/>
  <c r="EP136" i="34"/>
  <c r="EP137" i="34" s="1"/>
  <c r="EJ136" i="34"/>
  <c r="EJ137" i="34" s="1"/>
  <c r="DL129" i="34"/>
  <c r="ED129" i="34"/>
  <c r="EJ129" i="34"/>
  <c r="EP129" i="34"/>
  <c r="DR129" i="34"/>
  <c r="DX129" i="34"/>
  <c r="HJ47" i="4" l="1"/>
  <c r="HI34" i="5"/>
  <c r="HJ34" i="5" s="1"/>
  <c r="EJ55" i="2"/>
  <c r="FB55" i="2" l="1"/>
  <c r="EP23" i="8"/>
  <c r="EJ23" i="8"/>
  <c r="EP43" i="8"/>
  <c r="EN43" i="8"/>
  <c r="EL43" i="8"/>
  <c r="EJ43" i="8"/>
  <c r="EF43" i="8"/>
  <c r="ED43" i="8"/>
  <c r="ED23" i="8"/>
  <c r="EP36" i="8"/>
  <c r="EP31" i="8"/>
  <c r="EJ36" i="8"/>
  <c r="ED36" i="8"/>
  <c r="DX36" i="8"/>
  <c r="DX23" i="8"/>
  <c r="EO43" i="8" l="1"/>
  <c r="EI43" i="8"/>
  <c r="EH43" i="8"/>
  <c r="EM43" i="8"/>
  <c r="EG43" i="8"/>
  <c r="DX31" i="8" l="1"/>
  <c r="DX42" i="8"/>
  <c r="DX41" i="8"/>
  <c r="DX43" i="8" l="1"/>
  <c r="DU43" i="8"/>
  <c r="EO10" i="8" l="1"/>
  <c r="EJ57" i="2"/>
  <c r="EJ58" i="2" l="1"/>
  <c r="DI76" i="2" l="1"/>
  <c r="EO105" i="34" l="1"/>
  <c r="EO104" i="34"/>
  <c r="EO103" i="34"/>
  <c r="EO102" i="34"/>
  <c r="DK105" i="34"/>
  <c r="DK104" i="34"/>
  <c r="DK103" i="34"/>
  <c r="DK102" i="34"/>
  <c r="DQ105" i="34"/>
  <c r="DQ104" i="34"/>
  <c r="DQ103" i="34"/>
  <c r="DQ102" i="34"/>
  <c r="DW105" i="34"/>
  <c r="DW104" i="34"/>
  <c r="DW103" i="34"/>
  <c r="DW102" i="34"/>
  <c r="EC105" i="34"/>
  <c r="EC104" i="34"/>
  <c r="EC103" i="34"/>
  <c r="EC102" i="34"/>
  <c r="EI105" i="34"/>
  <c r="EI104" i="34"/>
  <c r="EI103" i="34"/>
  <c r="EI102" i="34"/>
  <c r="DJ106" i="34"/>
  <c r="DI106" i="34"/>
  <c r="DH106" i="34"/>
  <c r="DP106" i="34"/>
  <c r="DO106" i="34"/>
  <c r="DN106" i="34"/>
  <c r="ER106" i="34"/>
  <c r="EN106" i="34"/>
  <c r="EM106" i="34"/>
  <c r="EL106" i="34"/>
  <c r="DR102" i="34" l="1"/>
  <c r="EJ104" i="34"/>
  <c r="DL102" i="34"/>
  <c r="DP133" i="34"/>
  <c r="DP111" i="34"/>
  <c r="DP110" i="34"/>
  <c r="DP109" i="34"/>
  <c r="DP108" i="34"/>
  <c r="DR103" i="34"/>
  <c r="EM133" i="34"/>
  <c r="EM109" i="34"/>
  <c r="EM111" i="34"/>
  <c r="EM108" i="34"/>
  <c r="EM110" i="34"/>
  <c r="DL104" i="34"/>
  <c r="EL133" i="34"/>
  <c r="EL108" i="34"/>
  <c r="EL111" i="34"/>
  <c r="EL110" i="34"/>
  <c r="EL109" i="34"/>
  <c r="DR105" i="34"/>
  <c r="EN133" i="34"/>
  <c r="EN111" i="34"/>
  <c r="EN110" i="34"/>
  <c r="EN108" i="34"/>
  <c r="EN109" i="34"/>
  <c r="ER133" i="34"/>
  <c r="ER111" i="34"/>
  <c r="ER110" i="34"/>
  <c r="ER109" i="34"/>
  <c r="ER108" i="34"/>
  <c r="DL103" i="34"/>
  <c r="DN133" i="34"/>
  <c r="DN110" i="34"/>
  <c r="DN109" i="34"/>
  <c r="DN111" i="34"/>
  <c r="DN108" i="34"/>
  <c r="ED104" i="34"/>
  <c r="DO133" i="34"/>
  <c r="DO111" i="34"/>
  <c r="DO110" i="34"/>
  <c r="DO109" i="34"/>
  <c r="DO108" i="34"/>
  <c r="EP102" i="34"/>
  <c r="DH111" i="34"/>
  <c r="DH110" i="34"/>
  <c r="DH108" i="34"/>
  <c r="DH109" i="34"/>
  <c r="EP103" i="34"/>
  <c r="DI111" i="34"/>
  <c r="DI110" i="34"/>
  <c r="DI109" i="34"/>
  <c r="DI108" i="34"/>
  <c r="DX104" i="34"/>
  <c r="EP104" i="34"/>
  <c r="DJ108" i="34"/>
  <c r="DJ111" i="34"/>
  <c r="DJ110" i="34"/>
  <c r="DJ109" i="34"/>
  <c r="EP105" i="34"/>
  <c r="DL78" i="34"/>
  <c r="DH133" i="34"/>
  <c r="DI133" i="34"/>
  <c r="DJ133" i="34"/>
  <c r="EO106" i="34"/>
  <c r="EO133" i="34" s="1"/>
  <c r="DK106" i="34"/>
  <c r="DK108" i="34" s="1"/>
  <c r="DR78" i="34"/>
  <c r="DL105" i="34"/>
  <c r="DQ106" i="34"/>
  <c r="DQ133" i="34" s="1"/>
  <c r="DR104" i="34"/>
  <c r="DR134" i="34" l="1"/>
  <c r="DR136" i="34" s="1"/>
  <c r="DL134" i="34"/>
  <c r="DL135" i="34" s="1"/>
  <c r="EP106" i="34"/>
  <c r="EP133" i="34" s="1"/>
  <c r="DK111" i="34"/>
  <c r="DK110" i="34"/>
  <c r="DK109" i="34"/>
  <c r="EO111" i="34"/>
  <c r="EO108" i="34"/>
  <c r="EO109" i="34"/>
  <c r="DQ111" i="34"/>
  <c r="DR106" i="34"/>
  <c r="DR133" i="34" s="1"/>
  <c r="DL106" i="34"/>
  <c r="DL108" i="34" s="1"/>
  <c r="EO110" i="34"/>
  <c r="DQ110" i="34"/>
  <c r="DQ109" i="34"/>
  <c r="DQ108" i="34"/>
  <c r="DR135" i="34"/>
  <c r="DX79" i="34"/>
  <c r="DR90" i="34"/>
  <c r="DR14" i="34" s="1"/>
  <c r="DL79" i="34"/>
  <c r="DL90" i="34"/>
  <c r="DL82" i="34" s="1"/>
  <c r="DR79" i="34"/>
  <c r="DH136" i="34"/>
  <c r="DH137" i="34" s="1"/>
  <c r="DI136" i="34"/>
  <c r="DI137" i="34" s="1"/>
  <c r="DK133" i="34"/>
  <c r="DK136" i="34"/>
  <c r="DK137" i="34" s="1"/>
  <c r="DJ136" i="34"/>
  <c r="DJ137" i="34" s="1"/>
  <c r="EJ59" i="2"/>
  <c r="EJ54" i="2"/>
  <c r="DR110" i="34" l="1"/>
  <c r="EP109" i="34"/>
  <c r="EP111" i="34"/>
  <c r="DR82" i="34"/>
  <c r="DL111" i="34"/>
  <c r="EP108" i="34"/>
  <c r="EP110" i="34"/>
  <c r="DL95" i="34"/>
  <c r="DL14" i="34"/>
  <c r="DL110" i="34"/>
  <c r="DL109" i="34"/>
  <c r="DR108" i="34"/>
  <c r="DR109" i="34"/>
  <c r="DR111" i="34"/>
  <c r="DR137" i="34"/>
  <c r="DR95" i="34"/>
  <c r="DX95" i="34"/>
  <c r="DL133" i="34"/>
  <c r="DL136" i="34"/>
  <c r="DL137" i="34" s="1"/>
  <c r="EO76" i="2"/>
  <c r="EJ53" i="2"/>
  <c r="EI76" i="2"/>
  <c r="DL76" i="2"/>
  <c r="DK76" i="2"/>
  <c r="DR76" i="2"/>
  <c r="DQ76" i="2"/>
  <c r="EC76" i="2"/>
  <c r="AA11" i="7"/>
  <c r="EJ49" i="2"/>
  <c r="ER145" i="2"/>
  <c r="ER147" i="2" s="1"/>
  <c r="ER100" i="2"/>
  <c r="ER89" i="2"/>
  <c r="ER87" i="2"/>
  <c r="ER85" i="2"/>
  <c r="ER77" i="2"/>
  <c r="ER75" i="2"/>
  <c r="EL6" i="5"/>
  <c r="EL9" i="5"/>
  <c r="EM9" i="5"/>
  <c r="EN9" i="5"/>
  <c r="EO9" i="5"/>
  <c r="EL11" i="5"/>
  <c r="EL33" i="2" s="1"/>
  <c r="EM11" i="5"/>
  <c r="EM33" i="2" s="1"/>
  <c r="EN11" i="5"/>
  <c r="EN33" i="2" s="1"/>
  <c r="EO11" i="5"/>
  <c r="EO33" i="2" s="1"/>
  <c r="EL12" i="5"/>
  <c r="EL34" i="2" s="1"/>
  <c r="EM12" i="5"/>
  <c r="EM34" i="2" s="1"/>
  <c r="EN12" i="5"/>
  <c r="EN34" i="2" s="1"/>
  <c r="EO12" i="5"/>
  <c r="EO34" i="2" s="1"/>
  <c r="EL13" i="5"/>
  <c r="EL35" i="2" s="1"/>
  <c r="EM13" i="5"/>
  <c r="EM35" i="2" s="1"/>
  <c r="EN13" i="5"/>
  <c r="EN35" i="2" s="1"/>
  <c r="EO13" i="5"/>
  <c r="EO35" i="2" s="1"/>
  <c r="EL15" i="5"/>
  <c r="EM15" i="5"/>
  <c r="EN15" i="5"/>
  <c r="EO15" i="5"/>
  <c r="EL16" i="5"/>
  <c r="EP16" i="5" s="1"/>
  <c r="EL17" i="5"/>
  <c r="EM17" i="5"/>
  <c r="EN17" i="5"/>
  <c r="EO17" i="5"/>
  <c r="EL18" i="5"/>
  <c r="EM18" i="5"/>
  <c r="EN18" i="5"/>
  <c r="EO18" i="5"/>
  <c r="EL20" i="5"/>
  <c r="EM20" i="5"/>
  <c r="EN20" i="5"/>
  <c r="EO20" i="5"/>
  <c r="EL21" i="5"/>
  <c r="EM21" i="5"/>
  <c r="EN21" i="5"/>
  <c r="EO21" i="5"/>
  <c r="EL22" i="5"/>
  <c r="EM22" i="5"/>
  <c r="EN22" i="5"/>
  <c r="EO22" i="5"/>
  <c r="EL23" i="5"/>
  <c r="EM23" i="5"/>
  <c r="EN23" i="5"/>
  <c r="EO23" i="5"/>
  <c r="EL24" i="5"/>
  <c r="EM24" i="5"/>
  <c r="EN24" i="5"/>
  <c r="EO24" i="5"/>
  <c r="EL25" i="5"/>
  <c r="EM25" i="5"/>
  <c r="EN25" i="5"/>
  <c r="EO25" i="5"/>
  <c r="EL26" i="5"/>
  <c r="EM26" i="5"/>
  <c r="EN26" i="5"/>
  <c r="EO26" i="5"/>
  <c r="EL29" i="5"/>
  <c r="EM29" i="5"/>
  <c r="EN29" i="5"/>
  <c r="EO29" i="5"/>
  <c r="EL30" i="5"/>
  <c r="EM30" i="5"/>
  <c r="EN30" i="5"/>
  <c r="EO30" i="5"/>
  <c r="EL31" i="5"/>
  <c r="EM31" i="5"/>
  <c r="EN31" i="5"/>
  <c r="EO31" i="5"/>
  <c r="EL32" i="5"/>
  <c r="EM32" i="5"/>
  <c r="EN32" i="5"/>
  <c r="EO32" i="5"/>
  <c r="EL34" i="5"/>
  <c r="EM34" i="5"/>
  <c r="EN34" i="5"/>
  <c r="EO34" i="5"/>
  <c r="EL41" i="5"/>
  <c r="EM41" i="5"/>
  <c r="EN41" i="5"/>
  <c r="EO41" i="5"/>
  <c r="EL42" i="5"/>
  <c r="EM42" i="5"/>
  <c r="EN42" i="5"/>
  <c r="EO42" i="5"/>
  <c r="EL39" i="5"/>
  <c r="EM39" i="5"/>
  <c r="EN39" i="5"/>
  <c r="EO39" i="5"/>
  <c r="EL40" i="5"/>
  <c r="EM40" i="5"/>
  <c r="EN40" i="5"/>
  <c r="EO40" i="5"/>
  <c r="EL43" i="5"/>
  <c r="EM43" i="5"/>
  <c r="EN43" i="5"/>
  <c r="EO43" i="5"/>
  <c r="EL44" i="5"/>
  <c r="EM44" i="5"/>
  <c r="EN44" i="5"/>
  <c r="EO44" i="5"/>
  <c r="EL45" i="5"/>
  <c r="EM45" i="5"/>
  <c r="EN45" i="5"/>
  <c r="EO45" i="5"/>
  <c r="EL46" i="5"/>
  <c r="EM46" i="5"/>
  <c r="EN46" i="5"/>
  <c r="EO46" i="5"/>
  <c r="EL52" i="5"/>
  <c r="EM52" i="5"/>
  <c r="EN52" i="5"/>
  <c r="EO52" i="5"/>
  <c r="EL53" i="5"/>
  <c r="EM53" i="5"/>
  <c r="EN53" i="5"/>
  <c r="EO53" i="5"/>
  <c r="EL54" i="5"/>
  <c r="EM54" i="5"/>
  <c r="EN54" i="5"/>
  <c r="EO54" i="5"/>
  <c r="EL55" i="5"/>
  <c r="EM55" i="5"/>
  <c r="EN55" i="5"/>
  <c r="EO55" i="5"/>
  <c r="EL56" i="5"/>
  <c r="EM56" i="5"/>
  <c r="EN56" i="5"/>
  <c r="EO56" i="5"/>
  <c r="EL57" i="5"/>
  <c r="EM57" i="5"/>
  <c r="EN57" i="5"/>
  <c r="EO57" i="5"/>
  <c r="EL58" i="5"/>
  <c r="EM58" i="5"/>
  <c r="EN58" i="5"/>
  <c r="EO58" i="5"/>
  <c r="EL59" i="5"/>
  <c r="EM59" i="5"/>
  <c r="EN59" i="5"/>
  <c r="EO59" i="5"/>
  <c r="EL61" i="5"/>
  <c r="EM61" i="5"/>
  <c r="EN61" i="5"/>
  <c r="EO61" i="5"/>
  <c r="EL65" i="5"/>
  <c r="EM65" i="5"/>
  <c r="EN65" i="5"/>
  <c r="EO65" i="5"/>
  <c r="DW16" i="5"/>
  <c r="DV16" i="5"/>
  <c r="DU16" i="5"/>
  <c r="DX34" i="5"/>
  <c r="DX33" i="5"/>
  <c r="DR42" i="5"/>
  <c r="DR41" i="5"/>
  <c r="DR34" i="5"/>
  <c r="DR33" i="5"/>
  <c r="DR16" i="5"/>
  <c r="FB65" i="5"/>
  <c r="EI65" i="5"/>
  <c r="EH65" i="5"/>
  <c r="EG65" i="5"/>
  <c r="EF65" i="5"/>
  <c r="EC65" i="5"/>
  <c r="EB65" i="5"/>
  <c r="EA65" i="5"/>
  <c r="DZ65" i="5"/>
  <c r="DW65" i="5"/>
  <c r="DV65" i="5"/>
  <c r="DU65" i="5"/>
  <c r="DT65" i="5"/>
  <c r="DQ65" i="5"/>
  <c r="DP65" i="5"/>
  <c r="DO65" i="5"/>
  <c r="DN65" i="5"/>
  <c r="DK65" i="5"/>
  <c r="DJ65" i="5"/>
  <c r="DI65" i="5"/>
  <c r="DH65" i="5"/>
  <c r="EI61" i="5"/>
  <c r="EH61" i="5"/>
  <c r="EG61" i="5"/>
  <c r="EF61" i="5"/>
  <c r="DQ61" i="5"/>
  <c r="DP61" i="5"/>
  <c r="DO61" i="5"/>
  <c r="DN61" i="5"/>
  <c r="DK61" i="5"/>
  <c r="DJ61" i="5"/>
  <c r="DI61" i="5"/>
  <c r="DH61" i="5"/>
  <c r="EI58" i="5"/>
  <c r="EH58" i="5"/>
  <c r="EG58" i="5"/>
  <c r="EF58" i="5"/>
  <c r="EC58" i="5"/>
  <c r="EB58" i="5"/>
  <c r="EA58" i="5"/>
  <c r="DZ58" i="5"/>
  <c r="DW58" i="5"/>
  <c r="DV58" i="5"/>
  <c r="DU58" i="5"/>
  <c r="DT58" i="5"/>
  <c r="DQ58" i="5"/>
  <c r="DP58" i="5"/>
  <c r="DO58" i="5"/>
  <c r="DN58" i="5"/>
  <c r="DK58" i="5"/>
  <c r="DJ58" i="5"/>
  <c r="DI58" i="5"/>
  <c r="DH58" i="5"/>
  <c r="EI57" i="5"/>
  <c r="EH57" i="5"/>
  <c r="EG57" i="5"/>
  <c r="EF57" i="5"/>
  <c r="EC57" i="5"/>
  <c r="EB57" i="5"/>
  <c r="EA57" i="5"/>
  <c r="DZ57" i="5"/>
  <c r="DW57" i="5"/>
  <c r="DV57" i="5"/>
  <c r="DU57" i="5"/>
  <c r="DT57" i="5"/>
  <c r="DQ57" i="5"/>
  <c r="DP57" i="5"/>
  <c r="DO57" i="5"/>
  <c r="DN57" i="5"/>
  <c r="DK57" i="5"/>
  <c r="DJ57" i="5"/>
  <c r="DI57" i="5"/>
  <c r="DH57" i="5"/>
  <c r="EI56" i="5"/>
  <c r="EH56" i="5"/>
  <c r="EG56" i="5"/>
  <c r="EF56" i="5"/>
  <c r="EC56" i="5"/>
  <c r="EB56" i="5"/>
  <c r="EA56" i="5"/>
  <c r="DZ56" i="5"/>
  <c r="DW56" i="5"/>
  <c r="DV56" i="5"/>
  <c r="DU56" i="5"/>
  <c r="DT56" i="5"/>
  <c r="DQ56" i="5"/>
  <c r="DP56" i="5"/>
  <c r="DO56" i="5"/>
  <c r="DN56" i="5"/>
  <c r="DK56" i="5"/>
  <c r="DJ56" i="5"/>
  <c r="DI56" i="5"/>
  <c r="DH56" i="5"/>
  <c r="EI59" i="5"/>
  <c r="EH59" i="5"/>
  <c r="EG59" i="5"/>
  <c r="EF59" i="5"/>
  <c r="EC59" i="5"/>
  <c r="EB59" i="5"/>
  <c r="EA59" i="5"/>
  <c r="DZ59" i="5"/>
  <c r="DW59" i="5"/>
  <c r="DV59" i="5"/>
  <c r="DU59" i="5"/>
  <c r="DT59" i="5"/>
  <c r="DQ59" i="5"/>
  <c r="DP59" i="5"/>
  <c r="DO59" i="5"/>
  <c r="DN59" i="5"/>
  <c r="DK59" i="5"/>
  <c r="DJ59" i="5"/>
  <c r="DI59" i="5"/>
  <c r="DH59" i="5"/>
  <c r="EI55" i="5"/>
  <c r="EH55" i="5"/>
  <c r="EG55" i="5"/>
  <c r="EF55" i="5"/>
  <c r="EC55" i="5"/>
  <c r="EB55" i="5"/>
  <c r="EA55" i="5"/>
  <c r="DZ55" i="5"/>
  <c r="DW55" i="5"/>
  <c r="DV55" i="5"/>
  <c r="DU55" i="5"/>
  <c r="DT55" i="5"/>
  <c r="DQ55" i="5"/>
  <c r="DP55" i="5"/>
  <c r="DO55" i="5"/>
  <c r="DN55" i="5"/>
  <c r="DK55" i="5"/>
  <c r="DJ55" i="5"/>
  <c r="DI55" i="5"/>
  <c r="DH55" i="5"/>
  <c r="EI54" i="5"/>
  <c r="EH54" i="5"/>
  <c r="EG54" i="5"/>
  <c r="EF54" i="5"/>
  <c r="EC54" i="5"/>
  <c r="EB54" i="5"/>
  <c r="EA54" i="5"/>
  <c r="DZ54" i="5"/>
  <c r="DW54" i="5"/>
  <c r="DV54" i="5"/>
  <c r="DU54" i="5"/>
  <c r="DT54" i="5"/>
  <c r="DQ54" i="5"/>
  <c r="DP54" i="5"/>
  <c r="DO54" i="5"/>
  <c r="DN54" i="5"/>
  <c r="DK54" i="5"/>
  <c r="DJ54" i="5"/>
  <c r="DI54" i="5"/>
  <c r="DH54" i="5"/>
  <c r="EI53" i="5"/>
  <c r="EH53" i="5"/>
  <c r="EG53" i="5"/>
  <c r="EF53" i="5"/>
  <c r="EC53" i="5"/>
  <c r="EB53" i="5"/>
  <c r="EA53" i="5"/>
  <c r="DZ53" i="5"/>
  <c r="DW53" i="5"/>
  <c r="DV53" i="5"/>
  <c r="DU53" i="5"/>
  <c r="DT53" i="5"/>
  <c r="DQ53" i="5"/>
  <c r="DP53" i="5"/>
  <c r="DO53" i="5"/>
  <c r="DN53" i="5"/>
  <c r="DK53" i="5"/>
  <c r="DJ53" i="5"/>
  <c r="DI53" i="5"/>
  <c r="DH53" i="5"/>
  <c r="EI52" i="5"/>
  <c r="EH52" i="5"/>
  <c r="EG52" i="5"/>
  <c r="EF52" i="5"/>
  <c r="EC52" i="5"/>
  <c r="EB52" i="5"/>
  <c r="EA52" i="5"/>
  <c r="DZ52" i="5"/>
  <c r="DW52" i="5"/>
  <c r="DV52" i="5"/>
  <c r="DU52" i="5"/>
  <c r="DT52" i="5"/>
  <c r="DQ52" i="5"/>
  <c r="DP52" i="5"/>
  <c r="DO52" i="5"/>
  <c r="DN52" i="5"/>
  <c r="DK52" i="5"/>
  <c r="DJ52" i="5"/>
  <c r="DI52" i="5"/>
  <c r="DH52" i="5"/>
  <c r="FB53" i="5"/>
  <c r="FB52" i="5"/>
  <c r="EI46" i="5"/>
  <c r="EH46" i="5"/>
  <c r="EG46" i="5"/>
  <c r="EF46" i="5"/>
  <c r="EC46" i="5"/>
  <c r="EB46" i="5"/>
  <c r="EA46" i="5"/>
  <c r="DZ46" i="5"/>
  <c r="DW46" i="5"/>
  <c r="DV46" i="5"/>
  <c r="DU46" i="5"/>
  <c r="DT46" i="5"/>
  <c r="DQ46" i="5"/>
  <c r="DP46" i="5"/>
  <c r="DO46" i="5"/>
  <c r="DN46" i="5"/>
  <c r="DK46" i="5"/>
  <c r="DJ46" i="5"/>
  <c r="DI46" i="5"/>
  <c r="DH46" i="5"/>
  <c r="EI45" i="5"/>
  <c r="EH45" i="5"/>
  <c r="EG45" i="5"/>
  <c r="EF45" i="5"/>
  <c r="EC45" i="5"/>
  <c r="EB45" i="5"/>
  <c r="EA45" i="5"/>
  <c r="DZ45" i="5"/>
  <c r="DW45" i="5"/>
  <c r="DV45" i="5"/>
  <c r="DU45" i="5"/>
  <c r="DT45" i="5"/>
  <c r="DQ45" i="5"/>
  <c r="DP45" i="5"/>
  <c r="DO45" i="5"/>
  <c r="DN45" i="5"/>
  <c r="DK45" i="5"/>
  <c r="DJ45" i="5"/>
  <c r="DI45" i="5"/>
  <c r="DH45" i="5"/>
  <c r="EI44" i="5"/>
  <c r="EH44" i="5"/>
  <c r="EG44" i="5"/>
  <c r="EF44" i="5"/>
  <c r="EC44" i="5"/>
  <c r="EB44" i="5"/>
  <c r="EA44" i="5"/>
  <c r="DZ44" i="5"/>
  <c r="DW44" i="5"/>
  <c r="DV44" i="5"/>
  <c r="DU44" i="5"/>
  <c r="DT44" i="5"/>
  <c r="DQ44" i="5"/>
  <c r="DP44" i="5"/>
  <c r="DO44" i="5"/>
  <c r="DN44" i="5"/>
  <c r="DK44" i="5"/>
  <c r="DJ44" i="5"/>
  <c r="DI44" i="5"/>
  <c r="DH44" i="5"/>
  <c r="EI43" i="5"/>
  <c r="EH43" i="5"/>
  <c r="EG43" i="5"/>
  <c r="EF43" i="5"/>
  <c r="EC43" i="5"/>
  <c r="EB43" i="5"/>
  <c r="EA43" i="5"/>
  <c r="DZ43" i="5"/>
  <c r="DW43" i="5"/>
  <c r="DV43" i="5"/>
  <c r="DU43" i="5"/>
  <c r="DT43" i="5"/>
  <c r="DQ43" i="5"/>
  <c r="DP43" i="5"/>
  <c r="DO43" i="5"/>
  <c r="DN43" i="5"/>
  <c r="DK43" i="5"/>
  <c r="DJ43" i="5"/>
  <c r="DI43" i="5"/>
  <c r="DH43" i="5"/>
  <c r="EI40" i="5"/>
  <c r="EH40" i="5"/>
  <c r="EG40" i="5"/>
  <c r="EF40" i="5"/>
  <c r="EC40" i="5"/>
  <c r="EB40" i="5"/>
  <c r="EA40" i="5"/>
  <c r="DZ40" i="5"/>
  <c r="DW40" i="5"/>
  <c r="DV40" i="5"/>
  <c r="DU40" i="5"/>
  <c r="DT40" i="5"/>
  <c r="DQ40" i="5"/>
  <c r="DP40" i="5"/>
  <c r="DO40" i="5"/>
  <c r="DN40" i="5"/>
  <c r="DK40" i="5"/>
  <c r="DJ40" i="5"/>
  <c r="DI40" i="5"/>
  <c r="DH40" i="5"/>
  <c r="EI39" i="5"/>
  <c r="EH39" i="5"/>
  <c r="EG39" i="5"/>
  <c r="EF39" i="5"/>
  <c r="EC39" i="5"/>
  <c r="EB39" i="5"/>
  <c r="EA39" i="5"/>
  <c r="DZ39" i="5"/>
  <c r="DW39" i="5"/>
  <c r="DV39" i="5"/>
  <c r="DU39" i="5"/>
  <c r="DT39" i="5"/>
  <c r="DQ39" i="5"/>
  <c r="DP39" i="5"/>
  <c r="DO39" i="5"/>
  <c r="DN39" i="5"/>
  <c r="DK39" i="5"/>
  <c r="DJ39" i="5"/>
  <c r="DI39" i="5"/>
  <c r="DH39" i="5"/>
  <c r="EI42" i="5"/>
  <c r="EH42" i="5"/>
  <c r="EG42" i="5"/>
  <c r="EF42" i="5"/>
  <c r="EC42" i="5"/>
  <c r="EB42" i="5"/>
  <c r="EA42" i="5"/>
  <c r="DZ42" i="5"/>
  <c r="DW42" i="5"/>
  <c r="DV42" i="5"/>
  <c r="DL42" i="5"/>
  <c r="EI41" i="5"/>
  <c r="EH41" i="5"/>
  <c r="EG41" i="5"/>
  <c r="EF41" i="5"/>
  <c r="EC41" i="5"/>
  <c r="EB41" i="5"/>
  <c r="EA41" i="5"/>
  <c r="DZ41" i="5"/>
  <c r="DW41" i="5"/>
  <c r="DV41" i="5"/>
  <c r="DL41" i="5"/>
  <c r="DL34" i="5"/>
  <c r="DL31" i="5"/>
  <c r="DL26" i="5"/>
  <c r="DL24" i="5"/>
  <c r="DL23" i="5"/>
  <c r="DL21" i="5"/>
  <c r="DL20" i="5"/>
  <c r="DL18" i="5"/>
  <c r="DL17" i="5"/>
  <c r="DL16" i="5"/>
  <c r="EI26" i="5"/>
  <c r="EH26" i="5"/>
  <c r="EG26" i="5"/>
  <c r="EF26" i="5"/>
  <c r="EC26" i="5"/>
  <c r="EB26" i="5"/>
  <c r="EA26" i="5"/>
  <c r="DZ26" i="5"/>
  <c r="DW26" i="5"/>
  <c r="DV26" i="5"/>
  <c r="DU26" i="5"/>
  <c r="DT26" i="5"/>
  <c r="DQ26" i="5"/>
  <c r="DP26" i="5"/>
  <c r="DO26" i="5"/>
  <c r="DN26" i="5"/>
  <c r="EI25" i="5"/>
  <c r="EH25" i="5"/>
  <c r="EG25" i="5"/>
  <c r="EF25" i="5"/>
  <c r="EC25" i="5"/>
  <c r="EB25" i="5"/>
  <c r="EA25" i="5"/>
  <c r="DZ25" i="5"/>
  <c r="DW25" i="5"/>
  <c r="DV25" i="5"/>
  <c r="DU25" i="5"/>
  <c r="DT25" i="5"/>
  <c r="DQ25" i="5"/>
  <c r="DP25" i="5"/>
  <c r="DO25" i="5"/>
  <c r="DN25" i="5"/>
  <c r="DI25" i="5"/>
  <c r="DH25" i="5"/>
  <c r="EI24" i="5"/>
  <c r="EH24" i="5"/>
  <c r="EG24" i="5"/>
  <c r="EF24" i="5"/>
  <c r="EC24" i="5"/>
  <c r="EB24" i="5"/>
  <c r="EA24" i="5"/>
  <c r="DZ24" i="5"/>
  <c r="DW24" i="5"/>
  <c r="DV24" i="5"/>
  <c r="DU24" i="5"/>
  <c r="DT24" i="5"/>
  <c r="DQ24" i="5"/>
  <c r="DP24" i="5"/>
  <c r="DO24" i="5"/>
  <c r="DN24" i="5"/>
  <c r="EI23" i="5"/>
  <c r="EH23" i="5"/>
  <c r="EG23" i="5"/>
  <c r="EF23" i="5"/>
  <c r="EC23" i="5"/>
  <c r="EB23" i="5"/>
  <c r="EA23" i="5"/>
  <c r="DZ23" i="5"/>
  <c r="DW23" i="5"/>
  <c r="DV23" i="5"/>
  <c r="DU23" i="5"/>
  <c r="DT23" i="5"/>
  <c r="DQ23" i="5"/>
  <c r="DP23" i="5"/>
  <c r="DO23" i="5"/>
  <c r="DN23" i="5"/>
  <c r="EI22" i="5"/>
  <c r="EH22" i="5"/>
  <c r="EG22" i="5"/>
  <c r="EF22" i="5"/>
  <c r="EC22" i="5"/>
  <c r="EB22" i="5"/>
  <c r="EA22" i="5"/>
  <c r="DZ22" i="5"/>
  <c r="DW22" i="5"/>
  <c r="DV22" i="5"/>
  <c r="DU22" i="5"/>
  <c r="DT22" i="5"/>
  <c r="DQ22" i="5"/>
  <c r="DP22" i="5"/>
  <c r="DO22" i="5"/>
  <c r="DN22" i="5"/>
  <c r="DK22" i="5"/>
  <c r="DJ22" i="5"/>
  <c r="DI22" i="5"/>
  <c r="DH22" i="5"/>
  <c r="EI21" i="5"/>
  <c r="EH21" i="5"/>
  <c r="EG21" i="5"/>
  <c r="EF21" i="5"/>
  <c r="EC21" i="5"/>
  <c r="EB21" i="5"/>
  <c r="EA21" i="5"/>
  <c r="DZ21" i="5"/>
  <c r="DW21" i="5"/>
  <c r="DV21" i="5"/>
  <c r="DU21" i="5"/>
  <c r="DT21" i="5"/>
  <c r="DQ21" i="5"/>
  <c r="DP21" i="5"/>
  <c r="DO21" i="5"/>
  <c r="DN21" i="5"/>
  <c r="EI20" i="5"/>
  <c r="EH20" i="5"/>
  <c r="EG20" i="5"/>
  <c r="EF20" i="5"/>
  <c r="EC20" i="5"/>
  <c r="EB20" i="5"/>
  <c r="EA20" i="5"/>
  <c r="DW20" i="5"/>
  <c r="DV20" i="5"/>
  <c r="DU20" i="5"/>
  <c r="DT20" i="5"/>
  <c r="DQ20" i="5"/>
  <c r="DP20" i="5"/>
  <c r="DO20" i="5"/>
  <c r="DN20" i="5"/>
  <c r="EI18" i="5"/>
  <c r="EH18" i="5"/>
  <c r="EG18" i="5"/>
  <c r="EF18" i="5"/>
  <c r="EC18" i="5"/>
  <c r="EB18" i="5"/>
  <c r="EA18" i="5"/>
  <c r="DZ18" i="5"/>
  <c r="DW18" i="5"/>
  <c r="DV18" i="5"/>
  <c r="DU18" i="5"/>
  <c r="DT18" i="5"/>
  <c r="DQ18" i="5"/>
  <c r="DP18" i="5"/>
  <c r="DO18" i="5"/>
  <c r="DN18" i="5"/>
  <c r="EI17" i="5"/>
  <c r="EH17" i="5"/>
  <c r="EG17" i="5"/>
  <c r="EF17" i="5"/>
  <c r="EC17" i="5"/>
  <c r="EB17" i="5"/>
  <c r="EA17" i="5"/>
  <c r="DZ17" i="5"/>
  <c r="DW17" i="5"/>
  <c r="DV17" i="5"/>
  <c r="DU17" i="5"/>
  <c r="DT17" i="5"/>
  <c r="DQ17" i="5"/>
  <c r="DP17" i="5"/>
  <c r="DO17" i="5"/>
  <c r="DN17" i="5"/>
  <c r="EF16" i="5"/>
  <c r="EJ16" i="5" s="1"/>
  <c r="DZ16" i="5"/>
  <c r="ED16" i="5" s="1"/>
  <c r="EI15" i="5"/>
  <c r="EH15" i="5"/>
  <c r="EG15" i="5"/>
  <c r="EF15" i="5"/>
  <c r="EC15" i="5"/>
  <c r="EB15" i="5"/>
  <c r="EA15" i="5"/>
  <c r="DZ15" i="5"/>
  <c r="DW15" i="5"/>
  <c r="DV15" i="5"/>
  <c r="DU15" i="5"/>
  <c r="DT15" i="5"/>
  <c r="DQ15" i="5"/>
  <c r="DP15" i="5"/>
  <c r="DO15" i="5"/>
  <c r="DN15" i="5"/>
  <c r="DK15" i="5"/>
  <c r="DJ15" i="5"/>
  <c r="DI15" i="5"/>
  <c r="EI13" i="5"/>
  <c r="EI35" i="2" s="1"/>
  <c r="EH13" i="5"/>
  <c r="EH35" i="2" s="1"/>
  <c r="EG13" i="5"/>
  <c r="EG35" i="2" s="1"/>
  <c r="EF13" i="5"/>
  <c r="EF35" i="2" s="1"/>
  <c r="EC13" i="5"/>
  <c r="EC35" i="2" s="1"/>
  <c r="EB13" i="5"/>
  <c r="EB35" i="2" s="1"/>
  <c r="EA13" i="5"/>
  <c r="EA35" i="2" s="1"/>
  <c r="DZ13" i="5"/>
  <c r="DZ35" i="2" s="1"/>
  <c r="DW13" i="5"/>
  <c r="DW35" i="2" s="1"/>
  <c r="DV13" i="5"/>
  <c r="DV35" i="2" s="1"/>
  <c r="DU13" i="5"/>
  <c r="DU35" i="2" s="1"/>
  <c r="DT13" i="5"/>
  <c r="DT35" i="2" s="1"/>
  <c r="DQ13" i="5"/>
  <c r="DQ35" i="2" s="1"/>
  <c r="DP13" i="5"/>
  <c r="DP35" i="2" s="1"/>
  <c r="DO13" i="5"/>
  <c r="DO35" i="2" s="1"/>
  <c r="DN13" i="5"/>
  <c r="DN35" i="2" s="1"/>
  <c r="DK13" i="5"/>
  <c r="DK35" i="2" s="1"/>
  <c r="DJ13" i="5"/>
  <c r="DJ35" i="2" s="1"/>
  <c r="DI13" i="5"/>
  <c r="DI35" i="2" s="1"/>
  <c r="DH13" i="5"/>
  <c r="DH35" i="2" s="1"/>
  <c r="EI12" i="5"/>
  <c r="EI34" i="2" s="1"/>
  <c r="EH12" i="5"/>
  <c r="EH34" i="2" s="1"/>
  <c r="EG12" i="5"/>
  <c r="EG34" i="2" s="1"/>
  <c r="EF12" i="5"/>
  <c r="EF34" i="2" s="1"/>
  <c r="EC12" i="5"/>
  <c r="EC34" i="2" s="1"/>
  <c r="EB12" i="5"/>
  <c r="EB34" i="2" s="1"/>
  <c r="EA12" i="5"/>
  <c r="EA34" i="2" s="1"/>
  <c r="EA61" i="2" s="1"/>
  <c r="DZ12" i="5"/>
  <c r="DZ34" i="2" s="1"/>
  <c r="DW12" i="5"/>
  <c r="DW34" i="2" s="1"/>
  <c r="DV12" i="5"/>
  <c r="DV34" i="2" s="1"/>
  <c r="DU12" i="5"/>
  <c r="DU34" i="2" s="1"/>
  <c r="DT12" i="5"/>
  <c r="DT34" i="2" s="1"/>
  <c r="DQ12" i="5"/>
  <c r="DQ34" i="2" s="1"/>
  <c r="DP12" i="5"/>
  <c r="DP34" i="2" s="1"/>
  <c r="DO12" i="5"/>
  <c r="DO34" i="2" s="1"/>
  <c r="DN12" i="5"/>
  <c r="DN34" i="2" s="1"/>
  <c r="DK12" i="5"/>
  <c r="DK34" i="2" s="1"/>
  <c r="DJ12" i="5"/>
  <c r="DJ34" i="2" s="1"/>
  <c r="DI12" i="5"/>
  <c r="DI34" i="2" s="1"/>
  <c r="DH12" i="5"/>
  <c r="DH34" i="2" s="1"/>
  <c r="DH52" i="2" s="1"/>
  <c r="DH56" i="2" s="1"/>
  <c r="EI11" i="5"/>
  <c r="EI33" i="2" s="1"/>
  <c r="EH11" i="5"/>
  <c r="EH33" i="2" s="1"/>
  <c r="EG11" i="5"/>
  <c r="EG33" i="2" s="1"/>
  <c r="EF11" i="5"/>
  <c r="EF33" i="2" s="1"/>
  <c r="EC11" i="5"/>
  <c r="EC33" i="2" s="1"/>
  <c r="EB11" i="5"/>
  <c r="EB33" i="2" s="1"/>
  <c r="EA11" i="5"/>
  <c r="EA33" i="2" s="1"/>
  <c r="DZ11" i="5"/>
  <c r="DZ33" i="2" s="1"/>
  <c r="DW11" i="5"/>
  <c r="DW33" i="2" s="1"/>
  <c r="DV11" i="5"/>
  <c r="DV33" i="2" s="1"/>
  <c r="DU11" i="5"/>
  <c r="DU33" i="2" s="1"/>
  <c r="DT11" i="5"/>
  <c r="DT33" i="2" s="1"/>
  <c r="DQ11" i="5"/>
  <c r="DQ33" i="2" s="1"/>
  <c r="DP11" i="5"/>
  <c r="DP33" i="2" s="1"/>
  <c r="DO11" i="5"/>
  <c r="DO33" i="2" s="1"/>
  <c r="DN11" i="5"/>
  <c r="DN33" i="2" s="1"/>
  <c r="DK11" i="5"/>
  <c r="DK33" i="2" s="1"/>
  <c r="DJ11" i="5"/>
  <c r="DJ33" i="2" s="1"/>
  <c r="DI11" i="5"/>
  <c r="DI33" i="2" s="1"/>
  <c r="DH11" i="5"/>
  <c r="DH33" i="2" s="1"/>
  <c r="EI9" i="5"/>
  <c r="EH9" i="5"/>
  <c r="EG9" i="5"/>
  <c r="EF9" i="5"/>
  <c r="EC9" i="5"/>
  <c r="EB9" i="5"/>
  <c r="EA9" i="5"/>
  <c r="DZ9" i="5"/>
  <c r="DW9" i="5"/>
  <c r="DV9" i="5"/>
  <c r="DU9" i="5"/>
  <c r="DT9" i="5"/>
  <c r="DP9" i="5"/>
  <c r="DO9" i="5"/>
  <c r="DN9" i="5"/>
  <c r="DK9" i="5"/>
  <c r="DJ9" i="5"/>
  <c r="DI9" i="5"/>
  <c r="DH9" i="5"/>
  <c r="EI34" i="5"/>
  <c r="EH34" i="5"/>
  <c r="EG34" i="5"/>
  <c r="EF34" i="5"/>
  <c r="EC34" i="5"/>
  <c r="ED34" i="5" s="1"/>
  <c r="DK33" i="5"/>
  <c r="DJ33" i="5"/>
  <c r="DI33" i="5"/>
  <c r="DH33" i="5"/>
  <c r="EI32" i="5"/>
  <c r="EH32" i="5"/>
  <c r="EG32" i="5"/>
  <c r="EF32" i="5"/>
  <c r="EC32" i="5"/>
  <c r="EB32" i="5"/>
  <c r="EA32" i="5"/>
  <c r="DZ32" i="5"/>
  <c r="DW32" i="5"/>
  <c r="DV32" i="5"/>
  <c r="DU32" i="5"/>
  <c r="DT32" i="5"/>
  <c r="DQ32" i="5"/>
  <c r="DP32" i="5"/>
  <c r="DO32" i="5"/>
  <c r="DN32" i="5"/>
  <c r="DK32" i="5"/>
  <c r="DJ32" i="5"/>
  <c r="DI32" i="5"/>
  <c r="DH32" i="5"/>
  <c r="EI31" i="5"/>
  <c r="EH31" i="5"/>
  <c r="EG31" i="5"/>
  <c r="EF31" i="5"/>
  <c r="EC31" i="5"/>
  <c r="EB31" i="5"/>
  <c r="EA31" i="5"/>
  <c r="DZ31" i="5"/>
  <c r="DW31" i="5"/>
  <c r="DV31" i="5"/>
  <c r="DU31" i="5"/>
  <c r="DT31" i="5"/>
  <c r="DQ31" i="5"/>
  <c r="DP31" i="5"/>
  <c r="DO31" i="5"/>
  <c r="DN31" i="5"/>
  <c r="EI30" i="5"/>
  <c r="EH30" i="5"/>
  <c r="EG30" i="5"/>
  <c r="EF30" i="5"/>
  <c r="EC30" i="5"/>
  <c r="EB30" i="5"/>
  <c r="EA30" i="5"/>
  <c r="DZ30" i="5"/>
  <c r="DW30" i="5"/>
  <c r="DV30" i="5"/>
  <c r="DU30" i="5"/>
  <c r="DT30" i="5"/>
  <c r="DQ30" i="5"/>
  <c r="DP30" i="5"/>
  <c r="DO30" i="5"/>
  <c r="DN30" i="5"/>
  <c r="DK30" i="5"/>
  <c r="DJ30" i="5"/>
  <c r="DI30" i="5"/>
  <c r="DH30" i="5"/>
  <c r="EI29" i="5"/>
  <c r="EH29" i="5"/>
  <c r="EG29" i="5"/>
  <c r="EF29" i="5"/>
  <c r="EC29" i="5"/>
  <c r="EB29" i="5"/>
  <c r="EA29" i="5"/>
  <c r="DZ29" i="5"/>
  <c r="DW29" i="5"/>
  <c r="DV29" i="5"/>
  <c r="DU29" i="5"/>
  <c r="DT29" i="5"/>
  <c r="DQ29" i="5"/>
  <c r="DP29" i="5"/>
  <c r="DO29" i="5"/>
  <c r="DN29" i="5"/>
  <c r="DK29" i="5"/>
  <c r="DJ29" i="5"/>
  <c r="DI29" i="5"/>
  <c r="DH29" i="5"/>
  <c r="EP59" i="4"/>
  <c r="EP57" i="4"/>
  <c r="EP56" i="4"/>
  <c r="EP55" i="4"/>
  <c r="EP54" i="4"/>
  <c r="EP53" i="4"/>
  <c r="EP48" i="4"/>
  <c r="EP47" i="4"/>
  <c r="EP46" i="4"/>
  <c r="EP45" i="4"/>
  <c r="EP44" i="4"/>
  <c r="EP41" i="4"/>
  <c r="EP40" i="4"/>
  <c r="EP39" i="4"/>
  <c r="EP38" i="4"/>
  <c r="EP37" i="4"/>
  <c r="EP36" i="4"/>
  <c r="EP35" i="4"/>
  <c r="EP28" i="4"/>
  <c r="EP27" i="4"/>
  <c r="EP26" i="4"/>
  <c r="EP25" i="4"/>
  <c r="EP24" i="4"/>
  <c r="EP23" i="4"/>
  <c r="EP22" i="4"/>
  <c r="EP21" i="4"/>
  <c r="EP18" i="4"/>
  <c r="EP17" i="4"/>
  <c r="EP16" i="4"/>
  <c r="EP15" i="4"/>
  <c r="EP14" i="4"/>
  <c r="EP13" i="4"/>
  <c r="EP12" i="4"/>
  <c r="EP11" i="4"/>
  <c r="AA26" i="7" s="1"/>
  <c r="EP7" i="4"/>
  <c r="EJ59" i="4"/>
  <c r="EJ57" i="4"/>
  <c r="EJ56" i="4"/>
  <c r="EJ55" i="4"/>
  <c r="EJ54" i="4"/>
  <c r="EJ53" i="4"/>
  <c r="EJ48" i="4"/>
  <c r="EJ47" i="4"/>
  <c r="EJ46" i="4"/>
  <c r="EJ45" i="4"/>
  <c r="EJ44" i="4"/>
  <c r="EJ41" i="4"/>
  <c r="EJ40" i="4"/>
  <c r="EJ39" i="4"/>
  <c r="EJ38" i="4"/>
  <c r="EJ37" i="4"/>
  <c r="EJ36" i="4"/>
  <c r="EJ35" i="4"/>
  <c r="EJ28" i="4"/>
  <c r="EJ27" i="4"/>
  <c r="EJ26" i="4"/>
  <c r="EJ25" i="4"/>
  <c r="EJ24" i="4"/>
  <c r="EJ23" i="4"/>
  <c r="EJ22" i="4"/>
  <c r="EJ21" i="4"/>
  <c r="EJ18" i="4"/>
  <c r="EJ17" i="4"/>
  <c r="EJ16" i="4"/>
  <c r="EJ15" i="4"/>
  <c r="EJ14" i="4"/>
  <c r="EJ13" i="4"/>
  <c r="EJ12" i="4"/>
  <c r="EJ11" i="4"/>
  <c r="EJ7" i="4"/>
  <c r="ED59" i="4"/>
  <c r="ED57" i="4"/>
  <c r="ED56" i="4"/>
  <c r="ED55" i="4"/>
  <c r="ED54" i="4"/>
  <c r="ED53" i="4"/>
  <c r="ED48" i="4"/>
  <c r="ED47" i="4"/>
  <c r="ED46" i="4"/>
  <c r="ED45" i="4"/>
  <c r="ED44" i="4"/>
  <c r="ED41" i="4"/>
  <c r="ED40" i="4"/>
  <c r="ED39" i="4"/>
  <c r="ED38" i="4"/>
  <c r="ED37" i="4"/>
  <c r="ED36" i="4"/>
  <c r="ED35" i="4"/>
  <c r="ED28" i="4"/>
  <c r="ED27" i="4"/>
  <c r="ED26" i="4"/>
  <c r="ED25" i="4"/>
  <c r="ED24" i="4"/>
  <c r="ED23" i="4"/>
  <c r="ED22" i="4"/>
  <c r="ED21" i="4"/>
  <c r="ED18" i="4"/>
  <c r="ED17" i="4"/>
  <c r="ED16" i="4"/>
  <c r="ED15" i="4"/>
  <c r="ED14" i="4"/>
  <c r="ED13" i="4"/>
  <c r="ED12" i="4"/>
  <c r="ED11" i="4"/>
  <c r="ED7" i="4"/>
  <c r="DX59" i="4"/>
  <c r="DX57" i="4"/>
  <c r="DX56" i="4"/>
  <c r="DX55" i="4"/>
  <c r="DX54" i="4"/>
  <c r="DX53" i="4"/>
  <c r="DX48" i="4"/>
  <c r="DX47" i="4"/>
  <c r="DX46" i="4"/>
  <c r="DX45" i="4"/>
  <c r="DX44" i="4"/>
  <c r="DX41" i="4"/>
  <c r="DX40" i="4"/>
  <c r="DX39" i="4"/>
  <c r="DX38" i="4"/>
  <c r="DX37" i="4"/>
  <c r="DX36" i="4"/>
  <c r="DX35" i="4"/>
  <c r="DX28" i="4"/>
  <c r="DX27" i="4"/>
  <c r="DX26" i="4"/>
  <c r="DX25" i="4"/>
  <c r="DX24" i="4"/>
  <c r="DX23" i="4"/>
  <c r="DX22" i="4"/>
  <c r="DX21" i="4"/>
  <c r="DX18" i="4"/>
  <c r="DX17" i="4"/>
  <c r="DX16" i="4"/>
  <c r="DX15" i="4"/>
  <c r="DX14" i="4"/>
  <c r="DX13" i="4"/>
  <c r="DX12" i="4"/>
  <c r="DX11" i="4"/>
  <c r="DX7" i="4"/>
  <c r="DR59" i="4"/>
  <c r="DR57" i="4"/>
  <c r="DR56" i="4"/>
  <c r="DR55" i="4"/>
  <c r="DR54" i="4"/>
  <c r="DR53" i="4"/>
  <c r="DR48" i="4"/>
  <c r="DR47" i="4"/>
  <c r="DR46" i="4"/>
  <c r="DR44" i="4"/>
  <c r="DR41" i="4"/>
  <c r="DR40" i="4"/>
  <c r="DR39" i="4"/>
  <c r="DR38" i="4"/>
  <c r="DR37" i="4"/>
  <c r="DR36" i="4"/>
  <c r="DR35" i="4"/>
  <c r="DR28" i="4"/>
  <c r="DR27" i="4"/>
  <c r="DR26" i="4"/>
  <c r="DR25" i="4"/>
  <c r="DR24" i="4"/>
  <c r="DR23" i="4"/>
  <c r="DR22" i="4"/>
  <c r="DR21" i="4"/>
  <c r="DR18" i="4"/>
  <c r="DR17" i="4"/>
  <c r="DR16" i="4"/>
  <c r="DR15" i="4"/>
  <c r="DR14" i="4"/>
  <c r="DR13" i="4"/>
  <c r="DR12" i="4"/>
  <c r="DR11" i="4"/>
  <c r="DR7" i="4"/>
  <c r="DL57" i="4"/>
  <c r="DL56" i="4"/>
  <c r="DL55" i="4"/>
  <c r="DL54" i="4"/>
  <c r="DL48" i="4"/>
  <c r="DL47" i="4"/>
  <c r="DL46" i="4"/>
  <c r="DL45" i="4"/>
  <c r="DL44" i="4"/>
  <c r="DL41" i="4"/>
  <c r="DL40" i="4"/>
  <c r="DL39" i="4"/>
  <c r="DL38" i="4"/>
  <c r="DL37" i="4"/>
  <c r="DL36" i="4"/>
  <c r="DL35" i="4"/>
  <c r="DL28" i="4"/>
  <c r="DL27" i="4"/>
  <c r="DL26" i="4"/>
  <c r="DL25" i="4"/>
  <c r="DL24" i="4"/>
  <c r="DL23" i="4"/>
  <c r="DL22" i="4"/>
  <c r="DL21" i="4"/>
  <c r="DL18" i="4"/>
  <c r="DL17" i="4"/>
  <c r="DL16" i="4"/>
  <c r="DL15" i="4"/>
  <c r="DL14" i="4"/>
  <c r="DL13" i="4"/>
  <c r="DL12" i="4"/>
  <c r="DL11" i="4"/>
  <c r="ER19" i="4"/>
  <c r="EO19" i="4"/>
  <c r="EN19" i="4"/>
  <c r="EM19" i="4"/>
  <c r="EL19" i="4"/>
  <c r="EI19" i="4"/>
  <c r="EH19" i="4"/>
  <c r="EG19" i="4"/>
  <c r="EF19" i="4"/>
  <c r="EC19" i="4"/>
  <c r="EB19" i="4"/>
  <c r="EA19" i="4"/>
  <c r="DZ19" i="4"/>
  <c r="DW19" i="4"/>
  <c r="DV19" i="4"/>
  <c r="DU19" i="4"/>
  <c r="DT19" i="4"/>
  <c r="DQ19" i="4"/>
  <c r="DP19" i="4"/>
  <c r="DO19" i="4"/>
  <c r="DN19" i="4"/>
  <c r="DH29" i="4"/>
  <c r="DI29" i="4"/>
  <c r="DJ29" i="4"/>
  <c r="DK29" i="4"/>
  <c r="DN29" i="4"/>
  <c r="DO29" i="4"/>
  <c r="DP29" i="4"/>
  <c r="DQ29" i="4"/>
  <c r="DT29" i="4"/>
  <c r="DU29" i="4"/>
  <c r="DV29" i="4"/>
  <c r="DW29" i="4"/>
  <c r="DZ29" i="4"/>
  <c r="EA29" i="4"/>
  <c r="EB29" i="4"/>
  <c r="EC29" i="4"/>
  <c r="EF29" i="4"/>
  <c r="EG29" i="4"/>
  <c r="EH29" i="4"/>
  <c r="EI29" i="4"/>
  <c r="EL29" i="4"/>
  <c r="EM29" i="4"/>
  <c r="EN29" i="4"/>
  <c r="EO29" i="4"/>
  <c r="ER29" i="4"/>
  <c r="DK19" i="4"/>
  <c r="DJ19" i="4"/>
  <c r="DI19" i="4"/>
  <c r="DH19" i="4"/>
  <c r="ER58" i="4"/>
  <c r="ER96" i="4" s="1"/>
  <c r="ER49" i="4"/>
  <c r="ER42" i="4"/>
  <c r="EP35" i="2" l="1"/>
  <c r="DK52" i="2"/>
  <c r="DK56" i="2" s="1"/>
  <c r="DK61" i="2"/>
  <c r="DQ52" i="2"/>
  <c r="DQ56" i="2" s="1"/>
  <c r="DQ61" i="2"/>
  <c r="DW61" i="2"/>
  <c r="DW52" i="2"/>
  <c r="EC52" i="2"/>
  <c r="EC56" i="2" s="1"/>
  <c r="EC61" i="2"/>
  <c r="EI52" i="2"/>
  <c r="EI56" i="2" s="1"/>
  <c r="EI61" i="2"/>
  <c r="EM52" i="2"/>
  <c r="EM56" i="2" s="1"/>
  <c r="EM61" i="2"/>
  <c r="DJ61" i="2"/>
  <c r="DJ52" i="2"/>
  <c r="DJ56" i="2" s="1"/>
  <c r="DR33" i="2"/>
  <c r="DX33" i="2"/>
  <c r="ED33" i="2"/>
  <c r="EJ33" i="2"/>
  <c r="DH70" i="2"/>
  <c r="DN61" i="2"/>
  <c r="DN52" i="2"/>
  <c r="DR34" i="2"/>
  <c r="DT52" i="2"/>
  <c r="DT61" i="2"/>
  <c r="DX34" i="2"/>
  <c r="DZ52" i="2"/>
  <c r="DZ61" i="2"/>
  <c r="ED34" i="2"/>
  <c r="EJ34" i="2"/>
  <c r="EF61" i="2"/>
  <c r="EF52" i="2"/>
  <c r="EF56" i="2" s="1"/>
  <c r="DR35" i="2"/>
  <c r="DX35" i="2"/>
  <c r="ED35" i="2"/>
  <c r="EJ35" i="2"/>
  <c r="EL52" i="2"/>
  <c r="EL61" i="2"/>
  <c r="EP34" i="2"/>
  <c r="EP33" i="2"/>
  <c r="DI61" i="2"/>
  <c r="DI52" i="2"/>
  <c r="DI56" i="2" s="1"/>
  <c r="DO61" i="2"/>
  <c r="DO52" i="2"/>
  <c r="DO56" i="2" s="1"/>
  <c r="DU61" i="2"/>
  <c r="DU52" i="2"/>
  <c r="EG61" i="2"/>
  <c r="EG52" i="2"/>
  <c r="EG56" i="2" s="1"/>
  <c r="EA52" i="2"/>
  <c r="EA56" i="2" s="1"/>
  <c r="EO61" i="2"/>
  <c r="EO52" i="2"/>
  <c r="DP52" i="2"/>
  <c r="DP56" i="2" s="1"/>
  <c r="DP61" i="2"/>
  <c r="DV52" i="2"/>
  <c r="DV61" i="2"/>
  <c r="EB61" i="2"/>
  <c r="EB52" i="2"/>
  <c r="EB56" i="2" s="1"/>
  <c r="EH52" i="2"/>
  <c r="EH56" i="2" s="1"/>
  <c r="EH61" i="2"/>
  <c r="EN52" i="2"/>
  <c r="EN61" i="2"/>
  <c r="EI83" i="4"/>
  <c r="EI82" i="4"/>
  <c r="EH83" i="4"/>
  <c r="EH82" i="4"/>
  <c r="EC142" i="2"/>
  <c r="EC145" i="2" s="1"/>
  <c r="EC147" i="2" s="1"/>
  <c r="DL33" i="2"/>
  <c r="DL34" i="2"/>
  <c r="DH142" i="2"/>
  <c r="DN142" i="2"/>
  <c r="DT142" i="2"/>
  <c r="DT145" i="2" s="1"/>
  <c r="DT147" i="2" s="1"/>
  <c r="DZ142" i="2"/>
  <c r="DZ145" i="2" s="1"/>
  <c r="DZ147" i="2" s="1"/>
  <c r="EF142" i="2"/>
  <c r="EF145" i="2" s="1"/>
  <c r="EF147" i="2" s="1"/>
  <c r="EL142" i="2"/>
  <c r="EL145" i="2" s="1"/>
  <c r="EL147" i="2" s="1"/>
  <c r="DQ142" i="2"/>
  <c r="DQ145" i="2" s="1"/>
  <c r="EI142" i="2"/>
  <c r="EI145" i="2" s="1"/>
  <c r="EI147" i="2" s="1"/>
  <c r="DI142" i="2"/>
  <c r="DO142" i="2"/>
  <c r="DU142" i="2"/>
  <c r="DU145" i="2" s="1"/>
  <c r="DU147" i="2" s="1"/>
  <c r="EA142" i="2"/>
  <c r="EA145" i="2" s="1"/>
  <c r="EA147" i="2" s="1"/>
  <c r="EG142" i="2"/>
  <c r="EG145" i="2" s="1"/>
  <c r="EG147" i="2" s="1"/>
  <c r="EO142" i="2"/>
  <c r="EO145" i="2" s="1"/>
  <c r="EO147" i="2" s="1"/>
  <c r="DK142" i="2"/>
  <c r="DW142" i="2"/>
  <c r="EM142" i="2"/>
  <c r="DJ142" i="2"/>
  <c r="DP142" i="2"/>
  <c r="DV142" i="2"/>
  <c r="DV145" i="2" s="1"/>
  <c r="DV147" i="2" s="1"/>
  <c r="EB142" i="2"/>
  <c r="EB145" i="2" s="1"/>
  <c r="EB147" i="2" s="1"/>
  <c r="EH142" i="2"/>
  <c r="EH145" i="2" s="1"/>
  <c r="EN142" i="2"/>
  <c r="EN145" i="2" s="1"/>
  <c r="EN147" i="2" s="1"/>
  <c r="ER51" i="4"/>
  <c r="DH50" i="5"/>
  <c r="DH62" i="5" s="1"/>
  <c r="DT50" i="5"/>
  <c r="DT62" i="5" s="1"/>
  <c r="EF50" i="5"/>
  <c r="EF62" i="5" s="1"/>
  <c r="DI50" i="5"/>
  <c r="DI62" i="5" s="1"/>
  <c r="DU50" i="5"/>
  <c r="DU62" i="5" s="1"/>
  <c r="EG50" i="5"/>
  <c r="EG62" i="5" s="1"/>
  <c r="DJ50" i="5"/>
  <c r="DJ62" i="5" s="1"/>
  <c r="DV50" i="5"/>
  <c r="DV62" i="5" s="1"/>
  <c r="EH50" i="5"/>
  <c r="EH62" i="5" s="1"/>
  <c r="DK50" i="5"/>
  <c r="DK62" i="5" s="1"/>
  <c r="DW50" i="5"/>
  <c r="DW62" i="5" s="1"/>
  <c r="EI50" i="5"/>
  <c r="EI62" i="5" s="1"/>
  <c r="DN50" i="5"/>
  <c r="DN62" i="5" s="1"/>
  <c r="DZ50" i="5"/>
  <c r="DZ62" i="5" s="1"/>
  <c r="DO50" i="5"/>
  <c r="DO62" i="5" s="1"/>
  <c r="EA50" i="5"/>
  <c r="EA62" i="5" s="1"/>
  <c r="DP50" i="5"/>
  <c r="DP62" i="5" s="1"/>
  <c r="EB50" i="5"/>
  <c r="EB62" i="5" s="1"/>
  <c r="EO50" i="5"/>
  <c r="EO62" i="5" s="1"/>
  <c r="EN50" i="5"/>
  <c r="EN62" i="5" s="1"/>
  <c r="EM50" i="5"/>
  <c r="EM62" i="5" s="1"/>
  <c r="DQ50" i="5"/>
  <c r="DQ62" i="5" s="1"/>
  <c r="EC50" i="5"/>
  <c r="EC62" i="5" s="1"/>
  <c r="EL50" i="5"/>
  <c r="ED76" i="2"/>
  <c r="EJ76" i="2"/>
  <c r="EP76" i="2"/>
  <c r="EM31" i="4"/>
  <c r="DO31" i="4"/>
  <c r="EN31" i="4"/>
  <c r="ER92" i="4"/>
  <c r="EO47" i="5"/>
  <c r="EP61" i="5"/>
  <c r="DL65" i="5"/>
  <c r="DX42" i="5"/>
  <c r="EP24" i="5"/>
  <c r="EP22" i="5"/>
  <c r="EP29" i="5"/>
  <c r="EL31" i="4"/>
  <c r="DZ31" i="4"/>
  <c r="DN31" i="4"/>
  <c r="EI31" i="4"/>
  <c r="DJ31" i="4"/>
  <c r="EG31" i="4"/>
  <c r="DX49" i="4"/>
  <c r="DX19" i="4"/>
  <c r="DX29" i="4"/>
  <c r="EP49" i="4"/>
  <c r="DU31" i="4"/>
  <c r="EJ19" i="4"/>
  <c r="EJ29" i="4"/>
  <c r="EJ49" i="4"/>
  <c r="ER31" i="4"/>
  <c r="DR49" i="4"/>
  <c r="ED19" i="4"/>
  <c r="ED29" i="4"/>
  <c r="ED49" i="4"/>
  <c r="ED58" i="4"/>
  <c r="ED60" i="4" s="1"/>
  <c r="EH31" i="4"/>
  <c r="DV31" i="4"/>
  <c r="DR58" i="4"/>
  <c r="DR60" i="4" s="1"/>
  <c r="EJ58" i="4"/>
  <c r="EJ60" i="4" s="1"/>
  <c r="EP19" i="4"/>
  <c r="EP29" i="4"/>
  <c r="EP42" i="4"/>
  <c r="EO31" i="4"/>
  <c r="DQ31" i="4"/>
  <c r="DR19" i="4"/>
  <c r="DR29" i="4"/>
  <c r="DR42" i="4"/>
  <c r="DX58" i="4"/>
  <c r="DX60" i="4" s="1"/>
  <c r="EP58" i="4"/>
  <c r="EP58" i="5"/>
  <c r="EP53" i="5"/>
  <c r="EP46" i="5"/>
  <c r="EP44" i="5"/>
  <c r="EP20" i="5"/>
  <c r="DX65" i="5"/>
  <c r="EJ65" i="5"/>
  <c r="DR32" i="5"/>
  <c r="ED32" i="5"/>
  <c r="EP55" i="5"/>
  <c r="EP54" i="5"/>
  <c r="EP43" i="5"/>
  <c r="EP39" i="5"/>
  <c r="AA20" i="7" s="1"/>
  <c r="EP65" i="5"/>
  <c r="EP59" i="5"/>
  <c r="EP57" i="5"/>
  <c r="EP25" i="5"/>
  <c r="EP21" i="5"/>
  <c r="EP17" i="5"/>
  <c r="DR65" i="5"/>
  <c r="ED65" i="5"/>
  <c r="EP30" i="5"/>
  <c r="DX16" i="5"/>
  <c r="EP18" i="5"/>
  <c r="ED20" i="5"/>
  <c r="EP52" i="5"/>
  <c r="EP45" i="5"/>
  <c r="EP42" i="5"/>
  <c r="EP26" i="5"/>
  <c r="DR9" i="5"/>
  <c r="ED9" i="5"/>
  <c r="DX11" i="5"/>
  <c r="EJ11" i="5"/>
  <c r="DR12" i="5"/>
  <c r="ED12" i="5"/>
  <c r="DX13" i="5"/>
  <c r="ED42" i="5"/>
  <c r="DR40" i="5"/>
  <c r="ED40" i="5"/>
  <c r="EP56" i="5"/>
  <c r="EP32" i="5"/>
  <c r="DR61" i="5"/>
  <c r="EL47" i="5"/>
  <c r="EP31" i="5"/>
  <c r="DX45" i="5"/>
  <c r="EN47" i="5"/>
  <c r="EO14" i="5"/>
  <c r="EO36" i="5" s="1"/>
  <c r="EO75" i="5" s="1"/>
  <c r="EJ34" i="5"/>
  <c r="DR17" i="5"/>
  <c r="ED17" i="5"/>
  <c r="EJ21" i="5"/>
  <c r="EM47" i="5"/>
  <c r="EN14" i="5"/>
  <c r="EN36" i="5" s="1"/>
  <c r="EN75" i="5" s="1"/>
  <c r="DX9" i="5"/>
  <c r="EJ9" i="5"/>
  <c r="DR11" i="5"/>
  <c r="DX12" i="5"/>
  <c r="EJ12" i="5"/>
  <c r="ED13" i="5"/>
  <c r="DR39" i="5"/>
  <c r="ED39" i="5"/>
  <c r="DR58" i="5"/>
  <c r="ED58" i="5"/>
  <c r="EP34" i="5"/>
  <c r="EM14" i="5"/>
  <c r="EM36" i="5" s="1"/>
  <c r="EM75" i="5" s="1"/>
  <c r="DR23" i="5"/>
  <c r="ED23" i="5"/>
  <c r="DX25" i="5"/>
  <c r="EJ25" i="5"/>
  <c r="EP40" i="5"/>
  <c r="EP23" i="5"/>
  <c r="EJ51" i="2"/>
  <c r="DX42" i="4"/>
  <c r="ED42" i="4"/>
  <c r="EJ42" i="4"/>
  <c r="EP9" i="5"/>
  <c r="ER79" i="2"/>
  <c r="EP11" i="5"/>
  <c r="EP13" i="5"/>
  <c r="EP12" i="5"/>
  <c r="EP41" i="5"/>
  <c r="EP15" i="5"/>
  <c r="EL14" i="5"/>
  <c r="EL36" i="5" s="1"/>
  <c r="EL75" i="5" s="1"/>
  <c r="EJ13" i="5"/>
  <c r="ED29" i="5"/>
  <c r="DR22" i="5"/>
  <c r="DX59" i="5"/>
  <c r="EJ44" i="5"/>
  <c r="DX29" i="5"/>
  <c r="EJ30" i="5"/>
  <c r="ED31" i="5"/>
  <c r="DX18" i="5"/>
  <c r="EJ18" i="5"/>
  <c r="DX22" i="5"/>
  <c r="EJ22" i="5"/>
  <c r="DX41" i="5"/>
  <c r="DR52" i="5"/>
  <c r="ED52" i="5"/>
  <c r="DR53" i="5"/>
  <c r="ED53" i="5"/>
  <c r="DR54" i="5"/>
  <c r="ED54" i="5"/>
  <c r="DR55" i="5"/>
  <c r="ED55" i="5"/>
  <c r="DR59" i="5"/>
  <c r="ED59" i="5"/>
  <c r="DR56" i="5"/>
  <c r="ED56" i="5"/>
  <c r="DR57" i="5"/>
  <c r="ED57" i="5"/>
  <c r="EJ29" i="5"/>
  <c r="DX30" i="5"/>
  <c r="DR31" i="5"/>
  <c r="ED11" i="5"/>
  <c r="DR13" i="5"/>
  <c r="DX15" i="5"/>
  <c r="EJ15" i="5"/>
  <c r="DX20" i="5"/>
  <c r="EJ20" i="5"/>
  <c r="DX21" i="5"/>
  <c r="DX24" i="5"/>
  <c r="EJ24" i="5"/>
  <c r="DR26" i="5"/>
  <c r="ED26" i="5"/>
  <c r="ED41" i="5"/>
  <c r="DR43" i="5"/>
  <c r="ED43" i="5"/>
  <c r="DR44" i="5"/>
  <c r="ED44" i="5"/>
  <c r="DR45" i="5"/>
  <c r="ED45" i="5"/>
  <c r="DR46" i="5"/>
  <c r="ED46" i="5"/>
  <c r="DX17" i="5"/>
  <c r="EJ17" i="5"/>
  <c r="DR21" i="5"/>
  <c r="ED21" i="5"/>
  <c r="DR29" i="5"/>
  <c r="DR30" i="5"/>
  <c r="ED30" i="5"/>
  <c r="DX31" i="5"/>
  <c r="EJ31" i="5"/>
  <c r="DR18" i="5"/>
  <c r="ED18" i="5"/>
  <c r="ED22" i="5"/>
  <c r="DL52" i="5"/>
  <c r="DX52" i="5"/>
  <c r="EJ52" i="5"/>
  <c r="DL53" i="5"/>
  <c r="DX53" i="5"/>
  <c r="EJ53" i="5"/>
  <c r="DL54" i="5"/>
  <c r="DX54" i="5"/>
  <c r="EJ54" i="5"/>
  <c r="DL55" i="5"/>
  <c r="DX55" i="5"/>
  <c r="EJ55" i="5"/>
  <c r="DL59" i="5"/>
  <c r="EJ59" i="5"/>
  <c r="DL56" i="5"/>
  <c r="DX56" i="5"/>
  <c r="EJ56" i="5"/>
  <c r="DL57" i="5"/>
  <c r="DX57" i="5"/>
  <c r="EJ57" i="5"/>
  <c r="DX32" i="5"/>
  <c r="EJ32" i="5"/>
  <c r="DX23" i="5"/>
  <c r="EJ23" i="5"/>
  <c r="DR25" i="5"/>
  <c r="ED25" i="5"/>
  <c r="EJ42" i="5"/>
  <c r="DX39" i="5"/>
  <c r="EJ39" i="5"/>
  <c r="DX40" i="5"/>
  <c r="EJ40" i="5"/>
  <c r="DL58" i="5"/>
  <c r="DX58" i="5"/>
  <c r="EJ58" i="5"/>
  <c r="DR15" i="5"/>
  <c r="ED15" i="5"/>
  <c r="DR20" i="5"/>
  <c r="DR24" i="5"/>
  <c r="ED24" i="5"/>
  <c r="DX26" i="5"/>
  <c r="EJ26" i="5"/>
  <c r="EJ41" i="5"/>
  <c r="DX43" i="5"/>
  <c r="EJ43" i="5"/>
  <c r="DX44" i="5"/>
  <c r="EJ45" i="5"/>
  <c r="DX46" i="5"/>
  <c r="EJ46" i="5"/>
  <c r="DL61" i="5"/>
  <c r="DX61" i="5"/>
  <c r="EJ61" i="5"/>
  <c r="DH14" i="5"/>
  <c r="DL44" i="5"/>
  <c r="DL46" i="5"/>
  <c r="DJ14" i="5"/>
  <c r="DL43" i="5"/>
  <c r="DK14" i="5"/>
  <c r="EI14" i="5"/>
  <c r="EI36" i="5" s="1"/>
  <c r="EI75" i="5" s="1"/>
  <c r="DP14" i="5"/>
  <c r="DL12" i="5"/>
  <c r="DL45" i="5"/>
  <c r="DL33" i="5"/>
  <c r="DL40" i="5"/>
  <c r="DL29" i="5"/>
  <c r="DL30" i="5"/>
  <c r="DL39" i="5"/>
  <c r="DL22" i="5"/>
  <c r="DT14" i="5"/>
  <c r="DT36" i="5" s="1"/>
  <c r="DT75" i="5" s="1"/>
  <c r="DL15" i="5"/>
  <c r="DL25" i="5"/>
  <c r="DL32" i="5"/>
  <c r="DL9" i="5"/>
  <c r="DL11" i="5"/>
  <c r="DL13" i="5"/>
  <c r="DZ14" i="5"/>
  <c r="DZ36" i="5" s="1"/>
  <c r="DZ75" i="5" s="1"/>
  <c r="DV14" i="5"/>
  <c r="DV36" i="5" s="1"/>
  <c r="DV75" i="5" s="1"/>
  <c r="EH14" i="5"/>
  <c r="EH36" i="5" s="1"/>
  <c r="EH75" i="5" s="1"/>
  <c r="EF14" i="5"/>
  <c r="EF36" i="5" s="1"/>
  <c r="EF75" i="5" s="1"/>
  <c r="DU14" i="5"/>
  <c r="DU36" i="5" s="1"/>
  <c r="DU75" i="5" s="1"/>
  <c r="EG14" i="5"/>
  <c r="EG36" i="5" s="1"/>
  <c r="EG75" i="5" s="1"/>
  <c r="DQ14" i="5"/>
  <c r="EC14" i="5"/>
  <c r="EC36" i="5" s="1"/>
  <c r="EC75" i="5" s="1"/>
  <c r="DO14" i="5"/>
  <c r="EA14" i="5"/>
  <c r="EA36" i="5" s="1"/>
  <c r="EA75" i="5" s="1"/>
  <c r="DI14" i="5"/>
  <c r="EB14" i="5"/>
  <c r="EB36" i="5" s="1"/>
  <c r="EB75" i="5" s="1"/>
  <c r="DN14" i="5"/>
  <c r="DW14" i="5"/>
  <c r="DW36" i="5" s="1"/>
  <c r="DW75" i="5" s="1"/>
  <c r="DL19" i="4"/>
  <c r="EF31" i="4"/>
  <c r="EC31" i="4"/>
  <c r="EB31" i="4"/>
  <c r="EA31" i="4"/>
  <c r="DW31" i="4"/>
  <c r="DT31" i="4"/>
  <c r="DP31" i="4"/>
  <c r="DK31" i="4"/>
  <c r="DI31" i="4"/>
  <c r="DH31" i="4"/>
  <c r="DL29" i="4"/>
  <c r="ER60" i="4"/>
  <c r="EI47" i="5"/>
  <c r="EH47" i="5"/>
  <c r="EG47" i="5"/>
  <c r="EF47" i="5"/>
  <c r="EC47" i="5"/>
  <c r="EB47" i="5"/>
  <c r="EA47" i="5"/>
  <c r="DZ47" i="5"/>
  <c r="DW47" i="5"/>
  <c r="DV47" i="5"/>
  <c r="DU47" i="5"/>
  <c r="DT47" i="5"/>
  <c r="EO77" i="4"/>
  <c r="EN77" i="4"/>
  <c r="EM77" i="4"/>
  <c r="EL77" i="4"/>
  <c r="EI77" i="4"/>
  <c r="EH77" i="4"/>
  <c r="EG77" i="4"/>
  <c r="EF77" i="4"/>
  <c r="EC77" i="4"/>
  <c r="EB77" i="4"/>
  <c r="EA77" i="4"/>
  <c r="DZ77" i="4"/>
  <c r="DW77" i="4"/>
  <c r="DV77" i="4"/>
  <c r="DU77" i="4"/>
  <c r="DT77" i="4"/>
  <c r="EO58" i="4"/>
  <c r="EN58" i="4"/>
  <c r="EN60" i="4" s="1"/>
  <c r="EM58" i="4"/>
  <c r="EL58" i="4"/>
  <c r="EL96" i="4" s="1"/>
  <c r="EI58" i="4"/>
  <c r="EH58" i="4"/>
  <c r="EG58" i="4"/>
  <c r="EF58" i="4"/>
  <c r="EC58" i="4"/>
  <c r="EB58" i="4"/>
  <c r="EA58" i="4"/>
  <c r="DZ58" i="4"/>
  <c r="DW58" i="4"/>
  <c r="DV58" i="4"/>
  <c r="DU58" i="4"/>
  <c r="DT58" i="4"/>
  <c r="EO49" i="4"/>
  <c r="EN49" i="4"/>
  <c r="EM49" i="4"/>
  <c r="EL49" i="4"/>
  <c r="EI49" i="4"/>
  <c r="EH49" i="4"/>
  <c r="EG49" i="4"/>
  <c r="EF49" i="4"/>
  <c r="EC49" i="4"/>
  <c r="EB49" i="4"/>
  <c r="EA49" i="4"/>
  <c r="DZ49" i="4"/>
  <c r="DW49" i="4"/>
  <c r="DV49" i="4"/>
  <c r="DU49" i="4"/>
  <c r="DT49" i="4"/>
  <c r="EO42" i="4"/>
  <c r="EN42" i="4"/>
  <c r="EM42" i="4"/>
  <c r="EL42" i="4"/>
  <c r="EI42" i="4"/>
  <c r="EH42" i="4"/>
  <c r="EG42" i="4"/>
  <c r="EF42" i="4"/>
  <c r="EC42" i="4"/>
  <c r="EB42" i="4"/>
  <c r="EA42" i="4"/>
  <c r="DZ42" i="4"/>
  <c r="DW42" i="4"/>
  <c r="DV42" i="4"/>
  <c r="DU42" i="4"/>
  <c r="DT42" i="4"/>
  <c r="EP143" i="2"/>
  <c r="EJ143" i="2"/>
  <c r="ED143" i="2"/>
  <c r="DX143" i="2"/>
  <c r="EP144" i="2"/>
  <c r="EJ144" i="2"/>
  <c r="ED144" i="2"/>
  <c r="DX144" i="2"/>
  <c r="EP141" i="2"/>
  <c r="EJ141" i="2"/>
  <c r="ED141" i="2"/>
  <c r="DX141" i="2"/>
  <c r="EO89" i="2"/>
  <c r="EN89" i="2"/>
  <c r="EM89" i="2"/>
  <c r="EL89" i="2"/>
  <c r="EI89" i="2"/>
  <c r="EH89" i="2"/>
  <c r="EG89" i="2"/>
  <c r="EF89" i="2"/>
  <c r="EC89" i="2"/>
  <c r="EB89" i="2"/>
  <c r="EA89" i="2"/>
  <c r="DZ89" i="2"/>
  <c r="DW89" i="2"/>
  <c r="DV89" i="2"/>
  <c r="DU89" i="2"/>
  <c r="DT89" i="2"/>
  <c r="EO87" i="2"/>
  <c r="EN87" i="2"/>
  <c r="EM87" i="2"/>
  <c r="EL87" i="2"/>
  <c r="EI87" i="2"/>
  <c r="EH87" i="2"/>
  <c r="EG87" i="2"/>
  <c r="EF87" i="2"/>
  <c r="EB87" i="2"/>
  <c r="EA87" i="2"/>
  <c r="DZ87" i="2"/>
  <c r="DV87" i="2"/>
  <c r="DU87" i="2"/>
  <c r="DT87" i="2"/>
  <c r="EO85" i="2"/>
  <c r="EN85" i="2"/>
  <c r="EM85" i="2"/>
  <c r="EL85" i="2"/>
  <c r="EI85" i="2"/>
  <c r="EH85" i="2"/>
  <c r="EG85" i="2"/>
  <c r="EF85" i="2"/>
  <c r="EC85" i="2"/>
  <c r="EB85" i="2"/>
  <c r="EA85" i="2"/>
  <c r="DZ85" i="2"/>
  <c r="DW85" i="2"/>
  <c r="DV85" i="2"/>
  <c r="DU85" i="2"/>
  <c r="DT85" i="2"/>
  <c r="EO77" i="2"/>
  <c r="EN77" i="2"/>
  <c r="EM77" i="2"/>
  <c r="EL77" i="2"/>
  <c r="EI77" i="2"/>
  <c r="EH77" i="2"/>
  <c r="EG77" i="2"/>
  <c r="EF77" i="2"/>
  <c r="EC77" i="2"/>
  <c r="EB77" i="2"/>
  <c r="EA77" i="2"/>
  <c r="DZ77" i="2"/>
  <c r="EO74" i="2"/>
  <c r="EN74" i="2"/>
  <c r="EM74" i="2"/>
  <c r="EL74" i="2"/>
  <c r="EI74" i="2"/>
  <c r="EH74" i="2"/>
  <c r="EG74" i="2"/>
  <c r="EF74" i="2"/>
  <c r="EC74" i="2"/>
  <c r="EB74" i="2"/>
  <c r="EA74" i="2"/>
  <c r="DZ74" i="2"/>
  <c r="ED89" i="2"/>
  <c r="EO56" i="2" l="1"/>
  <c r="EO70" i="2" s="1"/>
  <c r="EU88" i="2"/>
  <c r="EN56" i="2"/>
  <c r="EN70" i="2" s="1"/>
  <c r="EB60" i="2"/>
  <c r="EB62" i="2" s="1"/>
  <c r="EB79" i="5" s="1"/>
  <c r="EB70" i="2"/>
  <c r="EA60" i="2"/>
  <c r="EA62" i="2" s="1"/>
  <c r="EA79" i="5" s="1"/>
  <c r="EA70" i="2"/>
  <c r="EP52" i="2"/>
  <c r="EP56" i="2" s="1"/>
  <c r="EP60" i="2" s="1"/>
  <c r="EL56" i="2"/>
  <c r="DX61" i="2"/>
  <c r="DR61" i="2"/>
  <c r="DP60" i="2"/>
  <c r="DP62" i="2" s="1"/>
  <c r="DP70" i="2"/>
  <c r="EG70" i="2"/>
  <c r="EG60" i="2"/>
  <c r="EG62" i="2" s="1"/>
  <c r="EG79" i="5" s="1"/>
  <c r="DO60" i="2"/>
  <c r="DO62" i="2" s="1"/>
  <c r="DO70" i="2"/>
  <c r="EF60" i="2"/>
  <c r="EF62" i="2" s="1"/>
  <c r="EF79" i="5" s="1"/>
  <c r="EF70" i="2"/>
  <c r="ED61" i="2"/>
  <c r="DX52" i="2"/>
  <c r="DT75" i="2"/>
  <c r="DT56" i="2"/>
  <c r="EM60" i="2"/>
  <c r="EM62" i="2" s="1"/>
  <c r="EM79" i="5" s="1"/>
  <c r="EM70" i="2"/>
  <c r="EC70" i="2"/>
  <c r="EC60" i="2"/>
  <c r="EC62" i="2" s="1"/>
  <c r="EC79" i="5" s="1"/>
  <c r="DQ70" i="2"/>
  <c r="DQ60" i="2"/>
  <c r="DQ62" i="2" s="1"/>
  <c r="EO60" i="2"/>
  <c r="EO62" i="2" s="1"/>
  <c r="EO79" i="5" s="1"/>
  <c r="DZ56" i="2"/>
  <c r="ED52" i="2"/>
  <c r="ED56" i="2" s="1"/>
  <c r="ED60" i="2" s="1"/>
  <c r="DJ60" i="2"/>
  <c r="DJ62" i="2" s="1"/>
  <c r="DJ70" i="2"/>
  <c r="DW75" i="2"/>
  <c r="DW56" i="2"/>
  <c r="EH70" i="2"/>
  <c r="EH60" i="2"/>
  <c r="EH62" i="2" s="1"/>
  <c r="EH79" i="5" s="1"/>
  <c r="DV75" i="2"/>
  <c r="DV56" i="2"/>
  <c r="DU75" i="2"/>
  <c r="DU56" i="2"/>
  <c r="DI60" i="2"/>
  <c r="DI62" i="2" s="1"/>
  <c r="DI70" i="2"/>
  <c r="EP61" i="2"/>
  <c r="DN56" i="2"/>
  <c r="DR52" i="2"/>
  <c r="DR56" i="2" s="1"/>
  <c r="DR60" i="2" s="1"/>
  <c r="EI70" i="2"/>
  <c r="EI60" i="2"/>
  <c r="EI62" i="2" s="1"/>
  <c r="EI79" i="5" s="1"/>
  <c r="DK60" i="2"/>
  <c r="DK62" i="2" s="1"/>
  <c r="DK70" i="2"/>
  <c r="EC75" i="2"/>
  <c r="DX142" i="2"/>
  <c r="DX145" i="2" s="1"/>
  <c r="DX147" i="2" s="1"/>
  <c r="EF82" i="4"/>
  <c r="EF83" i="4"/>
  <c r="EP142" i="2"/>
  <c r="EP145" i="2" s="1"/>
  <c r="EG83" i="4"/>
  <c r="EG82" i="4"/>
  <c r="EN103" i="4"/>
  <c r="EN105" i="4"/>
  <c r="ER103" i="4"/>
  <c r="ER105" i="4"/>
  <c r="DL50" i="5"/>
  <c r="DL62" i="5" s="1"/>
  <c r="EM145" i="2"/>
  <c r="EM147" i="2" s="1"/>
  <c r="EI79" i="2"/>
  <c r="DV100" i="2"/>
  <c r="DU100" i="2"/>
  <c r="DL35" i="2"/>
  <c r="EL100" i="2"/>
  <c r="EP51" i="4"/>
  <c r="EP60" i="4"/>
  <c r="AA46" i="7"/>
  <c r="EJ50" i="2"/>
  <c r="EJ86" i="2" s="1"/>
  <c r="EG79" i="2"/>
  <c r="EG100" i="2"/>
  <c r="EJ142" i="2"/>
  <c r="EJ145" i="2" s="1"/>
  <c r="EJ147" i="2" s="1"/>
  <c r="EJ50" i="5"/>
  <c r="EJ62" i="5" s="1"/>
  <c r="DX50" i="5"/>
  <c r="DX62" i="5" s="1"/>
  <c r="ED50" i="5"/>
  <c r="ED62" i="5" s="1"/>
  <c r="DW145" i="2"/>
  <c r="DW147" i="2" s="1"/>
  <c r="ED142" i="2"/>
  <c r="ED145" i="2" s="1"/>
  <c r="ED147" i="2" s="1"/>
  <c r="DR50" i="5"/>
  <c r="DR62" i="5" s="1"/>
  <c r="EP50" i="5"/>
  <c r="EP62" i="5" s="1"/>
  <c r="EL62" i="5"/>
  <c r="EC100" i="2"/>
  <c r="DX51" i="4"/>
  <c r="DX62" i="4" s="1"/>
  <c r="EO51" i="4"/>
  <c r="DU51" i="4"/>
  <c r="EG51" i="4"/>
  <c r="DV51" i="4"/>
  <c r="EH51" i="4"/>
  <c r="DW51" i="4"/>
  <c r="EI51" i="4"/>
  <c r="EJ51" i="4"/>
  <c r="EJ62" i="4" s="1"/>
  <c r="EC51" i="4"/>
  <c r="EF51" i="4"/>
  <c r="DZ51" i="4"/>
  <c r="EL51" i="4"/>
  <c r="EA51" i="4"/>
  <c r="EM51" i="4"/>
  <c r="ED51" i="4"/>
  <c r="ED62" i="4" s="1"/>
  <c r="DT51" i="4"/>
  <c r="DR51" i="4"/>
  <c r="DR62" i="4" s="1"/>
  <c r="EB51" i="4"/>
  <c r="EN51" i="4"/>
  <c r="EN62" i="4" s="1"/>
  <c r="DR31" i="4"/>
  <c r="EF95" i="4"/>
  <c r="EF96" i="4"/>
  <c r="DV96" i="4"/>
  <c r="DV95" i="4"/>
  <c r="EH96" i="4"/>
  <c r="EH95" i="4"/>
  <c r="DT60" i="4"/>
  <c r="DT95" i="4"/>
  <c r="DT96" i="4"/>
  <c r="DU60" i="4"/>
  <c r="DU95" i="4"/>
  <c r="DU96" i="4"/>
  <c r="DW96" i="4"/>
  <c r="DW95" i="4"/>
  <c r="EI96" i="4"/>
  <c r="EI95" i="4"/>
  <c r="EC96" i="4"/>
  <c r="EC95" i="4"/>
  <c r="ER95" i="4"/>
  <c r="ER104" i="4"/>
  <c r="EG95" i="4"/>
  <c r="EG96" i="4"/>
  <c r="DZ95" i="4"/>
  <c r="DZ96" i="4"/>
  <c r="EA95" i="4"/>
  <c r="EA96" i="4"/>
  <c r="EB96" i="4"/>
  <c r="EB95" i="4"/>
  <c r="EN95" i="4"/>
  <c r="EB92" i="4"/>
  <c r="DT92" i="4"/>
  <c r="EF92" i="4"/>
  <c r="EO92" i="4"/>
  <c r="DU92" i="4"/>
  <c r="EG92" i="4"/>
  <c r="DV92" i="4"/>
  <c r="EH92" i="4"/>
  <c r="EN92" i="4"/>
  <c r="EC92" i="4"/>
  <c r="DW92" i="4"/>
  <c r="EI92" i="4"/>
  <c r="DZ92" i="4"/>
  <c r="EL92" i="4"/>
  <c r="EA92" i="4"/>
  <c r="EM92" i="4"/>
  <c r="EP14" i="5"/>
  <c r="EP36" i="5" s="1"/>
  <c r="EP75" i="5" s="1"/>
  <c r="DL31" i="4"/>
  <c r="DX77" i="4"/>
  <c r="EP77" i="4"/>
  <c r="DX31" i="4"/>
  <c r="EJ31" i="4"/>
  <c r="ED31" i="4"/>
  <c r="EP31" i="4"/>
  <c r="AA36" i="7" s="1"/>
  <c r="DR47" i="5"/>
  <c r="EP47" i="5"/>
  <c r="ER81" i="2"/>
  <c r="EH86" i="2"/>
  <c r="EL86" i="2"/>
  <c r="EG86" i="2"/>
  <c r="ER80" i="2"/>
  <c r="DZ86" i="2"/>
  <c r="EH147" i="2"/>
  <c r="EO78" i="4"/>
  <c r="EP78" i="4" s="1"/>
  <c r="EF78" i="4"/>
  <c r="EM64" i="5"/>
  <c r="EM66" i="5" s="1"/>
  <c r="ER86" i="2"/>
  <c r="EO64" i="5"/>
  <c r="EO66" i="5" s="1"/>
  <c r="EO69" i="5" s="1"/>
  <c r="EI86" i="2"/>
  <c r="EP89" i="2"/>
  <c r="EJ77" i="4"/>
  <c r="EI78" i="4"/>
  <c r="EJ83" i="4" s="1"/>
  <c r="EL78" i="4"/>
  <c r="EH78" i="4"/>
  <c r="EB86" i="2"/>
  <c r="EM86" i="2"/>
  <c r="EM78" i="4"/>
  <c r="EP85" i="2"/>
  <c r="EN86" i="2"/>
  <c r="EN78" i="4"/>
  <c r="ED77" i="4"/>
  <c r="EC78" i="4"/>
  <c r="EG78" i="4"/>
  <c r="ED74" i="2"/>
  <c r="EN64" i="5"/>
  <c r="EN66" i="5" s="1"/>
  <c r="ED47" i="5"/>
  <c r="DX14" i="5"/>
  <c r="DX36" i="5" s="1"/>
  <c r="DX75" i="5" s="1"/>
  <c r="EJ14" i="5"/>
  <c r="EJ36" i="5" s="1"/>
  <c r="EJ75" i="5" s="1"/>
  <c r="ED14" i="5"/>
  <c r="ED36" i="5" s="1"/>
  <c r="ED75" i="5" s="1"/>
  <c r="DR14" i="5"/>
  <c r="DR36" i="5" s="1"/>
  <c r="DR75" i="5" s="1"/>
  <c r="DX47" i="5"/>
  <c r="EJ47" i="5"/>
  <c r="DL14" i="5"/>
  <c r="ER62" i="4"/>
  <c r="DT64" i="5"/>
  <c r="DT66" i="5" s="1"/>
  <c r="EC64" i="5"/>
  <c r="EC66" i="5" s="1"/>
  <c r="DU64" i="5"/>
  <c r="DU66" i="5" s="1"/>
  <c r="DZ64" i="5"/>
  <c r="DZ66" i="5" s="1"/>
  <c r="EI64" i="5"/>
  <c r="EI66" i="5" s="1"/>
  <c r="DV64" i="5"/>
  <c r="DV66" i="5" s="1"/>
  <c r="EA64" i="5"/>
  <c r="EA66" i="5" s="1"/>
  <c r="EF64" i="5"/>
  <c r="EF66" i="5" s="1"/>
  <c r="DW64" i="5"/>
  <c r="DW66" i="5" s="1"/>
  <c r="EB64" i="5"/>
  <c r="EB66" i="5" s="1"/>
  <c r="EG64" i="5"/>
  <c r="EG66" i="5" s="1"/>
  <c r="EH64" i="5"/>
  <c r="EH66" i="5" s="1"/>
  <c r="EN96" i="4"/>
  <c r="DV60" i="4"/>
  <c r="EA60" i="4"/>
  <c r="EF60" i="4"/>
  <c r="EO96" i="4"/>
  <c r="EO60" i="4"/>
  <c r="EI60" i="4"/>
  <c r="DW60" i="4"/>
  <c r="EB60" i="4"/>
  <c r="EL101" i="4"/>
  <c r="EC60" i="4"/>
  <c r="EH60" i="4"/>
  <c r="EM96" i="4"/>
  <c r="EM60" i="4"/>
  <c r="DZ60" i="4"/>
  <c r="EJ81" i="4"/>
  <c r="EP81" i="4"/>
  <c r="EG60" i="4"/>
  <c r="EL60" i="4"/>
  <c r="DX81" i="4"/>
  <c r="ED81" i="4"/>
  <c r="EM101" i="4"/>
  <c r="EN101" i="4"/>
  <c r="EO101" i="4"/>
  <c r="ED85" i="2"/>
  <c r="EJ85" i="2"/>
  <c r="EA86" i="2"/>
  <c r="ED77" i="2"/>
  <c r="EF86" i="2"/>
  <c r="EO86" i="2"/>
  <c r="EJ87" i="2"/>
  <c r="EJ89" i="2"/>
  <c r="EJ74" i="2"/>
  <c r="EJ77" i="2"/>
  <c r="EP77" i="2"/>
  <c r="DN36" i="5"/>
  <c r="DN75" i="5" s="1"/>
  <c r="DH36" i="5"/>
  <c r="DH75" i="5" s="1"/>
  <c r="ES90" i="2" l="1"/>
  <c r="ES36" i="5"/>
  <c r="ED62" i="2"/>
  <c r="ED79" i="5" s="1"/>
  <c r="EN60" i="2"/>
  <c r="EN62" i="2" s="1"/>
  <c r="EI107" i="4"/>
  <c r="EN78" i="2"/>
  <c r="E19" i="39"/>
  <c r="E21" i="39" s="1"/>
  <c r="N15" i="39"/>
  <c r="E26" i="39"/>
  <c r="J15" i="39"/>
  <c r="EM78" i="2"/>
  <c r="DR62" i="2"/>
  <c r="EF107" i="4"/>
  <c r="DN60" i="2"/>
  <c r="DN62" i="2" s="1"/>
  <c r="DN79" i="5" s="1"/>
  <c r="DN70" i="2"/>
  <c r="DP107" i="4" s="1"/>
  <c r="DU79" i="2"/>
  <c r="DU60" i="2"/>
  <c r="DU70" i="2"/>
  <c r="EH67" i="2"/>
  <c r="EH68" i="2"/>
  <c r="EO78" i="2"/>
  <c r="ER107" i="4"/>
  <c r="EC68" i="2"/>
  <c r="EC67" i="2"/>
  <c r="DT60" i="2"/>
  <c r="DT70" i="2"/>
  <c r="DT107" i="4" s="1"/>
  <c r="DT79" i="2"/>
  <c r="EG67" i="2"/>
  <c r="EG68" i="2"/>
  <c r="EI67" i="2"/>
  <c r="EI68" i="2"/>
  <c r="EH107" i="4"/>
  <c r="DJ67" i="2"/>
  <c r="DJ68" i="2"/>
  <c r="EO68" i="2"/>
  <c r="EO67" i="2"/>
  <c r="EF68" i="2"/>
  <c r="EF67" i="2"/>
  <c r="EG107" i="4"/>
  <c r="EL60" i="2"/>
  <c r="EL62" i="2" s="1"/>
  <c r="EL79" i="5" s="1"/>
  <c r="EL70" i="2"/>
  <c r="EA68" i="2"/>
  <c r="EA67" i="2"/>
  <c r="DK107" i="4"/>
  <c r="DL70" i="2"/>
  <c r="DV70" i="2"/>
  <c r="DV60" i="2"/>
  <c r="DV79" i="2"/>
  <c r="DW60" i="2"/>
  <c r="DW79" i="2"/>
  <c r="DW70" i="2"/>
  <c r="DQ68" i="2"/>
  <c r="DQ67" i="2"/>
  <c r="DX75" i="2"/>
  <c r="DX56" i="2"/>
  <c r="EP62" i="2"/>
  <c r="EP79" i="5" s="1"/>
  <c r="DK67" i="2"/>
  <c r="DK68" i="2"/>
  <c r="DI68" i="2"/>
  <c r="DI67" i="2"/>
  <c r="DZ70" i="2"/>
  <c r="DZ60" i="2"/>
  <c r="DZ62" i="2" s="1"/>
  <c r="DZ79" i="5" s="1"/>
  <c r="EM68" i="2"/>
  <c r="EM67" i="2"/>
  <c r="DO67" i="2"/>
  <c r="DO68" i="2"/>
  <c r="DP68" i="2"/>
  <c r="DP67" i="2"/>
  <c r="EB67" i="2"/>
  <c r="EB68" i="2"/>
  <c r="EI100" i="2"/>
  <c r="EI102" i="2" s="1"/>
  <c r="EI75" i="2"/>
  <c r="EH79" i="2"/>
  <c r="EL75" i="2"/>
  <c r="DV101" i="2"/>
  <c r="ER88" i="2"/>
  <c r="EP62" i="4"/>
  <c r="EP65" i="4" s="1"/>
  <c r="EL103" i="4"/>
  <c r="EL105" i="4"/>
  <c r="DW103" i="4"/>
  <c r="DW105" i="4"/>
  <c r="EI103" i="4"/>
  <c r="EI105" i="4"/>
  <c r="EO103" i="4"/>
  <c r="EO105" i="4"/>
  <c r="DU103" i="4"/>
  <c r="DU105" i="4"/>
  <c r="EF103" i="4"/>
  <c r="EF105" i="4"/>
  <c r="DZ103" i="4"/>
  <c r="DZ105" i="4"/>
  <c r="DV103" i="4"/>
  <c r="DV105" i="4"/>
  <c r="DT103" i="4"/>
  <c r="DT105" i="4"/>
  <c r="EA103" i="4"/>
  <c r="EA105" i="4"/>
  <c r="EM103" i="4"/>
  <c r="EM105" i="4"/>
  <c r="EH103" i="4"/>
  <c r="EH105" i="4"/>
  <c r="EG103" i="4"/>
  <c r="EG105" i="4"/>
  <c r="EC103" i="4"/>
  <c r="EC105" i="4"/>
  <c r="EB103" i="4"/>
  <c r="EB105" i="4"/>
  <c r="EH93" i="4"/>
  <c r="EN93" i="4"/>
  <c r="EA93" i="4"/>
  <c r="EF93" i="4"/>
  <c r="EI93" i="4"/>
  <c r="EG93" i="4"/>
  <c r="EB93" i="4"/>
  <c r="DZ93" i="4"/>
  <c r="EL93" i="4"/>
  <c r="EM93" i="4"/>
  <c r="EC93" i="4"/>
  <c r="EO93" i="4"/>
  <c r="ER93" i="4"/>
  <c r="EI88" i="2"/>
  <c r="EH100" i="2"/>
  <c r="EL88" i="2"/>
  <c r="EH75" i="2"/>
  <c r="EO157" i="2"/>
  <c r="DU62" i="4"/>
  <c r="EJ61" i="2"/>
  <c r="DL52" i="2"/>
  <c r="DL56" i="2" s="1"/>
  <c r="EL79" i="2"/>
  <c r="DL61" i="2"/>
  <c r="EC160" i="2"/>
  <c r="EM157" i="2"/>
  <c r="EA160" i="2"/>
  <c r="DP160" i="2"/>
  <c r="DI160" i="2"/>
  <c r="DR65" i="4"/>
  <c r="DT100" i="2"/>
  <c r="DU101" i="2" s="1"/>
  <c r="DT88" i="2"/>
  <c r="DO160" i="2"/>
  <c r="DW160" i="2"/>
  <c r="DK160" i="2"/>
  <c r="AA40" i="7"/>
  <c r="EH160" i="2"/>
  <c r="EI160" i="2"/>
  <c r="EF160" i="2"/>
  <c r="EJ70" i="2"/>
  <c r="Z30" i="7" s="1"/>
  <c r="EA100" i="2"/>
  <c r="EG102" i="2" s="1"/>
  <c r="EA75" i="2"/>
  <c r="EH88" i="2"/>
  <c r="EB75" i="2"/>
  <c r="EG88" i="2"/>
  <c r="EG91" i="2"/>
  <c r="EG75" i="2"/>
  <c r="EA88" i="2"/>
  <c r="EB100" i="2"/>
  <c r="EB102" i="2" s="1"/>
  <c r="EB88" i="2"/>
  <c r="EI91" i="2"/>
  <c r="EB79" i="2"/>
  <c r="EB91" i="2"/>
  <c r="AA19" i="7"/>
  <c r="EC79" i="2"/>
  <c r="EL64" i="5"/>
  <c r="EL66" i="5" s="1"/>
  <c r="EA79" i="2"/>
  <c r="EH91" i="2"/>
  <c r="ED65" i="4"/>
  <c r="DX65" i="4"/>
  <c r="EA91" i="2"/>
  <c r="EN104" i="4"/>
  <c r="EF104" i="4"/>
  <c r="EL95" i="4"/>
  <c r="EL104" i="4"/>
  <c r="EA104" i="4"/>
  <c r="DW104" i="4"/>
  <c r="EG104" i="4"/>
  <c r="EH104" i="4"/>
  <c r="DV104" i="4"/>
  <c r="EC104" i="4"/>
  <c r="DT62" i="4"/>
  <c r="DT65" i="4" s="1"/>
  <c r="EO95" i="4"/>
  <c r="EO104" i="4"/>
  <c r="DZ104" i="4"/>
  <c r="DT104" i="4"/>
  <c r="EM95" i="4"/>
  <c r="EM104" i="4"/>
  <c r="DU104" i="4"/>
  <c r="EB104" i="4"/>
  <c r="EI104" i="4"/>
  <c r="EJ65" i="4"/>
  <c r="EM76" i="5"/>
  <c r="DR64" i="5"/>
  <c r="DR66" i="5" s="1"/>
  <c r="EF88" i="2"/>
  <c r="EJ52" i="2"/>
  <c r="EF100" i="2"/>
  <c r="EL102" i="2" s="1"/>
  <c r="EF75" i="2"/>
  <c r="DZ100" i="2"/>
  <c r="DZ75" i="2"/>
  <c r="DZ88" i="2"/>
  <c r="EP87" i="2"/>
  <c r="EP74" i="2"/>
  <c r="ER102" i="2"/>
  <c r="EP83" i="4"/>
  <c r="EO76" i="5"/>
  <c r="EN76" i="5"/>
  <c r="EP82" i="4"/>
  <c r="EP147" i="2"/>
  <c r="EP86" i="2"/>
  <c r="EP64" i="5"/>
  <c r="EP66" i="5" s="1"/>
  <c r="EP69" i="5" s="1"/>
  <c r="EM69" i="5"/>
  <c r="ED82" i="4"/>
  <c r="ED83" i="4"/>
  <c r="ER82" i="2"/>
  <c r="ED78" i="4"/>
  <c r="EJ82" i="4"/>
  <c r="EJ78" i="4"/>
  <c r="EN69" i="5"/>
  <c r="EL76" i="5"/>
  <c r="ED64" i="5"/>
  <c r="ED66" i="5" s="1"/>
  <c r="DX64" i="5"/>
  <c r="DX66" i="5" s="1"/>
  <c r="EJ64" i="5"/>
  <c r="EJ66" i="5" s="1"/>
  <c r="ER65" i="4"/>
  <c r="EO62" i="4"/>
  <c r="EG76" i="5"/>
  <c r="EB76" i="5"/>
  <c r="EC76" i="5"/>
  <c r="EH76" i="5"/>
  <c r="EF69" i="5"/>
  <c r="EA69" i="5"/>
  <c r="DV69" i="5"/>
  <c r="EF76" i="5"/>
  <c r="EA76" i="5"/>
  <c r="EI69" i="5"/>
  <c r="DZ69" i="5"/>
  <c r="EH69" i="5"/>
  <c r="EG69" i="5"/>
  <c r="EB69" i="5"/>
  <c r="DW69" i="5"/>
  <c r="EI76" i="5"/>
  <c r="DZ76" i="5"/>
  <c r="DU69" i="5"/>
  <c r="EC69" i="5"/>
  <c r="DT69" i="5"/>
  <c r="DZ62" i="4"/>
  <c r="DW62" i="4"/>
  <c r="EH62" i="4"/>
  <c r="EN65" i="4"/>
  <c r="EB62" i="4"/>
  <c r="EM62" i="4"/>
  <c r="EL62" i="4"/>
  <c r="EI62" i="4"/>
  <c r="DV62" i="4"/>
  <c r="EA62" i="4"/>
  <c r="EF62" i="4"/>
  <c r="EC62" i="4"/>
  <c r="EG62" i="4"/>
  <c r="EB81" i="2"/>
  <c r="EB80" i="2"/>
  <c r="ER90" i="2" l="1"/>
  <c r="ES75" i="5"/>
  <c r="ES79" i="5"/>
  <c r="ED67" i="2"/>
  <c r="ED68" i="2"/>
  <c r="Y30" i="7" s="1"/>
  <c r="DR67" i="2"/>
  <c r="DR79" i="5"/>
  <c r="EN157" i="2"/>
  <c r="EN79" i="5"/>
  <c r="EN68" i="2"/>
  <c r="EN67" i="2"/>
  <c r="EL101" i="2"/>
  <c r="DR68" i="2"/>
  <c r="N26" i="39"/>
  <c r="J26" i="39"/>
  <c r="EO107" i="4"/>
  <c r="J21" i="39"/>
  <c r="E27" i="39"/>
  <c r="N21" i="39"/>
  <c r="EA107" i="4"/>
  <c r="EL107" i="4"/>
  <c r="DO107" i="4"/>
  <c r="EB107" i="4"/>
  <c r="EC107" i="4"/>
  <c r="DX70" i="2"/>
  <c r="DQ107" i="4"/>
  <c r="DV107" i="4"/>
  <c r="DU80" i="2"/>
  <c r="DU62" i="2"/>
  <c r="DU81" i="2"/>
  <c r="EP68" i="2"/>
  <c r="EP67" i="2"/>
  <c r="DX60" i="2"/>
  <c r="DX79" i="2"/>
  <c r="DW80" i="2"/>
  <c r="DW62" i="2"/>
  <c r="DW79" i="5" s="1"/>
  <c r="DW81" i="2"/>
  <c r="DZ68" i="2"/>
  <c r="DZ67" i="2"/>
  <c r="EL78" i="2"/>
  <c r="EP70" i="2"/>
  <c r="DR70" i="2"/>
  <c r="DN107" i="4"/>
  <c r="ED70" i="2"/>
  <c r="DZ107" i="4"/>
  <c r="EN107" i="4"/>
  <c r="DW107" i="4"/>
  <c r="DV81" i="2"/>
  <c r="DV80" i="2"/>
  <c r="DV62" i="2"/>
  <c r="EM107" i="4"/>
  <c r="EL68" i="2"/>
  <c r="EL67" i="2"/>
  <c r="DT62" i="2"/>
  <c r="DT79" i="5" s="1"/>
  <c r="DT80" i="2"/>
  <c r="DT81" i="2"/>
  <c r="DU107" i="4"/>
  <c r="DN67" i="2"/>
  <c r="DN68" i="2"/>
  <c r="EI101" i="2"/>
  <c r="ER91" i="2"/>
  <c r="EH101" i="2"/>
  <c r="EI81" i="2"/>
  <c r="EB160" i="2"/>
  <c r="EH81" i="2"/>
  <c r="DU65" i="4"/>
  <c r="EI80" i="2"/>
  <c r="EL91" i="2"/>
  <c r="DU160" i="2"/>
  <c r="DR160" i="2"/>
  <c r="DQ160" i="2"/>
  <c r="DL60" i="2"/>
  <c r="DL62" i="2" s="1"/>
  <c r="DJ160" i="2"/>
  <c r="DV160" i="2"/>
  <c r="DX160" i="2"/>
  <c r="DH60" i="2"/>
  <c r="DH62" i="2" s="1"/>
  <c r="DH79" i="5" s="1"/>
  <c r="EA102" i="2"/>
  <c r="EG160" i="2"/>
  <c r="EB101" i="2"/>
  <c r="EG80" i="2"/>
  <c r="EG81" i="2"/>
  <c r="EH102" i="2"/>
  <c r="EC101" i="2"/>
  <c r="ER159" i="2"/>
  <c r="EC80" i="2"/>
  <c r="EL69" i="5"/>
  <c r="EA80" i="2"/>
  <c r="EC81" i="2"/>
  <c r="EH80" i="2"/>
  <c r="EA81" i="2"/>
  <c r="DR69" i="5"/>
  <c r="EJ69" i="5"/>
  <c r="EA101" i="2"/>
  <c r="DZ102" i="2"/>
  <c r="ED75" i="2"/>
  <c r="ED100" i="2"/>
  <c r="EF101" i="2"/>
  <c r="EF102" i="2"/>
  <c r="EG101" i="2"/>
  <c r="EJ100" i="2"/>
  <c r="EJ88" i="2"/>
  <c r="EJ75" i="2"/>
  <c r="EJ56" i="2"/>
  <c r="DZ79" i="2"/>
  <c r="DZ91" i="2"/>
  <c r="EF91" i="2"/>
  <c r="EF79" i="2"/>
  <c r="EF84" i="4"/>
  <c r="EO84" i="4"/>
  <c r="DX69" i="5"/>
  <c r="EB77" i="5"/>
  <c r="EA77" i="5"/>
  <c r="EC77" i="5"/>
  <c r="EH77" i="5"/>
  <c r="EG77" i="5"/>
  <c r="EI77" i="5"/>
  <c r="EL84" i="4"/>
  <c r="EG84" i="4"/>
  <c r="EH84" i="4"/>
  <c r="EN84" i="4"/>
  <c r="EM84" i="4"/>
  <c r="EI84" i="4"/>
  <c r="EC84" i="4"/>
  <c r="ED69" i="5"/>
  <c r="DZ65" i="4"/>
  <c r="DV65" i="4"/>
  <c r="EO65" i="4"/>
  <c r="EH65" i="4"/>
  <c r="EB65" i="4"/>
  <c r="EL65" i="4"/>
  <c r="EI65" i="4"/>
  <c r="EM65" i="4"/>
  <c r="DW65" i="4"/>
  <c r="EF65" i="4"/>
  <c r="EC65" i="4"/>
  <c r="EG65" i="4"/>
  <c r="EA65" i="4"/>
  <c r="EG157" i="2"/>
  <c r="EG92" i="2"/>
  <c r="EG82" i="2"/>
  <c r="EA157" i="2"/>
  <c r="EA82" i="2"/>
  <c r="EI157" i="2"/>
  <c r="EI92" i="2"/>
  <c r="EI82" i="2"/>
  <c r="EB157" i="2"/>
  <c r="EB82" i="2"/>
  <c r="EC157" i="2"/>
  <c r="EC82" i="2"/>
  <c r="DV77" i="5" l="1"/>
  <c r="DV79" i="5"/>
  <c r="DU77" i="5"/>
  <c r="DU79" i="5"/>
  <c r="O18" i="38"/>
  <c r="Q18" i="38" s="1"/>
  <c r="O30" i="38"/>
  <c r="Q30" i="38" s="1"/>
  <c r="O24" i="38"/>
  <c r="Q24" i="38" s="1"/>
  <c r="O36" i="38"/>
  <c r="Q36" i="38" s="1"/>
  <c r="J27" i="39"/>
  <c r="N27" i="39"/>
  <c r="N23" i="39"/>
  <c r="J23" i="39"/>
  <c r="DV157" i="2"/>
  <c r="EA92" i="2"/>
  <c r="DU157" i="2"/>
  <c r="EB92" i="2"/>
  <c r="DT67" i="2"/>
  <c r="DT68" i="2"/>
  <c r="DT82" i="2"/>
  <c r="DV68" i="2"/>
  <c r="EB93" i="2" s="1"/>
  <c r="DV82" i="2"/>
  <c r="DV67" i="2"/>
  <c r="EP78" i="2"/>
  <c r="AA30" i="7"/>
  <c r="DX62" i="2"/>
  <c r="DX79" i="5" s="1"/>
  <c r="DX80" i="2"/>
  <c r="DX81" i="2"/>
  <c r="DU82" i="2"/>
  <c r="DU67" i="2"/>
  <c r="DU68" i="2"/>
  <c r="DU159" i="2" s="1"/>
  <c r="DW82" i="2"/>
  <c r="DW68" i="2"/>
  <c r="DW67" i="2"/>
  <c r="DL67" i="2"/>
  <c r="DL68" i="2"/>
  <c r="DH157" i="2"/>
  <c r="DH67" i="2"/>
  <c r="DH68" i="2"/>
  <c r="DH160" i="2"/>
  <c r="EL157" i="2"/>
  <c r="EL80" i="2"/>
  <c r="EL81" i="2"/>
  <c r="EL160" i="2"/>
  <c r="DT160" i="2"/>
  <c r="DZ160" i="2"/>
  <c r="ED160" i="2"/>
  <c r="DN160" i="2"/>
  <c r="DL160" i="2"/>
  <c r="EJ160" i="2"/>
  <c r="EH157" i="2"/>
  <c r="EH82" i="2"/>
  <c r="EH92" i="2"/>
  <c r="DZ81" i="2"/>
  <c r="DZ80" i="2"/>
  <c r="ED79" i="2"/>
  <c r="EJ60" i="2"/>
  <c r="EJ91" i="2"/>
  <c r="EJ79" i="2"/>
  <c r="EJ98" i="2"/>
  <c r="EF81" i="2"/>
  <c r="EF80" i="2"/>
  <c r="EJ102" i="2"/>
  <c r="EB159" i="2"/>
  <c r="EI159" i="2"/>
  <c r="EI93" i="2"/>
  <c r="EA159" i="2"/>
  <c r="EC159" i="2"/>
  <c r="EG159" i="2"/>
  <c r="EG93" i="2"/>
  <c r="EA93" i="2" l="1"/>
  <c r="DV159" i="2"/>
  <c r="DX82" i="2"/>
  <c r="DX68" i="2"/>
  <c r="DX67" i="2"/>
  <c r="EL82" i="2"/>
  <c r="ER92" i="2"/>
  <c r="EL159" i="2"/>
  <c r="EL77" i="5"/>
  <c r="DT77" i="5"/>
  <c r="DT159" i="2"/>
  <c r="DT157" i="2"/>
  <c r="EH159" i="2"/>
  <c r="ER93" i="2"/>
  <c r="EH93" i="2"/>
  <c r="EJ62" i="2"/>
  <c r="EJ79" i="5" s="1"/>
  <c r="EJ81" i="2"/>
  <c r="EJ80" i="2"/>
  <c r="EL92" i="2"/>
  <c r="EF92" i="2"/>
  <c r="EF77" i="5"/>
  <c r="EF82" i="2"/>
  <c r="EF157" i="2"/>
  <c r="ED80" i="2"/>
  <c r="ED81" i="2"/>
  <c r="DZ82" i="2"/>
  <c r="DZ92" i="2"/>
  <c r="DZ77" i="5"/>
  <c r="DZ157" i="2"/>
  <c r="EJ68" i="2" l="1"/>
  <c r="EJ67" i="2"/>
  <c r="ED82" i="2"/>
  <c r="ED157" i="2"/>
  <c r="ED77" i="5"/>
  <c r="EF159" i="2"/>
  <c r="EF93" i="2"/>
  <c r="EL93" i="2"/>
  <c r="DZ159" i="2"/>
  <c r="DZ93" i="2"/>
  <c r="EJ157" i="2"/>
  <c r="EJ82" i="2"/>
  <c r="EJ92" i="2"/>
  <c r="EJ77" i="5"/>
  <c r="ER6" i="5"/>
  <c r="EX6" i="5" s="1"/>
  <c r="FD6" i="5" s="1"/>
  <c r="FJ6" i="5" s="1"/>
  <c r="FP6" i="5" s="1"/>
  <c r="FV6" i="5" s="1"/>
  <c r="GB6" i="5" s="1"/>
  <c r="GH6" i="5" s="1"/>
  <c r="GN6" i="5" s="1"/>
  <c r="GT6" i="5" s="1"/>
  <c r="GZ6" i="5" s="1"/>
  <c r="HF6" i="5" s="1"/>
  <c r="EF6" i="5"/>
  <c r="DZ6" i="5"/>
  <c r="DT6" i="5"/>
  <c r="DN6" i="5"/>
  <c r="DH6" i="5"/>
  <c r="AA27" i="7"/>
  <c r="ER6" i="4"/>
  <c r="EX6" i="4" s="1"/>
  <c r="FD6" i="4" s="1"/>
  <c r="FJ6" i="4" s="1"/>
  <c r="FP6" i="4" s="1"/>
  <c r="FV6" i="4" s="1"/>
  <c r="GB6" i="4" s="1"/>
  <c r="GH6" i="4" s="1"/>
  <c r="GN6" i="4" s="1"/>
  <c r="GT6" i="4" s="1"/>
  <c r="GZ6" i="4" s="1"/>
  <c r="HF6" i="4" s="1"/>
  <c r="ED159" i="2" l="1"/>
  <c r="EJ159" i="2"/>
  <c r="EJ93" i="2"/>
  <c r="FB67" i="8" l="1"/>
  <c r="FB66" i="8"/>
  <c r="FB54" i="5"/>
  <c r="FA45" i="5"/>
  <c r="FB40" i="5"/>
  <c r="FB25" i="5"/>
  <c r="FB24" i="5"/>
  <c r="FB23" i="5"/>
  <c r="FB22" i="5"/>
  <c r="FB21" i="5"/>
  <c r="FB26" i="5"/>
  <c r="FB20" i="5"/>
  <c r="FB18" i="5"/>
  <c r="FB17" i="5"/>
  <c r="FB16" i="5"/>
  <c r="FB15" i="5"/>
  <c r="FB7" i="4"/>
  <c r="DO145" i="2"/>
  <c r="DK68" i="8"/>
  <c r="DJ68" i="8"/>
  <c r="DK65" i="8" s="1"/>
  <c r="DI68" i="8"/>
  <c r="DJ65" i="8" s="1"/>
  <c r="DH68" i="8"/>
  <c r="DI65" i="8" s="1"/>
  <c r="DL65" i="8"/>
  <c r="DQ68" i="8"/>
  <c r="DP68" i="8"/>
  <c r="DO68" i="8"/>
  <c r="DN68" i="8"/>
  <c r="DR67" i="8"/>
  <c r="DW68" i="8"/>
  <c r="DV68" i="8"/>
  <c r="DU68" i="8"/>
  <c r="DT68" i="8"/>
  <c r="EC68" i="8"/>
  <c r="EB68" i="8"/>
  <c r="EA68" i="8"/>
  <c r="DZ68" i="8"/>
  <c r="EI68" i="8"/>
  <c r="EH68" i="8"/>
  <c r="EG68" i="8"/>
  <c r="EF68" i="8"/>
  <c r="EI62" i="8"/>
  <c r="EH62" i="8"/>
  <c r="EI58" i="8" s="1"/>
  <c r="EG62" i="8"/>
  <c r="EH58" i="8" s="1"/>
  <c r="EF62" i="8"/>
  <c r="EG58" i="8" s="1"/>
  <c r="EC62" i="8"/>
  <c r="EF58" i="8" s="1"/>
  <c r="EB62" i="8"/>
  <c r="EC58" i="8" s="1"/>
  <c r="EA62" i="8"/>
  <c r="EB58" i="8" s="1"/>
  <c r="DZ62" i="8"/>
  <c r="EA58" i="8" s="1"/>
  <c r="DW62" i="8"/>
  <c r="DZ58" i="8" s="1"/>
  <c r="DV62" i="8"/>
  <c r="DW58" i="8" s="1"/>
  <c r="DU62" i="8"/>
  <c r="DV58" i="8" s="1"/>
  <c r="DT62" i="8"/>
  <c r="DU58" i="8" s="1"/>
  <c r="DQ62" i="8"/>
  <c r="DT58" i="8" s="1"/>
  <c r="DP62" i="8"/>
  <c r="DQ58" i="8" s="1"/>
  <c r="DO62" i="8"/>
  <c r="DP58" i="8" s="1"/>
  <c r="DN62" i="8"/>
  <c r="DO58" i="8" s="1"/>
  <c r="DK62" i="8"/>
  <c r="DN58" i="8" s="1"/>
  <c r="DJ62" i="8"/>
  <c r="DK58" i="8" s="1"/>
  <c r="DI62" i="8"/>
  <c r="DJ58" i="8" s="1"/>
  <c r="DH62" i="8"/>
  <c r="DI58" i="8" s="1"/>
  <c r="EF61" i="8"/>
  <c r="DZ61" i="8"/>
  <c r="DT61" i="8"/>
  <c r="DN61" i="8"/>
  <c r="DH61" i="8"/>
  <c r="DH63" i="8" s="1"/>
  <c r="EF60" i="8"/>
  <c r="DZ60" i="8"/>
  <c r="DT60" i="8"/>
  <c r="DN60" i="8"/>
  <c r="DH60" i="8"/>
  <c r="DL58" i="8"/>
  <c r="EI55" i="8"/>
  <c r="EH55" i="8"/>
  <c r="EG55" i="8"/>
  <c r="EH51" i="8" s="1"/>
  <c r="EF55" i="8"/>
  <c r="EC55" i="8"/>
  <c r="EF51" i="8" s="1"/>
  <c r="EB55" i="8"/>
  <c r="EC51" i="8" s="1"/>
  <c r="EA55" i="8"/>
  <c r="DZ55" i="8"/>
  <c r="DW55" i="8"/>
  <c r="DZ51" i="8" s="1"/>
  <c r="DV55" i="8"/>
  <c r="DU55" i="8"/>
  <c r="DT55" i="8"/>
  <c r="DU51" i="8" s="1"/>
  <c r="DQ55" i="8"/>
  <c r="DT51" i="8" s="1"/>
  <c r="DP55" i="8"/>
  <c r="DO55" i="8"/>
  <c r="DN55" i="8"/>
  <c r="DO51" i="8" s="1"/>
  <c r="DK55" i="8"/>
  <c r="DN51" i="8" s="1"/>
  <c r="DJ55" i="8"/>
  <c r="DI55" i="8"/>
  <c r="DJ51" i="8" s="1"/>
  <c r="DH55" i="8"/>
  <c r="EF54" i="8"/>
  <c r="DZ54" i="8"/>
  <c r="DT54" i="8"/>
  <c r="DN54" i="8"/>
  <c r="DH54" i="8"/>
  <c r="DH56" i="8" s="1"/>
  <c r="EF53" i="8"/>
  <c r="DZ53" i="8"/>
  <c r="DT53" i="8"/>
  <c r="DN53" i="8"/>
  <c r="DH53" i="8"/>
  <c r="DL51" i="8"/>
  <c r="DH9" i="8"/>
  <c r="DH11" i="8" s="1"/>
  <c r="DI9" i="8"/>
  <c r="DJ9" i="8"/>
  <c r="DK9" i="8"/>
  <c r="DN9" i="8"/>
  <c r="DO9" i="8"/>
  <c r="DP9" i="8"/>
  <c r="DQ9" i="8"/>
  <c r="DT9" i="8"/>
  <c r="DU9" i="8"/>
  <c r="DV9" i="8"/>
  <c r="DW9" i="8"/>
  <c r="ED58" i="8" l="1"/>
  <c r="DZ63" i="8"/>
  <c r="DR58" i="8"/>
  <c r="DN63" i="8"/>
  <c r="ED51" i="8"/>
  <c r="DZ56" i="8"/>
  <c r="DN56" i="8"/>
  <c r="EJ51" i="8"/>
  <c r="EF56" i="8"/>
  <c r="DX51" i="8"/>
  <c r="DT56" i="8"/>
  <c r="EJ58" i="8"/>
  <c r="EF63" i="8"/>
  <c r="DX58" i="8"/>
  <c r="DT63" i="8"/>
  <c r="DI66" i="8"/>
  <c r="DJ66" i="8"/>
  <c r="DP65" i="8"/>
  <c r="DP66" i="8" s="1"/>
  <c r="DQ65" i="8"/>
  <c r="DQ66" i="8" s="1"/>
  <c r="DN65" i="8"/>
  <c r="DR65" i="8" s="1"/>
  <c r="DK66" i="8"/>
  <c r="DT65" i="8"/>
  <c r="DX65" i="8" s="1"/>
  <c r="EH65" i="8"/>
  <c r="EH66" i="8" s="1"/>
  <c r="EB65" i="8"/>
  <c r="EB66" i="8" s="1"/>
  <c r="DV65" i="8"/>
  <c r="DV66" i="8" s="1"/>
  <c r="DO65" i="8"/>
  <c r="DO66" i="8" s="1"/>
  <c r="EF65" i="8"/>
  <c r="EJ65" i="8" s="1"/>
  <c r="DW65" i="8"/>
  <c r="DW66" i="8" s="1"/>
  <c r="EG65" i="8"/>
  <c r="EG66" i="8" s="1"/>
  <c r="EI65" i="8"/>
  <c r="EI66" i="8" s="1"/>
  <c r="EA65" i="8"/>
  <c r="EA66" i="8" s="1"/>
  <c r="EC65" i="8"/>
  <c r="EC66" i="8" s="1"/>
  <c r="DU65" i="8"/>
  <c r="DU66" i="8" s="1"/>
  <c r="DK11" i="8"/>
  <c r="DI11" i="8"/>
  <c r="DT11" i="8"/>
  <c r="DN11" i="8"/>
  <c r="DO11" i="8"/>
  <c r="DV11" i="8"/>
  <c r="DT59" i="8"/>
  <c r="DJ11" i="8"/>
  <c r="DZ59" i="8"/>
  <c r="EF59" i="8"/>
  <c r="DP11" i="8"/>
  <c r="DH59" i="8"/>
  <c r="DN59" i="8"/>
  <c r="DU11" i="8"/>
  <c r="DW11" i="8"/>
  <c r="DH52" i="8"/>
  <c r="DQ11" i="8"/>
  <c r="DX67" i="8"/>
  <c r="DL67" i="8"/>
  <c r="DZ65" i="8"/>
  <c r="ED65" i="8" s="1"/>
  <c r="ED67" i="8"/>
  <c r="EJ67" i="8"/>
  <c r="DZ52" i="8"/>
  <c r="DR51" i="8"/>
  <c r="DN52" i="8"/>
  <c r="EF52" i="8"/>
  <c r="DK51" i="8"/>
  <c r="DT52" i="8"/>
  <c r="DP51" i="8"/>
  <c r="EI51" i="8"/>
  <c r="DQ51" i="8"/>
  <c r="DV51" i="8"/>
  <c r="EA51" i="8"/>
  <c r="DI51" i="8"/>
  <c r="DW51" i="8"/>
  <c r="EB51" i="8"/>
  <c r="EG51" i="8"/>
  <c r="DL66" i="8" l="1"/>
  <c r="DL68" i="8" s="1"/>
  <c r="EF66" i="8"/>
  <c r="EJ66" i="8" s="1"/>
  <c r="EJ68" i="8" s="1"/>
  <c r="DT66" i="8"/>
  <c r="DX66" i="8" s="1"/>
  <c r="DX68" i="8" s="1"/>
  <c r="DN66" i="8"/>
  <c r="DR66" i="8" s="1"/>
  <c r="DR68" i="8" s="1"/>
  <c r="DZ66" i="8"/>
  <c r="ED66" i="8" s="1"/>
  <c r="ED68" i="8" s="1"/>
  <c r="ES29" i="4"/>
  <c r="FA44" i="4"/>
  <c r="FD44" i="4" s="1"/>
  <c r="FE44" i="4" s="1"/>
  <c r="FF44" i="4" s="1"/>
  <c r="FG44" i="4" s="1"/>
  <c r="FJ44" i="4" l="1"/>
  <c r="FK44" i="4" s="1"/>
  <c r="FL44" i="4" s="1"/>
  <c r="FM44" i="4" s="1"/>
  <c r="FH44" i="4"/>
  <c r="FB58" i="5"/>
  <c r="FB44" i="4"/>
  <c r="EV44" i="4"/>
  <c r="FP44" i="4" l="1"/>
  <c r="FQ44" i="4" s="1"/>
  <c r="FR44" i="4" s="1"/>
  <c r="FS44" i="4" s="1"/>
  <c r="FN44" i="4"/>
  <c r="FV44" i="4" l="1"/>
  <c r="FW44" i="4" s="1"/>
  <c r="FX44" i="4" s="1"/>
  <c r="FY44" i="4" s="1"/>
  <c r="FT44" i="4"/>
  <c r="GB44" i="4" l="1"/>
  <c r="GC44" i="4" s="1"/>
  <c r="GD44" i="4" s="1"/>
  <c r="GE44" i="4" s="1"/>
  <c r="FZ44" i="4"/>
  <c r="GH44" i="4" l="1"/>
  <c r="GI44" i="4" s="1"/>
  <c r="GJ44" i="4" s="1"/>
  <c r="GK44" i="4" s="1"/>
  <c r="GF44" i="4"/>
  <c r="DN49" i="4"/>
  <c r="DO49" i="4"/>
  <c r="DP49" i="4"/>
  <c r="GN44" i="4" l="1"/>
  <c r="GO44" i="4" s="1"/>
  <c r="GP44" i="4" s="1"/>
  <c r="GQ44" i="4" s="1"/>
  <c r="GL44" i="4"/>
  <c r="FA22" i="4"/>
  <c r="DQ49" i="4"/>
  <c r="FD22" i="4" l="1"/>
  <c r="GT44" i="4"/>
  <c r="GU44" i="4" s="1"/>
  <c r="GV44" i="4" s="1"/>
  <c r="GW44" i="4" s="1"/>
  <c r="GR44" i="4"/>
  <c r="FB22" i="4"/>
  <c r="DQ42" i="4"/>
  <c r="DQ92" i="4" s="1"/>
  <c r="DP42" i="4"/>
  <c r="DO42" i="4"/>
  <c r="DN42" i="4"/>
  <c r="DK42" i="4"/>
  <c r="DK92" i="4" s="1"/>
  <c r="DJ42" i="4"/>
  <c r="DJ92" i="4" s="1"/>
  <c r="DI42" i="4"/>
  <c r="DI92" i="4" s="1"/>
  <c r="DH42" i="4"/>
  <c r="DH92" i="4" s="1"/>
  <c r="FA13" i="4"/>
  <c r="FD13" i="4" s="1"/>
  <c r="FE13" i="4" s="1"/>
  <c r="FF13" i="4" s="1"/>
  <c r="FG13" i="4" s="1"/>
  <c r="DQ93" i="4" l="1"/>
  <c r="DW93" i="4"/>
  <c r="FE22" i="4"/>
  <c r="DP92" i="4"/>
  <c r="DP51" i="4"/>
  <c r="DN92" i="4"/>
  <c r="DN51" i="4"/>
  <c r="DO92" i="4"/>
  <c r="DO51" i="4"/>
  <c r="DQ51" i="4"/>
  <c r="FH13" i="4"/>
  <c r="FJ13" i="4"/>
  <c r="FK13" i="4" s="1"/>
  <c r="FL13" i="4" s="1"/>
  <c r="FM13" i="4" s="1"/>
  <c r="GZ44" i="4"/>
  <c r="HA44" i="4" s="1"/>
  <c r="HB44" i="4" s="1"/>
  <c r="HC44" i="4" s="1"/>
  <c r="GX44" i="4"/>
  <c r="FB13" i="4"/>
  <c r="EV13" i="4"/>
  <c r="DL142" i="2"/>
  <c r="DL143" i="2"/>
  <c r="DL144" i="2"/>
  <c r="DJ145" i="2"/>
  <c r="DI145" i="2"/>
  <c r="DH145" i="2"/>
  <c r="DR142" i="2"/>
  <c r="DR143" i="2"/>
  <c r="DR141" i="2"/>
  <c r="DP145" i="2"/>
  <c r="DP147" i="2" s="1"/>
  <c r="DN145" i="2"/>
  <c r="DN147" i="2" s="1"/>
  <c r="DR144" i="2"/>
  <c r="HD44" i="4" l="1"/>
  <c r="HF44" i="4"/>
  <c r="DN93" i="4"/>
  <c r="DT93" i="4"/>
  <c r="DP93" i="4"/>
  <c r="DV93" i="4"/>
  <c r="DO93" i="4"/>
  <c r="DU93" i="4"/>
  <c r="FF22" i="4"/>
  <c r="FN13" i="4"/>
  <c r="FP13" i="4"/>
  <c r="FQ13" i="4" s="1"/>
  <c r="FR13" i="4" s="1"/>
  <c r="FS13" i="4" s="1"/>
  <c r="DI147" i="2"/>
  <c r="DJ147" i="2"/>
  <c r="DH147" i="2"/>
  <c r="DK145" i="2"/>
  <c r="DL141" i="2"/>
  <c r="DR145" i="2"/>
  <c r="DO147" i="2"/>
  <c r="DL70" i="4"/>
  <c r="DL71" i="4" s="1"/>
  <c r="HG44" i="4" l="1"/>
  <c r="FG22" i="4"/>
  <c r="FT13" i="4"/>
  <c r="FV13" i="4"/>
  <c r="FW13" i="4" s="1"/>
  <c r="FX13" i="4" s="1"/>
  <c r="FY13" i="4" s="1"/>
  <c r="DL145" i="2"/>
  <c r="DN67" i="4"/>
  <c r="EV147" i="2"/>
  <c r="DQ147" i="2"/>
  <c r="DK147" i="2"/>
  <c r="EJ31" i="8"/>
  <c r="ED31" i="8"/>
  <c r="HH44" i="4" l="1"/>
  <c r="DR67" i="4"/>
  <c r="DN68" i="4"/>
  <c r="DR68" i="4" s="1"/>
  <c r="FH22" i="4"/>
  <c r="FJ22" i="4"/>
  <c r="FZ13" i="4"/>
  <c r="GB13" i="4"/>
  <c r="GC13" i="4" s="1"/>
  <c r="GD13" i="4" s="1"/>
  <c r="GE13" i="4" s="1"/>
  <c r="EU147" i="2"/>
  <c r="ET147" i="2" s="1"/>
  <c r="ET145" i="2" s="1"/>
  <c r="FB147" i="2"/>
  <c r="FH147" i="2" s="1"/>
  <c r="DH100" i="2"/>
  <c r="DK77" i="2"/>
  <c r="DJ77" i="2"/>
  <c r="DI77" i="2"/>
  <c r="DH77" i="2"/>
  <c r="DH75" i="2"/>
  <c r="DK74" i="2"/>
  <c r="DJ74" i="2"/>
  <c r="DI74" i="2"/>
  <c r="DH74" i="2"/>
  <c r="DN100" i="2"/>
  <c r="DT102" i="2" s="1"/>
  <c r="DQ89" i="2"/>
  <c r="DP89" i="2"/>
  <c r="DO89" i="2"/>
  <c r="DN89" i="2"/>
  <c r="DN88" i="2"/>
  <c r="DP87" i="2"/>
  <c r="DO87" i="2"/>
  <c r="DN87" i="2"/>
  <c r="DQ85" i="2"/>
  <c r="DP85" i="2"/>
  <c r="DO85" i="2"/>
  <c r="DN85" i="2"/>
  <c r="DQ77" i="2"/>
  <c r="DP77" i="2"/>
  <c r="DO77" i="2"/>
  <c r="DN77" i="2"/>
  <c r="DN75" i="2"/>
  <c r="DP74" i="2"/>
  <c r="DO74" i="2"/>
  <c r="DN74" i="2"/>
  <c r="DV86" i="2"/>
  <c r="DU86" i="2"/>
  <c r="DT86" i="2"/>
  <c r="HI44" i="4" l="1"/>
  <c r="DT91" i="2"/>
  <c r="FK22" i="4"/>
  <c r="FG147" i="2"/>
  <c r="FN147" i="2"/>
  <c r="GF13" i="4"/>
  <c r="GH13" i="4"/>
  <c r="GI13" i="4" s="1"/>
  <c r="GJ13" i="4" s="1"/>
  <c r="GK13" i="4" s="1"/>
  <c r="DX89" i="2"/>
  <c r="DX85" i="2"/>
  <c r="EV58" i="5"/>
  <c r="FA147" i="2"/>
  <c r="DO86" i="2"/>
  <c r="DL147" i="2"/>
  <c r="DR147" i="2"/>
  <c r="DN79" i="2"/>
  <c r="DN102" i="2"/>
  <c r="DN86" i="2"/>
  <c r="DR89" i="2"/>
  <c r="DL77" i="2"/>
  <c r="DH79" i="2"/>
  <c r="DP86" i="2"/>
  <c r="DR77" i="2"/>
  <c r="DR85" i="2"/>
  <c r="DN91" i="2"/>
  <c r="HJ44" i="4" l="1"/>
  <c r="EZ147" i="2"/>
  <c r="ES147" i="2"/>
  <c r="FL22" i="4"/>
  <c r="FM147" i="2"/>
  <c r="FT147" i="2"/>
  <c r="FF147" i="2"/>
  <c r="GL13" i="4"/>
  <c r="GN13" i="4"/>
  <c r="GO13" i="4" s="1"/>
  <c r="GP13" i="4" s="1"/>
  <c r="GQ13" i="4" s="1"/>
  <c r="DT92" i="2"/>
  <c r="DN81" i="2"/>
  <c r="DH81" i="2"/>
  <c r="DN157" i="2"/>
  <c r="DH80" i="2"/>
  <c r="EV22" i="4"/>
  <c r="DH82" i="2"/>
  <c r="DN80" i="2"/>
  <c r="DH159" i="2" l="1"/>
  <c r="EY147" i="2"/>
  <c r="FM22" i="4"/>
  <c r="FS147" i="2"/>
  <c r="FZ147" i="2"/>
  <c r="FE147" i="2"/>
  <c r="FL147" i="2"/>
  <c r="GR13" i="4"/>
  <c r="GT13" i="4"/>
  <c r="GU13" i="4" s="1"/>
  <c r="GV13" i="4" s="1"/>
  <c r="GW13" i="4" s="1"/>
  <c r="DN92" i="2"/>
  <c r="DN82" i="2"/>
  <c r="EO68" i="8"/>
  <c r="EN68" i="8"/>
  <c r="EL61" i="8"/>
  <c r="EL60" i="8"/>
  <c r="EO62" i="8"/>
  <c r="ER58" i="8" s="1"/>
  <c r="EN62" i="8"/>
  <c r="EM62" i="8"/>
  <c r="EO55" i="8"/>
  <c r="ER51" i="8" s="1"/>
  <c r="EN55" i="8"/>
  <c r="EV58" i="8" l="1"/>
  <c r="EV63" i="8"/>
  <c r="EV51" i="8"/>
  <c r="EV56" i="8"/>
  <c r="ER52" i="8"/>
  <c r="ER56" i="8"/>
  <c r="ER59" i="8"/>
  <c r="ER63" i="8"/>
  <c r="EX147" i="2"/>
  <c r="FN22" i="4"/>
  <c r="FP22" i="4"/>
  <c r="FK147" i="2"/>
  <c r="FD147" i="2"/>
  <c r="FY147" i="2"/>
  <c r="GF147" i="2"/>
  <c r="FR147" i="2"/>
  <c r="GX13" i="4"/>
  <c r="GZ13" i="4"/>
  <c r="HA13" i="4" s="1"/>
  <c r="HB13" i="4" s="1"/>
  <c r="HC13" i="4" s="1"/>
  <c r="DN159" i="2"/>
  <c r="DT93" i="2"/>
  <c r="DN93" i="2"/>
  <c r="HD13" i="4" l="1"/>
  <c r="HF13" i="4"/>
  <c r="HG13" i="4" s="1"/>
  <c r="HH13" i="4" s="1"/>
  <c r="HI13" i="4" s="1"/>
  <c r="HJ13" i="4" s="1"/>
  <c r="FA59" i="4"/>
  <c r="FQ22" i="4"/>
  <c r="FQ147" i="2"/>
  <c r="FX147" i="2"/>
  <c r="GE147" i="2"/>
  <c r="GL147" i="2"/>
  <c r="FJ147" i="2"/>
  <c r="FD59" i="4" l="1"/>
  <c r="FE59" i="4" s="1"/>
  <c r="FF59" i="4" s="1"/>
  <c r="FG59" i="4" s="1"/>
  <c r="C40" i="36"/>
  <c r="FB59" i="4"/>
  <c r="FH59" i="4"/>
  <c r="FJ59" i="4"/>
  <c r="FK59" i="4" s="1"/>
  <c r="FL59" i="4" s="1"/>
  <c r="FM59" i="4" s="1"/>
  <c r="FR22" i="4"/>
  <c r="GK147" i="2"/>
  <c r="GR147" i="2"/>
  <c r="GD147" i="2"/>
  <c r="FW147" i="2"/>
  <c r="FP147" i="2"/>
  <c r="DL68" i="5"/>
  <c r="DI54" i="8"/>
  <c r="DI56" i="8" s="1"/>
  <c r="FN59" i="4" l="1"/>
  <c r="FP59" i="4"/>
  <c r="FQ59" i="4" s="1"/>
  <c r="FR59" i="4" s="1"/>
  <c r="FS59" i="4" s="1"/>
  <c r="FJ35" i="2"/>
  <c r="FS22" i="4"/>
  <c r="FV147" i="2"/>
  <c r="GQ147" i="2"/>
  <c r="GX147" i="2"/>
  <c r="GC147" i="2"/>
  <c r="GJ147" i="2"/>
  <c r="EM100" i="2"/>
  <c r="EM88" i="2"/>
  <c r="EM75" i="2"/>
  <c r="EM160" i="2"/>
  <c r="ER77" i="4"/>
  <c r="DI36" i="5"/>
  <c r="DI60" i="8"/>
  <c r="EA61" i="8"/>
  <c r="EA63" i="8" s="1"/>
  <c r="DI61" i="8"/>
  <c r="DI63" i="8" s="1"/>
  <c r="DO60" i="8"/>
  <c r="EA60" i="8"/>
  <c r="EG60" i="8"/>
  <c r="DO61" i="8"/>
  <c r="DO63" i="8" s="1"/>
  <c r="DU60" i="8"/>
  <c r="DU61" i="8"/>
  <c r="DU63" i="8" s="1"/>
  <c r="EG61" i="8"/>
  <c r="EG63" i="8" s="1"/>
  <c r="DO53" i="8"/>
  <c r="EG53" i="8"/>
  <c r="DU53" i="8"/>
  <c r="EA53" i="8"/>
  <c r="DI53" i="8"/>
  <c r="DO54" i="8"/>
  <c r="DO56" i="8" s="1"/>
  <c r="EG54" i="8"/>
  <c r="EG56" i="8" s="1"/>
  <c r="DU54" i="8"/>
  <c r="DU56" i="8" s="1"/>
  <c r="EA54" i="8"/>
  <c r="EA56" i="8" s="1"/>
  <c r="EU145" i="2"/>
  <c r="EN54" i="8"/>
  <c r="EO53" i="8"/>
  <c r="EN53" i="8"/>
  <c r="EM60" i="8"/>
  <c r="DJ54" i="8"/>
  <c r="DJ56" i="8" s="1"/>
  <c r="EM61" i="8"/>
  <c r="DI75" i="5" l="1"/>
  <c r="DI79" i="5"/>
  <c r="FV59" i="4"/>
  <c r="FW59" i="4" s="1"/>
  <c r="FX59" i="4" s="1"/>
  <c r="FY59" i="4" s="1"/>
  <c r="FT59" i="4"/>
  <c r="FT22" i="4"/>
  <c r="FV22" i="4"/>
  <c r="GW147" i="2"/>
  <c r="HD147" i="2"/>
  <c r="HC147" i="2" s="1"/>
  <c r="GP147" i="2"/>
  <c r="GB147" i="2"/>
  <c r="GI147" i="2"/>
  <c r="EN100" i="2"/>
  <c r="EN88" i="2"/>
  <c r="EN75" i="2"/>
  <c r="EN160" i="2"/>
  <c r="EM79" i="2"/>
  <c r="EM91" i="2"/>
  <c r="EM101" i="2"/>
  <c r="EM102" i="2"/>
  <c r="ER78" i="4"/>
  <c r="EB54" i="8"/>
  <c r="EB56" i="8" s="1"/>
  <c r="DV54" i="8"/>
  <c r="DV56" i="8" s="1"/>
  <c r="DJ36" i="5"/>
  <c r="EI60" i="8"/>
  <c r="EH60" i="8"/>
  <c r="DP61" i="8"/>
  <c r="DP63" i="8" s="1"/>
  <c r="EA59" i="8"/>
  <c r="EC60" i="8"/>
  <c r="EB60" i="8"/>
  <c r="EG59" i="8"/>
  <c r="EB61" i="8"/>
  <c r="EB63" i="8" s="1"/>
  <c r="DU59" i="8"/>
  <c r="DO59" i="8"/>
  <c r="DI59" i="8"/>
  <c r="DJ61" i="8"/>
  <c r="DJ63" i="8" s="1"/>
  <c r="DW60" i="8"/>
  <c r="DV60" i="8"/>
  <c r="DQ60" i="8"/>
  <c r="DP60" i="8"/>
  <c r="DK60" i="8"/>
  <c r="DJ60" i="8"/>
  <c r="EH61" i="8"/>
  <c r="EH63" i="8" s="1"/>
  <c r="DV61" i="8"/>
  <c r="DV63" i="8" s="1"/>
  <c r="DK53" i="8"/>
  <c r="DJ53" i="8"/>
  <c r="EI53" i="8"/>
  <c r="EH53" i="8"/>
  <c r="DV53" i="8"/>
  <c r="DI52" i="8"/>
  <c r="EC53" i="8"/>
  <c r="EB53" i="8"/>
  <c r="DQ53" i="8"/>
  <c r="DP53" i="8"/>
  <c r="DU52" i="8"/>
  <c r="DO52" i="8"/>
  <c r="DP54" i="8"/>
  <c r="DP56" i="8" s="1"/>
  <c r="EA52" i="8"/>
  <c r="EG52" i="8"/>
  <c r="EH54" i="8"/>
  <c r="EH56" i="8" s="1"/>
  <c r="EO60" i="8"/>
  <c r="EN60" i="8"/>
  <c r="EN61" i="8"/>
  <c r="EO54" i="8"/>
  <c r="DJ75" i="5" l="1"/>
  <c r="DJ79" i="5"/>
  <c r="FZ59" i="4"/>
  <c r="GB59" i="4"/>
  <c r="GC59" i="4" s="1"/>
  <c r="GD59" i="4" s="1"/>
  <c r="GE59" i="4" s="1"/>
  <c r="FW22" i="4"/>
  <c r="GO147" i="2"/>
  <c r="HB147" i="2"/>
  <c r="GH147" i="2"/>
  <c r="GV147" i="2"/>
  <c r="EN79" i="2"/>
  <c r="EN91" i="2"/>
  <c r="EM80" i="2"/>
  <c r="EM81" i="2"/>
  <c r="EN101" i="2"/>
  <c r="EN102" i="2"/>
  <c r="EB52" i="8"/>
  <c r="DK36" i="5"/>
  <c r="DL53" i="8"/>
  <c r="DP59" i="8"/>
  <c r="DR53" i="8"/>
  <c r="DJ52" i="8"/>
  <c r="EJ53" i="8"/>
  <c r="DV59" i="8"/>
  <c r="DX60" i="8"/>
  <c r="EB59" i="8"/>
  <c r="EH59" i="8"/>
  <c r="DR60" i="8"/>
  <c r="DQ61" i="8"/>
  <c r="EH52" i="8"/>
  <c r="DW61" i="8"/>
  <c r="EC61" i="8"/>
  <c r="DJ59" i="8"/>
  <c r="DL60" i="8"/>
  <c r="ED60" i="8"/>
  <c r="EI61" i="8"/>
  <c r="DK61" i="8"/>
  <c r="ED53" i="8"/>
  <c r="EJ60" i="8"/>
  <c r="DP52" i="8"/>
  <c r="DV52" i="8"/>
  <c r="DW53" i="8"/>
  <c r="DX53" i="8" s="1"/>
  <c r="DK54" i="8"/>
  <c r="DK56" i="8" s="1"/>
  <c r="DQ54" i="8"/>
  <c r="DW54" i="8"/>
  <c r="DW56" i="8" s="1"/>
  <c r="EC54" i="8"/>
  <c r="EC56" i="8" s="1"/>
  <c r="EI54" i="8"/>
  <c r="EI56" i="8" s="1"/>
  <c r="EO61" i="8"/>
  <c r="EP61" i="8" s="1"/>
  <c r="DK75" i="5" l="1"/>
  <c r="DK79" i="5"/>
  <c r="GH59" i="4"/>
  <c r="GI59" i="4" s="1"/>
  <c r="GJ59" i="4" s="1"/>
  <c r="GK59" i="4" s="1"/>
  <c r="GF59" i="4"/>
  <c r="EJ61" i="8"/>
  <c r="EJ63" i="8" s="1"/>
  <c r="EI63" i="8"/>
  <c r="DQ52" i="8"/>
  <c r="DQ56" i="8"/>
  <c r="ED61" i="8"/>
  <c r="ED63" i="8" s="1"/>
  <c r="EC63" i="8"/>
  <c r="DX61" i="8"/>
  <c r="DX63" i="8" s="1"/>
  <c r="DW63" i="8"/>
  <c r="DR61" i="8"/>
  <c r="DR63" i="8" s="1"/>
  <c r="DQ63" i="8"/>
  <c r="DL61" i="8"/>
  <c r="DL63" i="8" s="1"/>
  <c r="DK63" i="8"/>
  <c r="FX22" i="4"/>
  <c r="HA147" i="2"/>
  <c r="GN147" i="2"/>
  <c r="GU147" i="2"/>
  <c r="DU88" i="2"/>
  <c r="DO100" i="2"/>
  <c r="DO88" i="2"/>
  <c r="DO75" i="2"/>
  <c r="EN80" i="2"/>
  <c r="EN81" i="2"/>
  <c r="DI100" i="2"/>
  <c r="DI101" i="2" s="1"/>
  <c r="DI75" i="2"/>
  <c r="EO100" i="2"/>
  <c r="EO88" i="2"/>
  <c r="EO75" i="2"/>
  <c r="EU56" i="2" s="1"/>
  <c r="EO160" i="2"/>
  <c r="EM82" i="2"/>
  <c r="EM92" i="2"/>
  <c r="EM77" i="5"/>
  <c r="ER84" i="4"/>
  <c r="EI59" i="8"/>
  <c r="EC59" i="8"/>
  <c r="DW59" i="8"/>
  <c r="DQ59" i="8"/>
  <c r="DK59" i="8"/>
  <c r="EI52" i="8"/>
  <c r="EJ54" i="8"/>
  <c r="EJ56" i="8" s="1"/>
  <c r="DW52" i="8"/>
  <c r="DX54" i="8"/>
  <c r="DX56" i="8" s="1"/>
  <c r="DK52" i="8"/>
  <c r="DL54" i="8"/>
  <c r="DL56" i="8" s="1"/>
  <c r="EC52" i="8"/>
  <c r="ED54" i="8"/>
  <c r="ED56" i="8" s="1"/>
  <c r="DR54" i="8"/>
  <c r="DR56" i="8" s="1"/>
  <c r="GN59" i="4" l="1"/>
  <c r="GO59" i="4" s="1"/>
  <c r="GP59" i="4" s="1"/>
  <c r="GQ59" i="4" s="1"/>
  <c r="GL59" i="4"/>
  <c r="EU79" i="2"/>
  <c r="EU70" i="2"/>
  <c r="EU60" i="2"/>
  <c r="EU91" i="2"/>
  <c r="EM159" i="2"/>
  <c r="FY22" i="4"/>
  <c r="GT147" i="2"/>
  <c r="GZ147" i="2"/>
  <c r="EM93" i="2"/>
  <c r="EO101" i="2"/>
  <c r="ER101" i="2"/>
  <c r="EO102" i="2"/>
  <c r="DU91" i="2"/>
  <c r="DO79" i="2"/>
  <c r="DO91" i="2"/>
  <c r="DK100" i="2"/>
  <c r="DK75" i="2"/>
  <c r="EO91" i="2"/>
  <c r="EO79" i="2"/>
  <c r="DJ100" i="2"/>
  <c r="DJ101" i="2" s="1"/>
  <c r="DJ75" i="2"/>
  <c r="DI79" i="2"/>
  <c r="EN92" i="2"/>
  <c r="EN77" i="5"/>
  <c r="EN82" i="2"/>
  <c r="DV88" i="2"/>
  <c r="DP100" i="2"/>
  <c r="DP88" i="2"/>
  <c r="DP75" i="2"/>
  <c r="DU102" i="2"/>
  <c r="DO102" i="2"/>
  <c r="DO101" i="2"/>
  <c r="EU90" i="2" l="1"/>
  <c r="L116" i="37"/>
  <c r="GR59" i="4"/>
  <c r="GT59" i="4"/>
  <c r="GU59" i="4" s="1"/>
  <c r="GV59" i="4" s="1"/>
  <c r="GW59" i="4" s="1"/>
  <c r="EU78" i="2"/>
  <c r="EU80" i="2"/>
  <c r="EU81" i="2"/>
  <c r="EU62" i="2"/>
  <c r="EP100" i="2"/>
  <c r="EP102" i="2" s="1"/>
  <c r="EP75" i="2"/>
  <c r="EP88" i="2"/>
  <c r="EN159" i="2"/>
  <c r="AA39" i="7"/>
  <c r="GB22" i="4"/>
  <c r="FZ22" i="4"/>
  <c r="DV102" i="2"/>
  <c r="DP102" i="2"/>
  <c r="DP101" i="2"/>
  <c r="EN93" i="2"/>
  <c r="DI81" i="2"/>
  <c r="DI80" i="2"/>
  <c r="DK79" i="2"/>
  <c r="DL100" i="2"/>
  <c r="DL75" i="2"/>
  <c r="DV91" i="2"/>
  <c r="DP79" i="2"/>
  <c r="DP91" i="2"/>
  <c r="EP79" i="2"/>
  <c r="EP98" i="2"/>
  <c r="EP91" i="2"/>
  <c r="EO81" i="2"/>
  <c r="EO80" i="2"/>
  <c r="DJ79" i="2"/>
  <c r="DK101" i="2"/>
  <c r="DN101" i="2"/>
  <c r="DO80" i="2"/>
  <c r="DO81" i="2"/>
  <c r="GZ59" i="4" l="1"/>
  <c r="HA59" i="4" s="1"/>
  <c r="HB59" i="4" s="1"/>
  <c r="HC59" i="4" s="1"/>
  <c r="GX59" i="4"/>
  <c r="EU92" i="2"/>
  <c r="EU82" i="2"/>
  <c r="EP157" i="2"/>
  <c r="AA41" i="7"/>
  <c r="AA15" i="7"/>
  <c r="AA16" i="7" s="1"/>
  <c r="GC22" i="4"/>
  <c r="DI157" i="2"/>
  <c r="DI82" i="2"/>
  <c r="DU92" i="2"/>
  <c r="DO82" i="2"/>
  <c r="DO92" i="2"/>
  <c r="DO157" i="2"/>
  <c r="DJ81" i="2"/>
  <c r="DJ80" i="2"/>
  <c r="DP81" i="2"/>
  <c r="DP80" i="2"/>
  <c r="EO77" i="5"/>
  <c r="EO92" i="2"/>
  <c r="EO82" i="2"/>
  <c r="EP81" i="2"/>
  <c r="EP80" i="2"/>
  <c r="DK80" i="2"/>
  <c r="DK81" i="2"/>
  <c r="HD59" i="4" l="1"/>
  <c r="HF59" i="4"/>
  <c r="HG59" i="4" s="1"/>
  <c r="HH59" i="4" s="1"/>
  <c r="HI59" i="4" s="1"/>
  <c r="HJ59" i="4" s="1"/>
  <c r="EP160" i="2"/>
  <c r="EO159" i="2"/>
  <c r="DI159" i="2"/>
  <c r="GD22" i="4"/>
  <c r="DK157" i="2"/>
  <c r="DK82" i="2"/>
  <c r="DJ157" i="2"/>
  <c r="DJ82" i="2"/>
  <c r="EO93" i="2"/>
  <c r="DO159" i="2"/>
  <c r="DO93" i="2"/>
  <c r="DU93" i="2"/>
  <c r="DV92" i="2"/>
  <c r="DP157" i="2"/>
  <c r="DP82" i="2"/>
  <c r="DP92" i="2"/>
  <c r="EP77" i="5"/>
  <c r="EP92" i="2"/>
  <c r="EP82" i="2"/>
  <c r="EP159" i="2" l="1"/>
  <c r="DJ159" i="2"/>
  <c r="DK159" i="2"/>
  <c r="GE22" i="4"/>
  <c r="EP93" i="2"/>
  <c r="DP93" i="2"/>
  <c r="DP159" i="2"/>
  <c r="DV93" i="2"/>
  <c r="GH22" i="4" l="1"/>
  <c r="GF22" i="4"/>
  <c r="GI22" i="4" l="1"/>
  <c r="GJ22" i="4" l="1"/>
  <c r="GK22" i="4" l="1"/>
  <c r="GN22" i="4" l="1"/>
  <c r="GL22" i="4"/>
  <c r="GO22" i="4" l="1"/>
  <c r="GP22" i="4" l="1"/>
  <c r="GQ22" i="4" l="1"/>
  <c r="GT22" i="4" l="1"/>
  <c r="GR22" i="4"/>
  <c r="GU22" i="4" l="1"/>
  <c r="GV22" i="4" l="1"/>
  <c r="GW22" i="4" l="1"/>
  <c r="GX22" i="4" l="1"/>
  <c r="GZ22" i="4"/>
  <c r="HA22" i="4" l="1"/>
  <c r="HB22" i="4" l="1"/>
  <c r="HC22" i="4" l="1"/>
  <c r="HD22" i="4" l="1"/>
  <c r="HF22" i="4"/>
  <c r="DI47" i="5"/>
  <c r="DH47" i="5"/>
  <c r="DK47" i="5"/>
  <c r="DO47" i="5"/>
  <c r="DQ47" i="5"/>
  <c r="DP47" i="5"/>
  <c r="DN47" i="5"/>
  <c r="HG22" i="4" l="1"/>
  <c r="DO36" i="5"/>
  <c r="DO79" i="5" s="1"/>
  <c r="DN64" i="5"/>
  <c r="DN66" i="5" s="1"/>
  <c r="DN69" i="5" s="1"/>
  <c r="DK64" i="5"/>
  <c r="DK66" i="5" s="1"/>
  <c r="DK69" i="5" s="1"/>
  <c r="DH64" i="5"/>
  <c r="DH66" i="5" s="1"/>
  <c r="DH69" i="5" s="1"/>
  <c r="DI64" i="5"/>
  <c r="DI66" i="5" s="1"/>
  <c r="DI69" i="5" s="1"/>
  <c r="DL47" i="5"/>
  <c r="DJ47" i="5"/>
  <c r="DJ64" i="5" s="1"/>
  <c r="DJ66" i="5" s="1"/>
  <c r="DJ69" i="5" s="1"/>
  <c r="DL36" i="5"/>
  <c r="HH22" i="4" l="1"/>
  <c r="DL75" i="5"/>
  <c r="DL79" i="5"/>
  <c r="DO64" i="5"/>
  <c r="DO66" i="5" s="1"/>
  <c r="DO69" i="5" s="1"/>
  <c r="DO75" i="5"/>
  <c r="DP36" i="5"/>
  <c r="DP79" i="5" s="1"/>
  <c r="DH70" i="5"/>
  <c r="DH73" i="5" s="1"/>
  <c r="HI22" i="4" l="1"/>
  <c r="HJ22" i="4" s="1"/>
  <c r="DP64" i="5"/>
  <c r="DP66" i="5" s="1"/>
  <c r="DP69" i="5" s="1"/>
  <c r="DP75" i="5"/>
  <c r="DI68" i="5"/>
  <c r="DI70" i="5" s="1"/>
  <c r="DI73" i="5" s="1"/>
  <c r="DQ36" i="5"/>
  <c r="DQ79" i="5" s="1"/>
  <c r="DL64" i="5"/>
  <c r="DL66" i="5" s="1"/>
  <c r="DQ64" i="5" l="1"/>
  <c r="DQ66" i="5" s="1"/>
  <c r="DQ69" i="5" s="1"/>
  <c r="DQ75" i="5"/>
  <c r="DJ68" i="5"/>
  <c r="DJ70" i="5" s="1"/>
  <c r="DJ73" i="5" s="1"/>
  <c r="DL69" i="5"/>
  <c r="DL70" i="5" s="1"/>
  <c r="DL73" i="5" s="1"/>
  <c r="DL59" i="4"/>
  <c r="DL53" i="4"/>
  <c r="DL62" i="8"/>
  <c r="DL59" i="8" s="1"/>
  <c r="DL55" i="8"/>
  <c r="DL52" i="8" s="1"/>
  <c r="DR62" i="8"/>
  <c r="DR59" i="8" s="1"/>
  <c r="DR55" i="8"/>
  <c r="DR52" i="8" s="1"/>
  <c r="DX62" i="8"/>
  <c r="DX59" i="8" s="1"/>
  <c r="DX55" i="8"/>
  <c r="DX52" i="8" s="1"/>
  <c r="ED62" i="8"/>
  <c r="ED59" i="8" s="1"/>
  <c r="ED55" i="8"/>
  <c r="ED52" i="8" s="1"/>
  <c r="EJ62" i="8"/>
  <c r="EJ59" i="8" s="1"/>
  <c r="EJ55" i="8"/>
  <c r="EJ52" i="8" s="1"/>
  <c r="DP78" i="4"/>
  <c r="DO78" i="4"/>
  <c r="DN78" i="4"/>
  <c r="DK78" i="4"/>
  <c r="DL83" i="4" s="1"/>
  <c r="DJ78" i="4"/>
  <c r="DI78" i="4"/>
  <c r="DH78" i="4"/>
  <c r="DQ77" i="4"/>
  <c r="DP77" i="4"/>
  <c r="DO77" i="4"/>
  <c r="DN77" i="4"/>
  <c r="DK77" i="4"/>
  <c r="DJ77" i="4"/>
  <c r="DI77" i="4"/>
  <c r="DH77" i="4"/>
  <c r="DJ67" i="4"/>
  <c r="DJ68" i="4" s="1"/>
  <c r="DI67" i="4"/>
  <c r="DI68" i="4" s="1"/>
  <c r="DL69" i="4"/>
  <c r="DL67" i="4"/>
  <c r="DR77" i="4" l="1"/>
  <c r="DK68" i="5"/>
  <c r="DK70" i="5" s="1"/>
  <c r="DL77" i="4"/>
  <c r="DL42" i="4"/>
  <c r="DL58" i="4"/>
  <c r="DL60" i="4" s="1"/>
  <c r="DR81" i="4"/>
  <c r="DL82" i="4"/>
  <c r="DL78" i="4"/>
  <c r="DH49" i="4"/>
  <c r="DH51" i="4" s="1"/>
  <c r="DI49" i="4"/>
  <c r="DI51" i="4" s="1"/>
  <c r="DJ49" i="4"/>
  <c r="DJ51" i="4" s="1"/>
  <c r="DJ58" i="4"/>
  <c r="DI58" i="4"/>
  <c r="DH58" i="4"/>
  <c r="DN68" i="5" l="1"/>
  <c r="DR68" i="5" s="1"/>
  <c r="DR70" i="5" s="1"/>
  <c r="DR73" i="5" s="1"/>
  <c r="DK73" i="5"/>
  <c r="DI95" i="4"/>
  <c r="DI96" i="4"/>
  <c r="DH96" i="4"/>
  <c r="DH95" i="4"/>
  <c r="DJ96" i="4"/>
  <c r="DJ95" i="4"/>
  <c r="DH60" i="4"/>
  <c r="DH105" i="4" s="1"/>
  <c r="DI60" i="4"/>
  <c r="DI105" i="4" s="1"/>
  <c r="DJ60" i="4"/>
  <c r="DJ105" i="4" s="1"/>
  <c r="DK67" i="4"/>
  <c r="DK68" i="4" s="1"/>
  <c r="DH84" i="4"/>
  <c r="DJ84" i="4"/>
  <c r="DP84" i="4"/>
  <c r="DN84" i="4"/>
  <c r="DO84" i="4"/>
  <c r="DK84" i="4"/>
  <c r="DL81" i="4"/>
  <c r="DI84" i="4"/>
  <c r="DP58" i="4"/>
  <c r="DO58" i="4"/>
  <c r="DN58" i="4"/>
  <c r="DK58" i="4"/>
  <c r="DJ103" i="4" l="1"/>
  <c r="DJ104" i="4"/>
  <c r="DI103" i="4"/>
  <c r="DI104" i="4"/>
  <c r="DL68" i="4"/>
  <c r="DN70" i="5"/>
  <c r="DN73" i="5" s="1"/>
  <c r="DH103" i="4"/>
  <c r="DH104" i="4"/>
  <c r="DK96" i="4"/>
  <c r="DK95" i="4"/>
  <c r="DO95" i="4"/>
  <c r="DO96" i="4"/>
  <c r="DN95" i="4"/>
  <c r="DN96" i="4"/>
  <c r="DP96" i="4"/>
  <c r="DP95" i="4"/>
  <c r="DK60" i="4"/>
  <c r="DK105" i="4" s="1"/>
  <c r="DH62" i="4"/>
  <c r="DK49" i="4"/>
  <c r="DK51" i="4" s="1"/>
  <c r="DI62" i="4"/>
  <c r="DP60" i="4"/>
  <c r="DP105" i="4" s="1"/>
  <c r="DN60" i="4"/>
  <c r="DN105" i="4" s="1"/>
  <c r="DO60" i="4"/>
  <c r="DO105" i="4" s="1"/>
  <c r="DJ62" i="4"/>
  <c r="DQ58" i="4"/>
  <c r="DP103" i="4" l="1"/>
  <c r="DP104" i="4"/>
  <c r="DK103" i="4"/>
  <c r="DK104" i="4"/>
  <c r="DO103" i="4"/>
  <c r="DO104" i="4"/>
  <c r="DN103" i="4"/>
  <c r="DN104" i="4"/>
  <c r="DO68" i="5"/>
  <c r="DO70" i="5" s="1"/>
  <c r="DO73" i="5" s="1"/>
  <c r="DQ96" i="4"/>
  <c r="DQ95" i="4"/>
  <c r="DK62" i="4"/>
  <c r="DH65" i="4"/>
  <c r="DI65" i="4"/>
  <c r="DN62" i="4"/>
  <c r="DL49" i="4"/>
  <c r="DJ65" i="4"/>
  <c r="DP62" i="4"/>
  <c r="DO62" i="4"/>
  <c r="DQ60" i="4"/>
  <c r="DQ105" i="4" s="1"/>
  <c r="AA28" i="7"/>
  <c r="DQ103" i="4" l="1"/>
  <c r="DQ104" i="4"/>
  <c r="DL51" i="4"/>
  <c r="DL62" i="4" s="1"/>
  <c r="DL65" i="4" s="1"/>
  <c r="DK65" i="4"/>
  <c r="DQ62" i="4"/>
  <c r="DN65" i="4"/>
  <c r="DP65" i="4"/>
  <c r="DO65" i="4"/>
  <c r="DP68" i="5"/>
  <c r="AA29" i="7"/>
  <c r="AA12" i="7"/>
  <c r="DQ65" i="4" l="1"/>
  <c r="DP70" i="5"/>
  <c r="DP73" i="5" s="1"/>
  <c r="AA13" i="7"/>
  <c r="DQ68" i="5" l="1"/>
  <c r="AA49" i="7" l="1"/>
  <c r="AA48" i="7"/>
  <c r="AA31" i="7"/>
  <c r="DQ70" i="5"/>
  <c r="DQ73" i="5" s="1"/>
  <c r="DT68" i="5" l="1"/>
  <c r="DT70" i="5" l="1"/>
  <c r="DT73" i="5" s="1"/>
  <c r="DX68" i="5"/>
  <c r="DX70" i="5" s="1"/>
  <c r="DX73" i="5" s="1"/>
  <c r="DU68" i="5" l="1"/>
  <c r="DU70" i="5" s="1"/>
  <c r="DU73" i="5" s="1"/>
  <c r="DV68" i="5" l="1"/>
  <c r="DV70" i="5" s="1"/>
  <c r="DV73" i="5" s="1"/>
  <c r="DW68" i="5" l="1"/>
  <c r="DW70" i="5" s="1"/>
  <c r="DW73" i="5" s="1"/>
  <c r="EJ105" i="34"/>
  <c r="EJ103" i="34"/>
  <c r="EJ102" i="34"/>
  <c r="EG106" i="34"/>
  <c r="EA106" i="34"/>
  <c r="EB106" i="34"/>
  <c r="DZ106" i="34"/>
  <c r="DW106" i="34"/>
  <c r="DU106" i="34"/>
  <c r="DT106" i="34"/>
  <c r="ED105" i="34"/>
  <c r="DX105" i="34"/>
  <c r="ED103" i="34"/>
  <c r="DX103" i="34"/>
  <c r="ED102" i="34"/>
  <c r="DX102" i="34"/>
  <c r="EF106" i="34"/>
  <c r="EC106" i="34"/>
  <c r="EH106" i="34"/>
  <c r="EI106" i="34"/>
  <c r="DU133" i="34" l="1"/>
  <c r="DU108" i="34"/>
  <c r="DU111" i="34"/>
  <c r="DU110" i="34"/>
  <c r="DU109" i="34"/>
  <c r="EI133" i="34"/>
  <c r="EI108" i="34"/>
  <c r="EI110" i="34"/>
  <c r="EI111" i="34"/>
  <c r="EI109" i="34"/>
  <c r="EH133" i="34"/>
  <c r="EH108" i="34"/>
  <c r="EH111" i="34"/>
  <c r="EH110" i="34"/>
  <c r="EH109" i="34"/>
  <c r="DZ111" i="34"/>
  <c r="DZ110" i="34"/>
  <c r="DZ109" i="34"/>
  <c r="DZ108" i="34"/>
  <c r="EC133" i="34"/>
  <c r="EC108" i="34"/>
  <c r="EC110" i="34"/>
  <c r="EC111" i="34"/>
  <c r="EC109" i="34"/>
  <c r="EB111" i="34"/>
  <c r="EB109" i="34"/>
  <c r="EB110" i="34"/>
  <c r="EB108" i="34"/>
  <c r="EF133" i="34"/>
  <c r="EF111" i="34"/>
  <c r="EF108" i="34"/>
  <c r="EF110" i="34"/>
  <c r="EF109" i="34"/>
  <c r="EA133" i="34"/>
  <c r="EA108" i="34"/>
  <c r="EA111" i="34"/>
  <c r="EA110" i="34"/>
  <c r="EA109" i="34"/>
  <c r="DT133" i="34"/>
  <c r="DT111" i="34"/>
  <c r="DT110" i="34"/>
  <c r="DT109" i="34"/>
  <c r="DT108" i="34"/>
  <c r="EG133" i="34"/>
  <c r="EG111" i="34"/>
  <c r="EG110" i="34"/>
  <c r="EG108" i="34"/>
  <c r="EG109" i="34"/>
  <c r="DW133" i="34"/>
  <c r="DW110" i="34"/>
  <c r="DW109" i="34"/>
  <c r="DW111" i="34"/>
  <c r="DW108" i="34"/>
  <c r="DZ68" i="5"/>
  <c r="DZ70" i="5" s="1"/>
  <c r="DZ73" i="5" s="1"/>
  <c r="ED106" i="34"/>
  <c r="ED108" i="34" s="1"/>
  <c r="EJ106" i="34"/>
  <c r="EJ109" i="34" s="1"/>
  <c r="DX106" i="34"/>
  <c r="DX111" i="34" s="1"/>
  <c r="DX108" i="34" l="1"/>
  <c r="DX109" i="34"/>
  <c r="EJ108" i="34"/>
  <c r="ED111" i="34"/>
  <c r="EJ133" i="34"/>
  <c r="EJ110" i="34"/>
  <c r="ED110" i="34"/>
  <c r="DX133" i="34"/>
  <c r="DX110" i="34"/>
  <c r="EJ111" i="34"/>
  <c r="ED109" i="34"/>
  <c r="ED68" i="5"/>
  <c r="ED70" i="5" s="1"/>
  <c r="ED73" i="5" s="1"/>
  <c r="EA68" i="5"/>
  <c r="EA70" i="5" s="1"/>
  <c r="EA73" i="5" s="1"/>
  <c r="EB68" i="5" l="1"/>
  <c r="EB70" i="5" s="1"/>
  <c r="EB73" i="5" s="1"/>
  <c r="EM54" i="8"/>
  <c r="EM68" i="8"/>
  <c r="EM55" i="8"/>
  <c r="EM53" i="8"/>
  <c r="EL68" i="8"/>
  <c r="EL62" i="8"/>
  <c r="EL55" i="8"/>
  <c r="EL54" i="8"/>
  <c r="EL53" i="8"/>
  <c r="EC68" i="5" l="1"/>
  <c r="EC70" i="5" s="1"/>
  <c r="EC73" i="5" s="1"/>
  <c r="EM58" i="8"/>
  <c r="EM51" i="8"/>
  <c r="EL58" i="8"/>
  <c r="EL51" i="8"/>
  <c r="EL52" i="8" l="1"/>
  <c r="EL56" i="8"/>
  <c r="EL63" i="8"/>
  <c r="EP63" i="8"/>
  <c r="EM52" i="8"/>
  <c r="EM56" i="8"/>
  <c r="EM59" i="8"/>
  <c r="EM63" i="8"/>
  <c r="EL59" i="8"/>
  <c r="EF68" i="5"/>
  <c r="EF70" i="5" s="1"/>
  <c r="EF73" i="5" s="1"/>
  <c r="EJ68" i="5" l="1"/>
  <c r="EJ70" i="5" s="1"/>
  <c r="EJ73" i="5" s="1"/>
  <c r="EG68" i="5"/>
  <c r="EG70" i="5" s="1"/>
  <c r="EG73" i="5" s="1"/>
  <c r="EH68" i="5" l="1"/>
  <c r="EH70" i="5" s="1"/>
  <c r="EH73" i="5" s="1"/>
  <c r="EI68" i="5" l="1"/>
  <c r="EI70" i="5" s="1"/>
  <c r="EI73" i="5" s="1"/>
  <c r="EL68" i="5" l="1"/>
  <c r="EP68" i="5" s="1"/>
  <c r="EP70" i="5" s="1"/>
  <c r="EV68" i="5" l="1"/>
  <c r="EP73" i="5"/>
  <c r="EL70" i="5"/>
  <c r="EL73" i="5" s="1"/>
  <c r="EH9" i="8"/>
  <c r="EM68" i="5" l="1"/>
  <c r="EM70" i="5" s="1"/>
  <c r="EM73" i="5" s="1"/>
  <c r="EN68" i="5" l="1"/>
  <c r="EN70" i="5" s="1"/>
  <c r="EN73" i="5" s="1"/>
  <c r="C2476" i="37"/>
  <c r="C2475" i="37"/>
  <c r="C2474" i="37"/>
  <c r="C2473" i="37"/>
  <c r="C2472" i="37"/>
  <c r="C2471" i="37"/>
  <c r="C2470" i="37"/>
  <c r="C2469" i="37"/>
  <c r="C2468" i="37"/>
  <c r="C2467" i="37"/>
  <c r="C2466" i="37"/>
  <c r="H106" i="37"/>
  <c r="H102" i="37"/>
  <c r="H98" i="37"/>
  <c r="H94" i="37"/>
  <c r="H90" i="37"/>
  <c r="K86" i="37"/>
  <c r="H80" i="37"/>
  <c r="M79" i="37" s="1"/>
  <c r="H76" i="37"/>
  <c r="L75" i="37" s="1"/>
  <c r="H72" i="37"/>
  <c r="H68" i="37"/>
  <c r="H64" i="37"/>
  <c r="K60" i="37"/>
  <c r="H54" i="37"/>
  <c r="H50" i="37"/>
  <c r="H46" i="37"/>
  <c r="H42" i="37"/>
  <c r="H38" i="37"/>
  <c r="K34" i="37"/>
  <c r="H28" i="37"/>
  <c r="K27" i="37" s="1"/>
  <c r="H24" i="37"/>
  <c r="H20" i="37"/>
  <c r="H16" i="37"/>
  <c r="H12" i="37"/>
  <c r="K8" i="37"/>
  <c r="C4" i="37"/>
  <c r="F16" i="37"/>
  <c r="C20" i="37"/>
  <c r="C27" i="37"/>
  <c r="C15" i="37"/>
  <c r="C16" i="37"/>
  <c r="F15" i="37"/>
  <c r="C25" i="37"/>
  <c r="F17" i="37"/>
  <c r="C26" i="37"/>
  <c r="F14" i="37"/>
  <c r="C21" i="37"/>
  <c r="C17" i="37"/>
  <c r="F24" i="37"/>
  <c r="F13" i="37"/>
  <c r="F25" i="37"/>
  <c r="K97" i="37" l="1"/>
  <c r="M37" i="37"/>
  <c r="J89" i="37"/>
  <c r="J19" i="37"/>
  <c r="K15" i="37"/>
  <c r="L67" i="37"/>
  <c r="L71" i="37"/>
  <c r="M23" i="37"/>
  <c r="L63" i="37"/>
  <c r="I97" i="37"/>
  <c r="I45" i="37"/>
  <c r="L93" i="37"/>
  <c r="M97" i="37"/>
  <c r="L49" i="37"/>
  <c r="L101" i="37"/>
  <c r="M53" i="37"/>
  <c r="M71" i="37"/>
  <c r="J97" i="37"/>
  <c r="M105" i="37"/>
  <c r="EO68" i="5"/>
  <c r="EO70" i="5" s="1"/>
  <c r="EO73" i="5" s="1"/>
  <c r="I49" i="37"/>
  <c r="I27" i="37"/>
  <c r="I23" i="37"/>
  <c r="I53" i="37"/>
  <c r="J101" i="37"/>
  <c r="L23" i="37"/>
  <c r="L97" i="37"/>
  <c r="J105" i="37"/>
  <c r="J23" i="37"/>
  <c r="K23" i="37"/>
  <c r="M27" i="37"/>
  <c r="M63" i="37"/>
  <c r="J41" i="37"/>
  <c r="J27" i="37"/>
  <c r="I63" i="37"/>
  <c r="I71" i="37"/>
  <c r="J79" i="37"/>
  <c r="M101" i="37"/>
  <c r="L27" i="37"/>
  <c r="M45" i="37"/>
  <c r="J63" i="37"/>
  <c r="J71" i="37"/>
  <c r="L79" i="37"/>
  <c r="I67" i="37"/>
  <c r="I75" i="37"/>
  <c r="I37" i="37"/>
  <c r="J67" i="37"/>
  <c r="J75" i="37"/>
  <c r="K93" i="37"/>
  <c r="M67" i="37"/>
  <c r="M75" i="37"/>
  <c r="M93" i="37"/>
  <c r="I101" i="37"/>
  <c r="K11" i="37"/>
  <c r="K41" i="37"/>
  <c r="K89" i="37"/>
  <c r="L11" i="37"/>
  <c r="L15" i="37"/>
  <c r="L41" i="37"/>
  <c r="J49" i="37"/>
  <c r="K63" i="37"/>
  <c r="K67" i="37"/>
  <c r="K71" i="37"/>
  <c r="K75" i="37"/>
  <c r="L89" i="37"/>
  <c r="I93" i="37"/>
  <c r="K101" i="37"/>
  <c r="M11" i="37"/>
  <c r="M15" i="37"/>
  <c r="I19" i="37"/>
  <c r="M41" i="37"/>
  <c r="K49" i="37"/>
  <c r="I79" i="37"/>
  <c r="M89" i="37"/>
  <c r="J93" i="37"/>
  <c r="I105" i="37"/>
  <c r="K19" i="37"/>
  <c r="J37" i="37"/>
  <c r="J45" i="37"/>
  <c r="M49" i="37"/>
  <c r="J53" i="37"/>
  <c r="K79" i="37"/>
  <c r="K105" i="37"/>
  <c r="L19" i="37"/>
  <c r="K37" i="37"/>
  <c r="K45" i="37"/>
  <c r="K53" i="37"/>
  <c r="L105" i="37"/>
  <c r="I15" i="37"/>
  <c r="M19" i="37"/>
  <c r="L37" i="37"/>
  <c r="I41" i="37"/>
  <c r="L45" i="37"/>
  <c r="L53" i="37"/>
  <c r="I89" i="37"/>
  <c r="I11" i="37"/>
  <c r="J11" i="37"/>
  <c r="J15" i="37"/>
  <c r="EG9" i="8"/>
  <c r="EH11" i="8" s="1"/>
  <c r="J107" i="37"/>
  <c r="L81" i="37"/>
  <c r="J95" i="37"/>
  <c r="L43" i="37"/>
  <c r="I39" i="37"/>
  <c r="J29" i="37"/>
  <c r="L47" i="37"/>
  <c r="I51" i="37"/>
  <c r="K95" i="37"/>
  <c r="I99" i="37"/>
  <c r="L39" i="37"/>
  <c r="J99" i="37"/>
  <c r="I29" i="37"/>
  <c r="L51" i="37"/>
  <c r="K29" i="37"/>
  <c r="I43" i="37"/>
  <c r="L103" i="37"/>
  <c r="I81" i="37"/>
  <c r="I95" i="37"/>
  <c r="K99" i="37"/>
  <c r="J55" i="37"/>
  <c r="I103" i="37"/>
  <c r="J51" i="37"/>
  <c r="J43" i="37"/>
  <c r="K51" i="37"/>
  <c r="L29" i="37"/>
  <c r="L95" i="37"/>
  <c r="L107" i="37"/>
  <c r="J91" i="37"/>
  <c r="L55" i="37"/>
  <c r="J47" i="37"/>
  <c r="J81" i="37"/>
  <c r="K39" i="37"/>
  <c r="K47" i="37"/>
  <c r="K55" i="37"/>
  <c r="K43" i="37"/>
  <c r="K91" i="37"/>
  <c r="I47" i="37"/>
  <c r="L99" i="37"/>
  <c r="K81" i="37"/>
  <c r="K107" i="37"/>
  <c r="I91" i="37"/>
  <c r="K103" i="37"/>
  <c r="J103" i="37"/>
  <c r="I107" i="37"/>
  <c r="L91" i="37"/>
  <c r="J39" i="37"/>
  <c r="I55" i="37"/>
  <c r="EF9" i="8" l="1"/>
  <c r="EC9" i="8"/>
  <c r="EF11" i="8" l="1"/>
  <c r="EG11" i="8"/>
  <c r="EB9" i="8"/>
  <c r="EC11" i="8" s="1"/>
  <c r="EA9" i="8" l="1"/>
  <c r="EB11" i="8" s="1"/>
  <c r="EP60" i="8" l="1"/>
  <c r="EU100" i="2" l="1"/>
  <c r="EU102" i="2" l="1"/>
  <c r="B91" i="2" l="1"/>
  <c r="C89" i="2"/>
  <c r="C77" i="2" l="1"/>
  <c r="DW7" i="34" l="1"/>
  <c r="DV7" i="34"/>
  <c r="DU7" i="34"/>
  <c r="DT7" i="34"/>
  <c r="DQ7" i="34"/>
  <c r="DP7" i="34"/>
  <c r="DO7" i="34"/>
  <c r="DN7" i="34"/>
  <c r="DK7" i="34"/>
  <c r="DJ7" i="34"/>
  <c r="DI7" i="34"/>
  <c r="DH7" i="34"/>
  <c r="DE7" i="34"/>
  <c r="DD7" i="34"/>
  <c r="DC7" i="34"/>
  <c r="DB7" i="34"/>
  <c r="CY7" i="34"/>
  <c r="CX7" i="34"/>
  <c r="CW7" i="34"/>
  <c r="CV7" i="34"/>
  <c r="CS7" i="34"/>
  <c r="CR7" i="34"/>
  <c r="CQ7" i="34"/>
  <c r="CP7" i="34"/>
  <c r="CM7" i="34"/>
  <c r="CL7" i="34"/>
  <c r="CK7" i="34"/>
  <c r="CJ7" i="34"/>
  <c r="CG7" i="34"/>
  <c r="CF7" i="34"/>
  <c r="CE7" i="34"/>
  <c r="CD7" i="34"/>
  <c r="CA7" i="34"/>
  <c r="BZ7" i="34"/>
  <c r="BY7" i="34"/>
  <c r="BX7" i="34"/>
  <c r="BU7" i="34"/>
  <c r="BT7" i="34"/>
  <c r="BS7" i="34"/>
  <c r="BR7" i="34"/>
  <c r="BO7" i="34"/>
  <c r="BN7" i="34"/>
  <c r="BM7" i="34"/>
  <c r="BL7" i="34"/>
  <c r="BI7" i="34"/>
  <c r="BH7" i="34"/>
  <c r="BG7" i="34"/>
  <c r="BF7" i="34"/>
  <c r="BC7" i="34"/>
  <c r="BB7" i="34"/>
  <c r="BA7" i="34"/>
  <c r="AZ7" i="34"/>
  <c r="AW7" i="34"/>
  <c r="AV7" i="34"/>
  <c r="AU7" i="34"/>
  <c r="AT7" i="34"/>
  <c r="AQ7" i="34"/>
  <c r="AP7" i="34"/>
  <c r="AO7" i="34"/>
  <c r="AN7" i="34"/>
  <c r="AK7" i="34"/>
  <c r="AJ7" i="34"/>
  <c r="AI7" i="34"/>
  <c r="AH7" i="34"/>
  <c r="AE7" i="34"/>
  <c r="AD7" i="34"/>
  <c r="AC7" i="34"/>
  <c r="AB7" i="34"/>
  <c r="Y7" i="34"/>
  <c r="X7" i="34"/>
  <c r="W7" i="34"/>
  <c r="V7" i="34"/>
  <c r="S7" i="34"/>
  <c r="R7" i="34"/>
  <c r="Q7" i="34"/>
  <c r="P7" i="34"/>
  <c r="M7" i="34"/>
  <c r="L7" i="34"/>
  <c r="K7" i="34"/>
  <c r="J7" i="34"/>
  <c r="G7" i="34"/>
  <c r="F7" i="34"/>
  <c r="E7" i="34"/>
  <c r="D7" i="34"/>
  <c r="EF6" i="34"/>
  <c r="EL6" i="34" s="1"/>
  <c r="ER6" i="34" s="1"/>
  <c r="EX6" i="34" s="1"/>
  <c r="FD6" i="34" s="1"/>
  <c r="FJ6" i="34" s="1"/>
  <c r="FP6" i="34" s="1"/>
  <c r="B3" i="34"/>
  <c r="FD14" i="5" l="1"/>
  <c r="FA14" i="5"/>
  <c r="FB14" i="5"/>
  <c r="FE14" i="5" l="1"/>
  <c r="FF14" i="5" l="1"/>
  <c r="FH14" i="5"/>
  <c r="FG14" i="5" l="1"/>
  <c r="FJ14" i="5" l="1"/>
  <c r="FK14" i="5" l="1"/>
  <c r="FN14" i="5" l="1"/>
  <c r="FL14" i="5"/>
  <c r="FM14" i="5" l="1"/>
  <c r="FP14" i="5" l="1"/>
  <c r="FQ14" i="5" l="1"/>
  <c r="FR14" i="5" l="1"/>
  <c r="FT14" i="5"/>
  <c r="FS14" i="5" l="1"/>
  <c r="FV14" i="5" l="1"/>
  <c r="FW14" i="5" l="1"/>
  <c r="FX14" i="5" l="1"/>
  <c r="FZ14" i="5"/>
  <c r="ER6" i="8"/>
  <c r="EX6" i="8" s="1"/>
  <c r="FD6" i="8" s="1"/>
  <c r="FJ6" i="8" s="1"/>
  <c r="EV7" i="4"/>
  <c r="ER6" i="2"/>
  <c r="EX6" i="2" s="1"/>
  <c r="FD6" i="2" s="1"/>
  <c r="FJ6" i="2" s="1"/>
  <c r="FP6" i="2" s="1"/>
  <c r="FV6" i="2" s="1"/>
  <c r="GB6" i="2" s="1"/>
  <c r="GH6" i="2" s="1"/>
  <c r="GN6" i="2" s="1"/>
  <c r="GT6" i="2" s="1"/>
  <c r="GZ6" i="2" s="1"/>
  <c r="HF6" i="2" s="1"/>
  <c r="FP6" i="8" l="1"/>
  <c r="FV6" i="8" s="1"/>
  <c r="GB6" i="8" s="1"/>
  <c r="GH6" i="8" s="1"/>
  <c r="GN6" i="8" s="1"/>
  <c r="GT6" i="8" s="1"/>
  <c r="GZ6" i="8" s="1"/>
  <c r="HF6" i="8" s="1"/>
  <c r="FY14" i="5"/>
  <c r="GB14" i="5" l="1"/>
  <c r="GC14" i="5" l="1"/>
  <c r="EP67" i="8"/>
  <c r="GD14" i="5" l="1"/>
  <c r="GF14" i="5"/>
  <c r="GE14" i="5" l="1"/>
  <c r="GH14" i="5" l="1"/>
  <c r="GI14" i="5" l="1"/>
  <c r="GJ14" i="5" l="1"/>
  <c r="GL14" i="5"/>
  <c r="GK14" i="5" l="1"/>
  <c r="GN14" i="5" l="1"/>
  <c r="GO14" i="5" l="1"/>
  <c r="GP14" i="5" l="1"/>
  <c r="GR14" i="5"/>
  <c r="B1" i="13"/>
  <c r="B3" i="13"/>
  <c r="F97" i="13"/>
  <c r="F106" i="13"/>
  <c r="F107" i="13" s="1"/>
  <c r="F90" i="13" s="1"/>
  <c r="F43" i="13"/>
  <c r="F19" i="13" s="1"/>
  <c r="G97" i="13"/>
  <c r="G106" i="13"/>
  <c r="G107" i="13" s="1"/>
  <c r="G90" i="13" s="1"/>
  <c r="G43" i="13"/>
  <c r="G19" i="13" s="1"/>
  <c r="H97" i="13"/>
  <c r="H106" i="13"/>
  <c r="H107" i="13" s="1"/>
  <c r="H92" i="13" s="1"/>
  <c r="H43" i="13"/>
  <c r="H19" i="13" s="1"/>
  <c r="I97" i="13"/>
  <c r="I106" i="13"/>
  <c r="I107" i="13" s="1"/>
  <c r="I43" i="13"/>
  <c r="I19" i="13" s="1"/>
  <c r="J97" i="13"/>
  <c r="J106" i="13"/>
  <c r="J107" i="13" s="1"/>
  <c r="J90" i="13" s="1"/>
  <c r="J43" i="13"/>
  <c r="J19" i="13" s="1"/>
  <c r="K97" i="13"/>
  <c r="K106" i="13"/>
  <c r="K107" i="13" s="1"/>
  <c r="K43" i="13"/>
  <c r="K19" i="13" s="1"/>
  <c r="L97" i="13"/>
  <c r="L106" i="13"/>
  <c r="L107" i="13" s="1"/>
  <c r="L119" i="13" s="1"/>
  <c r="L43" i="13"/>
  <c r="L19" i="13" s="1"/>
  <c r="M97" i="13"/>
  <c r="M106" i="13"/>
  <c r="M107" i="13" s="1"/>
  <c r="M119" i="13" s="1"/>
  <c r="M43" i="13"/>
  <c r="M19" i="13" s="1"/>
  <c r="N97" i="13"/>
  <c r="N106" i="13"/>
  <c r="N107" i="13" s="1"/>
  <c r="N130" i="13" s="1"/>
  <c r="N43" i="13"/>
  <c r="N19" i="13" s="1"/>
  <c r="O97" i="13"/>
  <c r="O106" i="13"/>
  <c r="O107" i="13" s="1"/>
  <c r="O119" i="13" s="1"/>
  <c r="O43" i="13"/>
  <c r="O19" i="13" s="1"/>
  <c r="P97" i="13"/>
  <c r="P106" i="13"/>
  <c r="P107" i="13" s="1"/>
  <c r="P130" i="13" s="1"/>
  <c r="P99" i="13"/>
  <c r="P43" i="13"/>
  <c r="P19" i="13" s="1"/>
  <c r="Q97" i="13"/>
  <c r="Q106" i="13"/>
  <c r="Q107" i="13" s="1"/>
  <c r="Q130" i="13" s="1"/>
  <c r="Q99" i="13"/>
  <c r="Q43" i="13"/>
  <c r="Q19" i="13" s="1"/>
  <c r="R97" i="13"/>
  <c r="R106" i="13"/>
  <c r="R107" i="13" s="1"/>
  <c r="R130" i="13" s="1"/>
  <c r="R99" i="13"/>
  <c r="R43" i="13"/>
  <c r="R19" i="13" s="1"/>
  <c r="S97" i="13"/>
  <c r="S106" i="13"/>
  <c r="S107" i="13" s="1"/>
  <c r="S116" i="13" s="1"/>
  <c r="S99" i="13"/>
  <c r="S43" i="13"/>
  <c r="S19" i="13" s="1"/>
  <c r="T97" i="13"/>
  <c r="T106" i="13"/>
  <c r="T107" i="13" s="1"/>
  <c r="T90" i="13" s="1"/>
  <c r="T99" i="13"/>
  <c r="T43" i="13"/>
  <c r="T19" i="13" s="1"/>
  <c r="U97" i="13"/>
  <c r="U106" i="13"/>
  <c r="U107" i="13" s="1"/>
  <c r="U92" i="13" s="1"/>
  <c r="U99" i="13"/>
  <c r="U43" i="13"/>
  <c r="U19" i="13" s="1"/>
  <c r="V97" i="13"/>
  <c r="V106" i="13"/>
  <c r="V107" i="13" s="1"/>
  <c r="V90" i="13" s="1"/>
  <c r="V99" i="13"/>
  <c r="V43" i="13"/>
  <c r="V19" i="13" s="1"/>
  <c r="W9" i="13"/>
  <c r="F14" i="13"/>
  <c r="G14" i="13"/>
  <c r="H14" i="13"/>
  <c r="I14" i="13"/>
  <c r="J14" i="13"/>
  <c r="K14" i="13"/>
  <c r="L14" i="13"/>
  <c r="M14" i="13"/>
  <c r="N14" i="13"/>
  <c r="O14" i="13"/>
  <c r="P14" i="13"/>
  <c r="Q14" i="13"/>
  <c r="R14" i="13"/>
  <c r="S14" i="13"/>
  <c r="T14" i="13"/>
  <c r="U14" i="13"/>
  <c r="V14" i="13"/>
  <c r="W14" i="13"/>
  <c r="W15" i="13"/>
  <c r="W18" i="13"/>
  <c r="W43" i="13"/>
  <c r="W19" i="13" s="1"/>
  <c r="F22" i="13"/>
  <c r="G22" i="13"/>
  <c r="H22" i="13"/>
  <c r="F117" i="13"/>
  <c r="F120" i="13" s="1"/>
  <c r="F128" i="13"/>
  <c r="F131" i="13" s="1"/>
  <c r="F139" i="13"/>
  <c r="F142" i="13" s="1"/>
  <c r="F150" i="13"/>
  <c r="F153" i="13" s="1"/>
  <c r="F161" i="13"/>
  <c r="F164" i="13" s="1"/>
  <c r="F172" i="13"/>
  <c r="F175" i="13" s="1"/>
  <c r="F183" i="13"/>
  <c r="F186" i="13" s="1"/>
  <c r="F194" i="13"/>
  <c r="F197" i="13" s="1"/>
  <c r="F205" i="13"/>
  <c r="F208" i="13" s="1"/>
  <c r="F216" i="13"/>
  <c r="F219" i="13" s="1"/>
  <c r="G117" i="13"/>
  <c r="G120" i="13" s="1"/>
  <c r="G128" i="13"/>
  <c r="G131" i="13" s="1"/>
  <c r="G139" i="13"/>
  <c r="G142" i="13" s="1"/>
  <c r="G150" i="13"/>
  <c r="G153" i="13" s="1"/>
  <c r="G161" i="13"/>
  <c r="G164" i="13" s="1"/>
  <c r="G172" i="13"/>
  <c r="G175" i="13" s="1"/>
  <c r="G183" i="13"/>
  <c r="G186" i="13" s="1"/>
  <c r="G194" i="13"/>
  <c r="G197" i="13" s="1"/>
  <c r="G205" i="13"/>
  <c r="G208" i="13" s="1"/>
  <c r="G216" i="13"/>
  <c r="G219" i="13" s="1"/>
  <c r="H117" i="13"/>
  <c r="H120" i="13" s="1"/>
  <c r="H128" i="13"/>
  <c r="H131" i="13" s="1"/>
  <c r="H139" i="13"/>
  <c r="H142" i="13" s="1"/>
  <c r="H150" i="13"/>
  <c r="H153" i="13" s="1"/>
  <c r="H161" i="13"/>
  <c r="H164" i="13" s="1"/>
  <c r="H172" i="13"/>
  <c r="H175" i="13" s="1"/>
  <c r="H183" i="13"/>
  <c r="H186" i="13" s="1"/>
  <c r="H194" i="13"/>
  <c r="H197" i="13" s="1"/>
  <c r="H205" i="13"/>
  <c r="H208" i="13" s="1"/>
  <c r="H216" i="13"/>
  <c r="H219" i="13" s="1"/>
  <c r="I117" i="13"/>
  <c r="I128" i="13"/>
  <c r="I131" i="13" s="1"/>
  <c r="I139" i="13"/>
  <c r="I142" i="13" s="1"/>
  <c r="I150" i="13"/>
  <c r="I153" i="13" s="1"/>
  <c r="I161" i="13"/>
  <c r="I172" i="13"/>
  <c r="I175" i="13" s="1"/>
  <c r="I183" i="13"/>
  <c r="I186" i="13" s="1"/>
  <c r="I194" i="13"/>
  <c r="I197" i="13" s="1"/>
  <c r="I205" i="13"/>
  <c r="I216" i="13"/>
  <c r="I219" i="13" s="1"/>
  <c r="J117" i="13"/>
  <c r="J120" i="13" s="1"/>
  <c r="J128" i="13"/>
  <c r="J131" i="13" s="1"/>
  <c r="J139" i="13"/>
  <c r="J142" i="13" s="1"/>
  <c r="J150" i="13"/>
  <c r="J153" i="13" s="1"/>
  <c r="J161" i="13"/>
  <c r="J164" i="13" s="1"/>
  <c r="J172" i="13"/>
  <c r="J175" i="13" s="1"/>
  <c r="J183" i="13"/>
  <c r="J186" i="13" s="1"/>
  <c r="J194" i="13"/>
  <c r="J197" i="13" s="1"/>
  <c r="J205" i="13"/>
  <c r="J208" i="13" s="1"/>
  <c r="J216" i="13"/>
  <c r="J219" i="13" s="1"/>
  <c r="K117" i="13"/>
  <c r="K120" i="13" s="1"/>
  <c r="K128" i="13"/>
  <c r="K131" i="13" s="1"/>
  <c r="K139" i="13"/>
  <c r="K142" i="13" s="1"/>
  <c r="K150" i="13"/>
  <c r="K153" i="13" s="1"/>
  <c r="K161" i="13"/>
  <c r="K164" i="13" s="1"/>
  <c r="K172" i="13"/>
  <c r="K175" i="13" s="1"/>
  <c r="K183" i="13"/>
  <c r="K186" i="13" s="1"/>
  <c r="K194" i="13"/>
  <c r="K197" i="13" s="1"/>
  <c r="K205" i="13"/>
  <c r="K208" i="13" s="1"/>
  <c r="K216" i="13"/>
  <c r="K219" i="13" s="1"/>
  <c r="L117" i="13"/>
  <c r="L120" i="13" s="1"/>
  <c r="L128" i="13"/>
  <c r="L131" i="13" s="1"/>
  <c r="L139" i="13"/>
  <c r="L142" i="13" s="1"/>
  <c r="L150" i="13"/>
  <c r="L153" i="13" s="1"/>
  <c r="L161" i="13"/>
  <c r="L164" i="13" s="1"/>
  <c r="L172" i="13"/>
  <c r="L175" i="13" s="1"/>
  <c r="L183" i="13"/>
  <c r="L186" i="13" s="1"/>
  <c r="L194" i="13"/>
  <c r="L197" i="13" s="1"/>
  <c r="L205" i="13"/>
  <c r="L208" i="13" s="1"/>
  <c r="L216" i="13"/>
  <c r="L219" i="13" s="1"/>
  <c r="M117" i="13"/>
  <c r="M120" i="13" s="1"/>
  <c r="M128" i="13"/>
  <c r="M131" i="13" s="1"/>
  <c r="M139" i="13"/>
  <c r="M142" i="13" s="1"/>
  <c r="M150" i="13"/>
  <c r="M153" i="13" s="1"/>
  <c r="M161" i="13"/>
  <c r="M164" i="13" s="1"/>
  <c r="M172" i="13"/>
  <c r="M175" i="13" s="1"/>
  <c r="M183" i="13"/>
  <c r="M186" i="13" s="1"/>
  <c r="M194" i="13"/>
  <c r="M197" i="13" s="1"/>
  <c r="M205" i="13"/>
  <c r="M208" i="13" s="1"/>
  <c r="M216" i="13"/>
  <c r="M219" i="13" s="1"/>
  <c r="N117" i="13"/>
  <c r="N120" i="13" s="1"/>
  <c r="N128" i="13"/>
  <c r="N131" i="13" s="1"/>
  <c r="N139" i="13"/>
  <c r="N142" i="13" s="1"/>
  <c r="N150" i="13"/>
  <c r="N153" i="13" s="1"/>
  <c r="N161" i="13"/>
  <c r="N172" i="13"/>
  <c r="N183" i="13"/>
  <c r="N186" i="13" s="1"/>
  <c r="N194" i="13"/>
  <c r="N205" i="13"/>
  <c r="N216" i="13"/>
  <c r="O117" i="13"/>
  <c r="O120" i="13" s="1"/>
  <c r="O128" i="13"/>
  <c r="O139" i="13"/>
  <c r="O150" i="13"/>
  <c r="O153" i="13" s="1"/>
  <c r="O161" i="13"/>
  <c r="O164" i="13" s="1"/>
  <c r="O172" i="13"/>
  <c r="O175" i="13" s="1"/>
  <c r="O183" i="13"/>
  <c r="O194" i="13"/>
  <c r="O197" i="13" s="1"/>
  <c r="O205" i="13"/>
  <c r="O208" i="13" s="1"/>
  <c r="O216" i="13"/>
  <c r="O219" i="13" s="1"/>
  <c r="P117" i="13"/>
  <c r="P128" i="13"/>
  <c r="P139" i="13"/>
  <c r="P150" i="13"/>
  <c r="P161" i="13"/>
  <c r="P172" i="13"/>
  <c r="P183" i="13"/>
  <c r="P194" i="13"/>
  <c r="P205" i="13"/>
  <c r="P216" i="13"/>
  <c r="Q117" i="13"/>
  <c r="Q128" i="13"/>
  <c r="Q139" i="13"/>
  <c r="Q150" i="13"/>
  <c r="Q161" i="13"/>
  <c r="Q172" i="13"/>
  <c r="Q183" i="13"/>
  <c r="Q194" i="13"/>
  <c r="Q205" i="13"/>
  <c r="Q216" i="13"/>
  <c r="R117" i="13"/>
  <c r="R128" i="13"/>
  <c r="R139" i="13"/>
  <c r="R150" i="13"/>
  <c r="R161" i="13"/>
  <c r="R172" i="13"/>
  <c r="R183" i="13"/>
  <c r="R194" i="13"/>
  <c r="R205" i="13"/>
  <c r="R216" i="13"/>
  <c r="S117" i="13"/>
  <c r="S128" i="13"/>
  <c r="S139" i="13"/>
  <c r="S150" i="13"/>
  <c r="S161" i="13"/>
  <c r="S172" i="13"/>
  <c r="S175" i="13" s="1"/>
  <c r="S183" i="13"/>
  <c r="S194" i="13"/>
  <c r="S197" i="13" s="1"/>
  <c r="S205" i="13"/>
  <c r="S216" i="13"/>
  <c r="T117" i="13"/>
  <c r="T128" i="13"/>
  <c r="T139" i="13"/>
  <c r="T150" i="13"/>
  <c r="T161" i="13"/>
  <c r="T172" i="13"/>
  <c r="T183" i="13"/>
  <c r="T194" i="13"/>
  <c r="T205" i="13"/>
  <c r="T216" i="13"/>
  <c r="U117" i="13"/>
  <c r="U128" i="13"/>
  <c r="U139" i="13"/>
  <c r="U150" i="13"/>
  <c r="U161" i="13"/>
  <c r="U172" i="13"/>
  <c r="U183" i="13"/>
  <c r="U194" i="13"/>
  <c r="U205" i="13"/>
  <c r="U216" i="13"/>
  <c r="V117" i="13"/>
  <c r="V128" i="13"/>
  <c r="V139" i="13"/>
  <c r="V150" i="13"/>
  <c r="V161" i="13"/>
  <c r="V172" i="13"/>
  <c r="V183" i="13"/>
  <c r="V194" i="13"/>
  <c r="V205" i="13"/>
  <c r="V216" i="13"/>
  <c r="W23" i="13"/>
  <c r="K90" i="13"/>
  <c r="O90" i="13"/>
  <c r="G92" i="13"/>
  <c r="N92" i="13"/>
  <c r="I11" i="13"/>
  <c r="B1" i="8"/>
  <c r="B3" i="8"/>
  <c r="D7" i="8"/>
  <c r="E7" i="8"/>
  <c r="F7" i="8"/>
  <c r="G7" i="8"/>
  <c r="J7" i="8"/>
  <c r="K7" i="8"/>
  <c r="L7" i="8"/>
  <c r="M7" i="8"/>
  <c r="P7" i="8"/>
  <c r="Q7" i="8"/>
  <c r="R7" i="8"/>
  <c r="S7" i="8"/>
  <c r="V7" i="8"/>
  <c r="W7" i="8"/>
  <c r="X7" i="8"/>
  <c r="Y7" i="8"/>
  <c r="AB7" i="8"/>
  <c r="AC7" i="8"/>
  <c r="AD7" i="8"/>
  <c r="AE7" i="8"/>
  <c r="AH7" i="8"/>
  <c r="AI7" i="8"/>
  <c r="AJ7" i="8"/>
  <c r="AK7" i="8"/>
  <c r="B1" i="7"/>
  <c r="B3" i="7"/>
  <c r="A54" i="7"/>
  <c r="B4" i="5"/>
  <c r="D7" i="5"/>
  <c r="E7" i="5"/>
  <c r="F7" i="5"/>
  <c r="G7" i="5"/>
  <c r="J7" i="5"/>
  <c r="K7" i="5"/>
  <c r="L7" i="5"/>
  <c r="M7" i="5"/>
  <c r="P7" i="5"/>
  <c r="Q7" i="5"/>
  <c r="R7" i="5"/>
  <c r="S7" i="5"/>
  <c r="V7" i="5"/>
  <c r="W7" i="5"/>
  <c r="X7" i="5"/>
  <c r="Y7" i="5"/>
  <c r="AB7" i="5"/>
  <c r="AC7" i="5"/>
  <c r="AD7" i="5"/>
  <c r="AE7" i="5"/>
  <c r="AH7" i="5"/>
  <c r="AI7" i="5"/>
  <c r="AJ7" i="5"/>
  <c r="AK7" i="5"/>
  <c r="A72" i="5"/>
  <c r="D7" i="4"/>
  <c r="E7" i="4"/>
  <c r="F7" i="4"/>
  <c r="G7" i="4"/>
  <c r="H7" i="4"/>
  <c r="J7" i="4"/>
  <c r="K7" i="4"/>
  <c r="L7" i="4"/>
  <c r="M7" i="4"/>
  <c r="N7" i="4"/>
  <c r="P7" i="4"/>
  <c r="Q7" i="4"/>
  <c r="R7" i="4"/>
  <c r="S7" i="4"/>
  <c r="T7" i="4"/>
  <c r="V7" i="4"/>
  <c r="W7" i="4"/>
  <c r="X7" i="4"/>
  <c r="Y7" i="4"/>
  <c r="Z7" i="4"/>
  <c r="AB7" i="4"/>
  <c r="AC7" i="4"/>
  <c r="AD7" i="4"/>
  <c r="AE7" i="4"/>
  <c r="AF7" i="4"/>
  <c r="AH7" i="4"/>
  <c r="AI7" i="4"/>
  <c r="AJ7" i="4"/>
  <c r="AK7" i="4"/>
  <c r="AL7" i="4"/>
  <c r="AR7" i="4"/>
  <c r="AX7" i="4"/>
  <c r="BD7" i="4"/>
  <c r="BJ7" i="4"/>
  <c r="BP7" i="4"/>
  <c r="BV7" i="4"/>
  <c r="CB7" i="4"/>
  <c r="CH7" i="4"/>
  <c r="CN7" i="4"/>
  <c r="CT7" i="4"/>
  <c r="CZ7" i="4"/>
  <c r="DF7" i="4"/>
  <c r="DL7" i="4"/>
  <c r="A64" i="4"/>
  <c r="B1" i="34"/>
  <c r="AN7" i="2"/>
  <c r="AT7" i="2" s="1"/>
  <c r="AZ7" i="2" s="1"/>
  <c r="BF7" i="2" s="1"/>
  <c r="BL7" i="2" s="1"/>
  <c r="BR7" i="2" s="1"/>
  <c r="BX7" i="2" s="1"/>
  <c r="AO7" i="2"/>
  <c r="AU7" i="2" s="1"/>
  <c r="BA7" i="2" s="1"/>
  <c r="BG7" i="2" s="1"/>
  <c r="BM7" i="2" s="1"/>
  <c r="BS7" i="2" s="1"/>
  <c r="BY7" i="2" s="1"/>
  <c r="CE7" i="2" s="1"/>
  <c r="CK7" i="2" s="1"/>
  <c r="AP7" i="2"/>
  <c r="AV7" i="2" s="1"/>
  <c r="BB7" i="2" s="1"/>
  <c r="BH7" i="2" s="1"/>
  <c r="BN7" i="2" s="1"/>
  <c r="BT7" i="2" s="1"/>
  <c r="BZ7" i="2" s="1"/>
  <c r="CF7" i="2" s="1"/>
  <c r="CL7" i="2" s="1"/>
  <c r="AQ7" i="2"/>
  <c r="AW7" i="2" s="1"/>
  <c r="BC7" i="2" s="1"/>
  <c r="BI7" i="2" s="1"/>
  <c r="BO7" i="2" s="1"/>
  <c r="BU7" i="2" s="1"/>
  <c r="CA7" i="2" s="1"/>
  <c r="CG7" i="2" s="1"/>
  <c r="CM7" i="2" s="1"/>
  <c r="C75" i="2"/>
  <c r="B80" i="2"/>
  <c r="C81" i="2"/>
  <c r="B85" i="2"/>
  <c r="C86" i="2"/>
  <c r="B87" i="2"/>
  <c r="C88" i="2"/>
  <c r="B92" i="2"/>
  <c r="B93" i="2"/>
  <c r="GQ14" i="5" l="1"/>
  <c r="S160" i="13"/>
  <c r="S92" i="13"/>
  <c r="H90" i="13"/>
  <c r="Q92" i="13"/>
  <c r="J92" i="13"/>
  <c r="Q90" i="13"/>
  <c r="S204" i="13"/>
  <c r="S206" i="13" s="1"/>
  <c r="R215" i="13"/>
  <c r="R217" i="13" s="1"/>
  <c r="R218" i="13"/>
  <c r="R193" i="13"/>
  <c r="R195" i="13" s="1"/>
  <c r="R196" i="13"/>
  <c r="R171" i="13"/>
  <c r="R173" i="13" s="1"/>
  <c r="R174" i="13"/>
  <c r="R149" i="13"/>
  <c r="R151" i="13" s="1"/>
  <c r="R152" i="13"/>
  <c r="R127" i="13"/>
  <c r="R129" i="13" s="1"/>
  <c r="Q215" i="13"/>
  <c r="Q218" i="13"/>
  <c r="Q193" i="13"/>
  <c r="Q195" i="13" s="1"/>
  <c r="Q196" i="13"/>
  <c r="Q171" i="13"/>
  <c r="Q174" i="13"/>
  <c r="Q149" i="13"/>
  <c r="Q151" i="13" s="1"/>
  <c r="Q152" i="13"/>
  <c r="Q127" i="13"/>
  <c r="Q129" i="13" s="1"/>
  <c r="P215" i="13"/>
  <c r="P217" i="13" s="1"/>
  <c r="P218" i="13"/>
  <c r="P193" i="13"/>
  <c r="P195" i="13" s="1"/>
  <c r="P196" i="13"/>
  <c r="P171" i="13"/>
  <c r="P173" i="13" s="1"/>
  <c r="P174" i="13"/>
  <c r="P149" i="13"/>
  <c r="P151" i="13" s="1"/>
  <c r="P152" i="13"/>
  <c r="P127" i="13"/>
  <c r="P129" i="13" s="1"/>
  <c r="N215" i="13"/>
  <c r="N217" i="13" s="1"/>
  <c r="N218" i="13"/>
  <c r="N193" i="13"/>
  <c r="N196" i="13"/>
  <c r="N171" i="13"/>
  <c r="N173" i="13" s="1"/>
  <c r="N174" i="13"/>
  <c r="N149" i="13"/>
  <c r="N152" i="13"/>
  <c r="N127" i="13"/>
  <c r="N129" i="13" s="1"/>
  <c r="L215" i="13"/>
  <c r="L217" i="13" s="1"/>
  <c r="L218" i="13"/>
  <c r="L193" i="13"/>
  <c r="L195" i="13" s="1"/>
  <c r="L196" i="13"/>
  <c r="L171" i="13"/>
  <c r="L173" i="13" s="1"/>
  <c r="L174" i="13"/>
  <c r="L163" i="13"/>
  <c r="L152" i="13"/>
  <c r="L141" i="13"/>
  <c r="L130" i="13"/>
  <c r="J218" i="13"/>
  <c r="J207" i="13"/>
  <c r="J196" i="13"/>
  <c r="J185" i="13"/>
  <c r="J174" i="13"/>
  <c r="J163" i="13"/>
  <c r="J152" i="13"/>
  <c r="J141" i="13"/>
  <c r="J130" i="13"/>
  <c r="J119" i="13"/>
  <c r="M90" i="13"/>
  <c r="S219" i="13"/>
  <c r="S153" i="13"/>
  <c r="S131" i="13"/>
  <c r="R142" i="13"/>
  <c r="Q208" i="13"/>
  <c r="Q164" i="13"/>
  <c r="Q120" i="13"/>
  <c r="P186" i="13"/>
  <c r="P175" i="13"/>
  <c r="P153" i="13"/>
  <c r="P131" i="13"/>
  <c r="O204" i="13"/>
  <c r="O206" i="13" s="1"/>
  <c r="O207" i="13"/>
  <c r="O182" i="13"/>
  <c r="O185" i="13"/>
  <c r="O160" i="13"/>
  <c r="O163" i="13"/>
  <c r="O138" i="13"/>
  <c r="O140" i="13" s="1"/>
  <c r="O141" i="13"/>
  <c r="O116" i="13"/>
  <c r="O118" i="13" s="1"/>
  <c r="M204" i="13"/>
  <c r="M207" i="13"/>
  <c r="M182" i="13"/>
  <c r="M184" i="13" s="1"/>
  <c r="M185" i="13"/>
  <c r="M160" i="13"/>
  <c r="M163" i="13"/>
  <c r="M138" i="13"/>
  <c r="M140" i="13" s="1"/>
  <c r="M141" i="13"/>
  <c r="M116" i="13"/>
  <c r="V119" i="13"/>
  <c r="V116" i="13"/>
  <c r="V118" i="13" s="1"/>
  <c r="V141" i="13"/>
  <c r="V138" i="13"/>
  <c r="V163" i="13"/>
  <c r="V160" i="13"/>
  <c r="V162" i="13" s="1"/>
  <c r="V185" i="13"/>
  <c r="V182" i="13"/>
  <c r="V207" i="13"/>
  <c r="V204" i="13"/>
  <c r="V206" i="13" s="1"/>
  <c r="U119" i="13"/>
  <c r="U116" i="13"/>
  <c r="U141" i="13"/>
  <c r="U138" i="13"/>
  <c r="U140" i="13" s="1"/>
  <c r="U163" i="13"/>
  <c r="U160" i="13"/>
  <c r="U162" i="13" s="1"/>
  <c r="U185" i="13"/>
  <c r="U182" i="13"/>
  <c r="U184" i="13" s="1"/>
  <c r="U207" i="13"/>
  <c r="U204" i="13"/>
  <c r="T119" i="13"/>
  <c r="T116" i="13"/>
  <c r="T118" i="13" s="1"/>
  <c r="T141" i="13"/>
  <c r="T138" i="13"/>
  <c r="T163" i="13"/>
  <c r="T160" i="13"/>
  <c r="T162" i="13" s="1"/>
  <c r="T185" i="13"/>
  <c r="T182" i="13"/>
  <c r="T207" i="13"/>
  <c r="T204" i="13"/>
  <c r="T206" i="13" s="1"/>
  <c r="S130" i="13"/>
  <c r="S152" i="13"/>
  <c r="S174" i="13"/>
  <c r="S196" i="13"/>
  <c r="S218" i="13"/>
  <c r="R119" i="13"/>
  <c r="R116" i="13"/>
  <c r="R141" i="13"/>
  <c r="R138" i="13"/>
  <c r="R140" i="13" s="1"/>
  <c r="R163" i="13"/>
  <c r="R160" i="13"/>
  <c r="R162" i="13" s="1"/>
  <c r="R185" i="13"/>
  <c r="R182" i="13"/>
  <c r="R184" i="13" s="1"/>
  <c r="R207" i="13"/>
  <c r="R204" i="13"/>
  <c r="R206" i="13" s="1"/>
  <c r="Q119" i="13"/>
  <c r="Q116" i="13"/>
  <c r="Q141" i="13"/>
  <c r="Q138" i="13"/>
  <c r="Q140" i="13" s="1"/>
  <c r="Q163" i="13"/>
  <c r="Q160" i="13"/>
  <c r="Q162" i="13" s="1"/>
  <c r="Q185" i="13"/>
  <c r="Q182" i="13"/>
  <c r="Q184" i="13" s="1"/>
  <c r="Q207" i="13"/>
  <c r="Q204" i="13"/>
  <c r="P119" i="13"/>
  <c r="P116" i="13"/>
  <c r="P118" i="13" s="1"/>
  <c r="P141" i="13"/>
  <c r="P138" i="13"/>
  <c r="P163" i="13"/>
  <c r="P160" i="13"/>
  <c r="P162" i="13" s="1"/>
  <c r="P185" i="13"/>
  <c r="P182" i="13"/>
  <c r="P184" i="13" s="1"/>
  <c r="P207" i="13"/>
  <c r="P204" i="13"/>
  <c r="P206" i="13" s="1"/>
  <c r="N119" i="13"/>
  <c r="N116" i="13"/>
  <c r="N141" i="13"/>
  <c r="N138" i="13"/>
  <c r="N163" i="13"/>
  <c r="N160" i="13"/>
  <c r="N162" i="13" s="1"/>
  <c r="N185" i="13"/>
  <c r="N182" i="13"/>
  <c r="N207" i="13"/>
  <c r="N204" i="13"/>
  <c r="N206" i="13" s="1"/>
  <c r="L185" i="13"/>
  <c r="L182" i="13"/>
  <c r="L184" i="13" s="1"/>
  <c r="L207" i="13"/>
  <c r="L204" i="13"/>
  <c r="L206" i="13" s="1"/>
  <c r="V92" i="13"/>
  <c r="T92" i="13"/>
  <c r="R92" i="13"/>
  <c r="P92" i="13"/>
  <c r="L92" i="13"/>
  <c r="F92" i="13"/>
  <c r="U90" i="13"/>
  <c r="R90" i="13"/>
  <c r="P90" i="13"/>
  <c r="N90" i="13"/>
  <c r="L90" i="13"/>
  <c r="V215" i="13"/>
  <c r="V217" i="13" s="1"/>
  <c r="V218" i="13"/>
  <c r="V193" i="13"/>
  <c r="V195" i="13" s="1"/>
  <c r="V196" i="13"/>
  <c r="V171" i="13"/>
  <c r="V173" i="13" s="1"/>
  <c r="V174" i="13"/>
  <c r="V149" i="13"/>
  <c r="V151" i="13" s="1"/>
  <c r="V152" i="13"/>
  <c r="V127" i="13"/>
  <c r="V129" i="13" s="1"/>
  <c r="V130" i="13"/>
  <c r="U215" i="13"/>
  <c r="U217" i="13" s="1"/>
  <c r="U218" i="13"/>
  <c r="U193" i="13"/>
  <c r="U195" i="13" s="1"/>
  <c r="U196" i="13"/>
  <c r="U171" i="13"/>
  <c r="U173" i="13" s="1"/>
  <c r="U174" i="13"/>
  <c r="U149" i="13"/>
  <c r="U151" i="13" s="1"/>
  <c r="U152" i="13"/>
  <c r="U127" i="13"/>
  <c r="U129" i="13" s="1"/>
  <c r="U130" i="13"/>
  <c r="T215" i="13"/>
  <c r="T217" i="13" s="1"/>
  <c r="T218" i="13"/>
  <c r="T193" i="13"/>
  <c r="T195" i="13" s="1"/>
  <c r="T196" i="13"/>
  <c r="T171" i="13"/>
  <c r="T173" i="13" s="1"/>
  <c r="T174" i="13"/>
  <c r="T149" i="13"/>
  <c r="T151" i="13" s="1"/>
  <c r="T152" i="13"/>
  <c r="T127" i="13"/>
  <c r="T129" i="13" s="1"/>
  <c r="T130" i="13"/>
  <c r="S182" i="13"/>
  <c r="S184" i="13" s="1"/>
  <c r="S138" i="13"/>
  <c r="S140" i="13" s="1"/>
  <c r="O130" i="13"/>
  <c r="O127" i="13"/>
  <c r="O129" i="13" s="1"/>
  <c r="O152" i="13"/>
  <c r="O149" i="13"/>
  <c r="O151" i="13" s="1"/>
  <c r="O174" i="13"/>
  <c r="O171" i="13"/>
  <c r="O173" i="13" s="1"/>
  <c r="O196" i="13"/>
  <c r="O193" i="13"/>
  <c r="O195" i="13" s="1"/>
  <c r="O218" i="13"/>
  <c r="O215" i="13"/>
  <c r="O217" i="13" s="1"/>
  <c r="O92" i="13"/>
  <c r="M130" i="13"/>
  <c r="M127" i="13"/>
  <c r="M129" i="13" s="1"/>
  <c r="M152" i="13"/>
  <c r="M149" i="13"/>
  <c r="M151" i="13" s="1"/>
  <c r="M174" i="13"/>
  <c r="M171" i="13"/>
  <c r="M173" i="13" s="1"/>
  <c r="M196" i="13"/>
  <c r="M193" i="13"/>
  <c r="M195" i="13" s="1"/>
  <c r="M218" i="13"/>
  <c r="M215" i="13"/>
  <c r="M217" i="13" s="1"/>
  <c r="M92" i="13"/>
  <c r="K119" i="13"/>
  <c r="K130" i="13"/>
  <c r="K141" i="13"/>
  <c r="K152" i="13"/>
  <c r="K163" i="13"/>
  <c r="K174" i="13"/>
  <c r="K185" i="13"/>
  <c r="K196" i="13"/>
  <c r="K207" i="13"/>
  <c r="K218" i="13"/>
  <c r="K92" i="13"/>
  <c r="R219" i="13"/>
  <c r="R197" i="13"/>
  <c r="R175" i="13"/>
  <c r="R153" i="13"/>
  <c r="R131" i="13"/>
  <c r="Q219" i="13"/>
  <c r="Q197" i="13"/>
  <c r="Q175" i="13"/>
  <c r="Q153" i="13"/>
  <c r="Q131" i="13"/>
  <c r="P219" i="13"/>
  <c r="P197" i="13"/>
  <c r="P142" i="13"/>
  <c r="CK7" i="8"/>
  <c r="CQ7" i="2"/>
  <c r="CW7" i="2" s="1"/>
  <c r="DC7" i="2" s="1"/>
  <c r="DO7" i="2" s="1"/>
  <c r="CD7" i="2"/>
  <c r="CJ7" i="2" s="1"/>
  <c r="CP7" i="2" s="1"/>
  <c r="CP7" i="4" s="1"/>
  <c r="CS7" i="2"/>
  <c r="CS7" i="8" s="1"/>
  <c r="CM7" i="5"/>
  <c r="CM7" i="8"/>
  <c r="CR7" i="2"/>
  <c r="CX7" i="2" s="1"/>
  <c r="CL7" i="8"/>
  <c r="O184" i="13"/>
  <c r="R118" i="13"/>
  <c r="N195" i="13"/>
  <c r="Q217" i="13"/>
  <c r="Q173" i="13"/>
  <c r="O131" i="13"/>
  <c r="N219" i="13"/>
  <c r="N197" i="13"/>
  <c r="N175" i="13"/>
  <c r="S11" i="13"/>
  <c r="Q11" i="13"/>
  <c r="G8" i="13"/>
  <c r="G11" i="13"/>
  <c r="I96" i="13"/>
  <c r="I98" i="13" s="1"/>
  <c r="I130" i="13"/>
  <c r="I152" i="13"/>
  <c r="I174" i="13"/>
  <c r="I196" i="13"/>
  <c r="I218" i="13"/>
  <c r="I119" i="13"/>
  <c r="I141" i="13"/>
  <c r="I163" i="13"/>
  <c r="I185" i="13"/>
  <c r="I207" i="13"/>
  <c r="I90" i="13"/>
  <c r="I92" i="13"/>
  <c r="I116" i="13"/>
  <c r="I118" i="13" s="1"/>
  <c r="I127" i="13"/>
  <c r="I129" i="13" s="1"/>
  <c r="I138" i="13"/>
  <c r="I140" i="13" s="1"/>
  <c r="I149" i="13"/>
  <c r="I151" i="13" s="1"/>
  <c r="I160" i="13"/>
  <c r="I162" i="13" s="1"/>
  <c r="I171" i="13"/>
  <c r="I173" i="13" s="1"/>
  <c r="I182" i="13"/>
  <c r="I184" i="13" s="1"/>
  <c r="I193" i="13"/>
  <c r="I195" i="13" s="1"/>
  <c r="I204" i="13"/>
  <c r="I206" i="13" s="1"/>
  <c r="I215" i="13"/>
  <c r="I217" i="13" s="1"/>
  <c r="V219" i="13"/>
  <c r="V197" i="13"/>
  <c r="V175" i="13"/>
  <c r="V153" i="13"/>
  <c r="V131" i="13"/>
  <c r="U219" i="13"/>
  <c r="U197" i="13"/>
  <c r="U175" i="13"/>
  <c r="U153" i="13"/>
  <c r="U131" i="13"/>
  <c r="T219" i="13"/>
  <c r="T197" i="13"/>
  <c r="T175" i="13"/>
  <c r="T153" i="13"/>
  <c r="T131" i="13"/>
  <c r="W16" i="13"/>
  <c r="I8" i="13"/>
  <c r="H8" i="13"/>
  <c r="H11" i="13"/>
  <c r="R8" i="13"/>
  <c r="N8" i="13"/>
  <c r="F8" i="13"/>
  <c r="F11" i="13"/>
  <c r="S186" i="13"/>
  <c r="S142" i="13"/>
  <c r="W20" i="13"/>
  <c r="R208" i="13"/>
  <c r="R186" i="13"/>
  <c r="R164" i="13"/>
  <c r="P8" i="13"/>
  <c r="S208" i="13"/>
  <c r="S164" i="13"/>
  <c r="S162" i="13"/>
  <c r="S120" i="13"/>
  <c r="S118" i="13"/>
  <c r="V208" i="13"/>
  <c r="V186" i="13"/>
  <c r="V184" i="13"/>
  <c r="V164" i="13"/>
  <c r="V142" i="13"/>
  <c r="V140" i="13"/>
  <c r="V120" i="13"/>
  <c r="U208" i="13"/>
  <c r="U206" i="13"/>
  <c r="U186" i="13"/>
  <c r="U164" i="13"/>
  <c r="U142" i="13"/>
  <c r="U120" i="13"/>
  <c r="U118" i="13"/>
  <c r="T208" i="13"/>
  <c r="T186" i="13"/>
  <c r="T184" i="13"/>
  <c r="T164" i="13"/>
  <c r="T142" i="13"/>
  <c r="T140" i="13"/>
  <c r="T120" i="13"/>
  <c r="S96" i="13"/>
  <c r="S98" i="13" s="1"/>
  <c r="S89" i="13"/>
  <c r="S141" i="13"/>
  <c r="S149" i="13"/>
  <c r="S151" i="13" s="1"/>
  <c r="S185" i="13"/>
  <c r="S193" i="13"/>
  <c r="S195" i="13" s="1"/>
  <c r="S90" i="13"/>
  <c r="S91" i="13"/>
  <c r="S88" i="13"/>
  <c r="S119" i="13"/>
  <c r="S127" i="13"/>
  <c r="S129" i="13" s="1"/>
  <c r="S163" i="13"/>
  <c r="S171" i="13"/>
  <c r="S173" i="13" s="1"/>
  <c r="S207" i="13"/>
  <c r="S215" i="13"/>
  <c r="S217" i="13" s="1"/>
  <c r="R120" i="13"/>
  <c r="Q206" i="13"/>
  <c r="Q186" i="13"/>
  <c r="Q142" i="13"/>
  <c r="Q118" i="13"/>
  <c r="P208" i="13"/>
  <c r="P164" i="13"/>
  <c r="P140" i="13"/>
  <c r="P120" i="13"/>
  <c r="O186" i="13"/>
  <c r="O162" i="13"/>
  <c r="O142" i="13"/>
  <c r="N208" i="13"/>
  <c r="N184" i="13"/>
  <c r="N164" i="13"/>
  <c r="I208" i="13"/>
  <c r="I164" i="13"/>
  <c r="I120" i="13"/>
  <c r="I88" i="13"/>
  <c r="N151" i="13"/>
  <c r="CM7" i="4"/>
  <c r="CK7" i="5"/>
  <c r="CK7" i="4"/>
  <c r="CG7" i="8"/>
  <c r="CG7" i="5"/>
  <c r="CG7" i="4"/>
  <c r="CE7" i="8"/>
  <c r="CE7" i="5"/>
  <c r="CE7" i="4"/>
  <c r="CA7" i="8"/>
  <c r="CA7" i="5"/>
  <c r="CA7" i="4"/>
  <c r="BY7" i="8"/>
  <c r="BY7" i="5"/>
  <c r="BY7" i="4"/>
  <c r="BU7" i="8"/>
  <c r="BU7" i="5"/>
  <c r="BU7" i="4"/>
  <c r="BS7" i="8"/>
  <c r="BS7" i="5"/>
  <c r="BS7" i="4"/>
  <c r="BO7" i="8"/>
  <c r="BO7" i="5"/>
  <c r="BO7" i="4"/>
  <c r="BM7" i="8"/>
  <c r="BM7" i="5"/>
  <c r="BM7" i="4"/>
  <c r="BI7" i="8"/>
  <c r="BI7" i="5"/>
  <c r="BI7" i="4"/>
  <c r="BG7" i="8"/>
  <c r="BG7" i="5"/>
  <c r="BG7" i="4"/>
  <c r="BC7" i="8"/>
  <c r="BC7" i="5"/>
  <c r="BC7" i="4"/>
  <c r="BA7" i="8"/>
  <c r="BA7" i="5"/>
  <c r="BA7" i="4"/>
  <c r="AW7" i="8"/>
  <c r="AW7" i="5"/>
  <c r="AW7" i="4"/>
  <c r="AU7" i="8"/>
  <c r="AU7" i="5"/>
  <c r="AU7" i="4"/>
  <c r="AQ7" i="8"/>
  <c r="AQ7" i="5"/>
  <c r="AQ7" i="4"/>
  <c r="AO7" i="8"/>
  <c r="AO7" i="5"/>
  <c r="AO7" i="4"/>
  <c r="CL7" i="5"/>
  <c r="CL7" i="4"/>
  <c r="CF7" i="8"/>
  <c r="CF7" i="5"/>
  <c r="CF7" i="4"/>
  <c r="BZ7" i="8"/>
  <c r="BZ7" i="5"/>
  <c r="BZ7" i="4"/>
  <c r="BX7" i="8"/>
  <c r="BX7" i="5"/>
  <c r="BX7" i="4"/>
  <c r="BT7" i="8"/>
  <c r="BT7" i="5"/>
  <c r="BT7" i="4"/>
  <c r="BR7" i="8"/>
  <c r="BR7" i="5"/>
  <c r="BR7" i="4"/>
  <c r="BN7" i="8"/>
  <c r="BN7" i="5"/>
  <c r="BN7" i="4"/>
  <c r="BL7" i="8"/>
  <c r="BL7" i="5"/>
  <c r="BL7" i="4"/>
  <c r="BH7" i="8"/>
  <c r="BH7" i="5"/>
  <c r="BH7" i="4"/>
  <c r="BF7" i="8"/>
  <c r="BF7" i="5"/>
  <c r="BF7" i="4"/>
  <c r="BB7" i="8"/>
  <c r="BB7" i="5"/>
  <c r="BB7" i="4"/>
  <c r="AZ7" i="8"/>
  <c r="AZ7" i="5"/>
  <c r="AZ7" i="4"/>
  <c r="AV7" i="8"/>
  <c r="AV7" i="5"/>
  <c r="AV7" i="4"/>
  <c r="AT7" i="8"/>
  <c r="AT7" i="5"/>
  <c r="AT7" i="4"/>
  <c r="AP7" i="8"/>
  <c r="AP7" i="5"/>
  <c r="AP7" i="4"/>
  <c r="AN7" i="8"/>
  <c r="AN7" i="5"/>
  <c r="AN7" i="4"/>
  <c r="R88" i="13"/>
  <c r="R96" i="13"/>
  <c r="R98" i="13" s="1"/>
  <c r="R89" i="13"/>
  <c r="R91" i="13"/>
  <c r="Q88" i="13"/>
  <c r="Q96" i="13"/>
  <c r="Q98" i="13" s="1"/>
  <c r="Q89" i="13"/>
  <c r="Q91" i="13"/>
  <c r="P88" i="13"/>
  <c r="P96" i="13"/>
  <c r="P98" i="13" s="1"/>
  <c r="P89" i="13"/>
  <c r="P91" i="13"/>
  <c r="N88" i="13"/>
  <c r="N96" i="13"/>
  <c r="N98" i="13" s="1"/>
  <c r="N89" i="13"/>
  <c r="N91" i="13"/>
  <c r="L88" i="13"/>
  <c r="L96" i="13"/>
  <c r="L98" i="13" s="1"/>
  <c r="L89" i="13"/>
  <c r="L91" i="13"/>
  <c r="L116" i="13"/>
  <c r="L118" i="13" s="1"/>
  <c r="L127" i="13"/>
  <c r="L129" i="13" s="1"/>
  <c r="L138" i="13"/>
  <c r="L140" i="13" s="1"/>
  <c r="L149" i="13"/>
  <c r="L151" i="13" s="1"/>
  <c r="L160" i="13"/>
  <c r="L162" i="13" s="1"/>
  <c r="J88" i="13"/>
  <c r="J96" i="13"/>
  <c r="J98" i="13" s="1"/>
  <c r="J89" i="13"/>
  <c r="J91" i="13"/>
  <c r="J116" i="13"/>
  <c r="J118" i="13" s="1"/>
  <c r="J127" i="13"/>
  <c r="J129" i="13" s="1"/>
  <c r="J138" i="13"/>
  <c r="J140" i="13" s="1"/>
  <c r="J149" i="13"/>
  <c r="J151" i="13" s="1"/>
  <c r="J160" i="13"/>
  <c r="J162" i="13" s="1"/>
  <c r="J171" i="13"/>
  <c r="J173" i="13" s="1"/>
  <c r="J182" i="13"/>
  <c r="J184" i="13" s="1"/>
  <c r="J193" i="13"/>
  <c r="J195" i="13" s="1"/>
  <c r="J204" i="13"/>
  <c r="J206" i="13" s="1"/>
  <c r="J215" i="13"/>
  <c r="J217" i="13" s="1"/>
  <c r="H88" i="13"/>
  <c r="H119" i="13"/>
  <c r="H130" i="13"/>
  <c r="H141" i="13"/>
  <c r="H152" i="13"/>
  <c r="H163" i="13"/>
  <c r="H174" i="13"/>
  <c r="H185" i="13"/>
  <c r="H196" i="13"/>
  <c r="H207" i="13"/>
  <c r="H218" i="13"/>
  <c r="H96" i="13"/>
  <c r="H98" i="13" s="1"/>
  <c r="H89" i="13"/>
  <c r="H91" i="13"/>
  <c r="H116" i="13"/>
  <c r="H118" i="13" s="1"/>
  <c r="H127" i="13"/>
  <c r="H129" i="13" s="1"/>
  <c r="H138" i="13"/>
  <c r="H140" i="13" s="1"/>
  <c r="H149" i="13"/>
  <c r="H151" i="13" s="1"/>
  <c r="H160" i="13"/>
  <c r="H162" i="13" s="1"/>
  <c r="H171" i="13"/>
  <c r="H173" i="13" s="1"/>
  <c r="H182" i="13"/>
  <c r="H184" i="13" s="1"/>
  <c r="H193" i="13"/>
  <c r="H195" i="13" s="1"/>
  <c r="H204" i="13"/>
  <c r="H206" i="13" s="1"/>
  <c r="H215" i="13"/>
  <c r="H217" i="13" s="1"/>
  <c r="F88" i="13"/>
  <c r="F119" i="13"/>
  <c r="F130" i="13"/>
  <c r="F141" i="13"/>
  <c r="F152" i="13"/>
  <c r="F163" i="13"/>
  <c r="F174" i="13"/>
  <c r="F185" i="13"/>
  <c r="F196" i="13"/>
  <c r="F207" i="13"/>
  <c r="F218" i="13"/>
  <c r="F96" i="13"/>
  <c r="F98" i="13" s="1"/>
  <c r="F89" i="13"/>
  <c r="F91" i="13"/>
  <c r="F116" i="13"/>
  <c r="F118" i="13" s="1"/>
  <c r="F127" i="13"/>
  <c r="F129" i="13" s="1"/>
  <c r="F138" i="13"/>
  <c r="F140" i="13" s="1"/>
  <c r="F149" i="13"/>
  <c r="F151" i="13" s="1"/>
  <c r="F160" i="13"/>
  <c r="F162" i="13" s="1"/>
  <c r="F171" i="13"/>
  <c r="F173" i="13" s="1"/>
  <c r="F182" i="13"/>
  <c r="F184" i="13" s="1"/>
  <c r="F193" i="13"/>
  <c r="F195" i="13" s="1"/>
  <c r="F204" i="13"/>
  <c r="F206" i="13" s="1"/>
  <c r="F215" i="13"/>
  <c r="F217" i="13" s="1"/>
  <c r="N140" i="13"/>
  <c r="N118" i="13"/>
  <c r="M206" i="13"/>
  <c r="M162" i="13"/>
  <c r="M118" i="13"/>
  <c r="V88" i="13"/>
  <c r="V96" i="13"/>
  <c r="V98" i="13" s="1"/>
  <c r="V89" i="13"/>
  <c r="V91" i="13"/>
  <c r="U88" i="13"/>
  <c r="U96" i="13"/>
  <c r="U98" i="13" s="1"/>
  <c r="U89" i="13"/>
  <c r="U91" i="13"/>
  <c r="T88" i="13"/>
  <c r="T96" i="13"/>
  <c r="T98" i="13" s="1"/>
  <c r="T89" i="13"/>
  <c r="T91" i="13"/>
  <c r="O96" i="13"/>
  <c r="O98" i="13" s="1"/>
  <c r="O89" i="13"/>
  <c r="O91" i="13"/>
  <c r="O88" i="13"/>
  <c r="M96" i="13"/>
  <c r="M98" i="13" s="1"/>
  <c r="M89" i="13"/>
  <c r="M91" i="13"/>
  <c r="M88" i="13"/>
  <c r="K96" i="13"/>
  <c r="K98" i="13" s="1"/>
  <c r="K89" i="13"/>
  <c r="K91" i="13"/>
  <c r="K88" i="13"/>
  <c r="K116" i="13"/>
  <c r="K118" i="13" s="1"/>
  <c r="K127" i="13"/>
  <c r="K129" i="13" s="1"/>
  <c r="K138" i="13"/>
  <c r="K140" i="13" s="1"/>
  <c r="K149" i="13"/>
  <c r="K151" i="13" s="1"/>
  <c r="K160" i="13"/>
  <c r="K162" i="13" s="1"/>
  <c r="K171" i="13"/>
  <c r="K173" i="13" s="1"/>
  <c r="K182" i="13"/>
  <c r="K184" i="13" s="1"/>
  <c r="K193" i="13"/>
  <c r="K195" i="13" s="1"/>
  <c r="K204" i="13"/>
  <c r="K206" i="13" s="1"/>
  <c r="K215" i="13"/>
  <c r="K217" i="13" s="1"/>
  <c r="G96" i="13"/>
  <c r="G98" i="13" s="1"/>
  <c r="G89" i="13"/>
  <c r="G91" i="13"/>
  <c r="G119" i="13"/>
  <c r="G130" i="13"/>
  <c r="G141" i="13"/>
  <c r="G152" i="13"/>
  <c r="G163" i="13"/>
  <c r="G174" i="13"/>
  <c r="G185" i="13"/>
  <c r="G196" i="13"/>
  <c r="G207" i="13"/>
  <c r="G218" i="13"/>
  <c r="G88" i="13"/>
  <c r="G116" i="13"/>
  <c r="G118" i="13" s="1"/>
  <c r="G127" i="13"/>
  <c r="G129" i="13" s="1"/>
  <c r="G138" i="13"/>
  <c r="G140" i="13" s="1"/>
  <c r="G149" i="13"/>
  <c r="G151" i="13" s="1"/>
  <c r="G160" i="13"/>
  <c r="G162" i="13" s="1"/>
  <c r="G171" i="13"/>
  <c r="G173" i="13" s="1"/>
  <c r="G182" i="13"/>
  <c r="G184" i="13" s="1"/>
  <c r="G193" i="13"/>
  <c r="G195" i="13" s="1"/>
  <c r="G204" i="13"/>
  <c r="G206" i="13" s="1"/>
  <c r="G215" i="13"/>
  <c r="G217" i="13" s="1"/>
  <c r="I91" i="13"/>
  <c r="I89" i="13"/>
  <c r="GT14" i="5" l="1"/>
  <c r="O11" i="13"/>
  <c r="DO7" i="5"/>
  <c r="DO7" i="8"/>
  <c r="DU7" i="2"/>
  <c r="DU7" i="5" s="1"/>
  <c r="DO7" i="4"/>
  <c r="CR7" i="8"/>
  <c r="CJ7" i="4"/>
  <c r="CD7" i="8"/>
  <c r="CJ7" i="5"/>
  <c r="CD7" i="4"/>
  <c r="CJ7" i="8"/>
  <c r="CP7" i="5"/>
  <c r="CD7" i="5"/>
  <c r="V11" i="13"/>
  <c r="Q8" i="13"/>
  <c r="V8" i="13"/>
  <c r="O8" i="13"/>
  <c r="S8" i="13"/>
  <c r="K11" i="13"/>
  <c r="DD7" i="2"/>
  <c r="CX7" i="8"/>
  <c r="CY7" i="2"/>
  <c r="CY7" i="8" s="1"/>
  <c r="DC7" i="5"/>
  <c r="CQ7" i="5"/>
  <c r="CR7" i="4"/>
  <c r="CX7" i="5"/>
  <c r="CS7" i="4"/>
  <c r="CW7" i="5"/>
  <c r="DI7" i="5"/>
  <c r="CR7" i="5"/>
  <c r="CQ7" i="4"/>
  <c r="CS7" i="5"/>
  <c r="CW7" i="8"/>
  <c r="DC7" i="4"/>
  <c r="DI7" i="8"/>
  <c r="CX7" i="4"/>
  <c r="CQ7" i="8"/>
  <c r="CW7" i="4"/>
  <c r="DC7" i="8"/>
  <c r="DI7" i="4"/>
  <c r="CV7" i="2"/>
  <c r="CP7" i="8"/>
  <c r="S100" i="13"/>
  <c r="S187" i="13" s="1"/>
  <c r="T100" i="13"/>
  <c r="T187" i="13" s="1"/>
  <c r="T188" i="13" s="1"/>
  <c r="T189" i="13" s="1"/>
  <c r="T190" i="13" s="1"/>
  <c r="T191" i="13" s="1"/>
  <c r="W8" i="13"/>
  <c r="W10" i="13" s="1"/>
  <c r="W11" i="13"/>
  <c r="I100" i="13"/>
  <c r="I198" i="13" s="1"/>
  <c r="I199" i="13" s="1"/>
  <c r="I200" i="13" s="1"/>
  <c r="I201" i="13" s="1"/>
  <c r="I202" i="13" s="1"/>
  <c r="S95" i="13"/>
  <c r="S18" i="13"/>
  <c r="S20" i="13" s="1"/>
  <c r="R11" i="13"/>
  <c r="T8" i="13"/>
  <c r="T11" i="13"/>
  <c r="U8" i="13"/>
  <c r="U11" i="13"/>
  <c r="P11" i="13"/>
  <c r="N11" i="13"/>
  <c r="I18" i="13"/>
  <c r="I20" i="13" s="1"/>
  <c r="I95" i="13"/>
  <c r="T95" i="13"/>
  <c r="T101" i="13" s="1"/>
  <c r="T102" i="13" s="1"/>
  <c r="T18" i="13"/>
  <c r="T20" i="13" s="1"/>
  <c r="U95" i="13"/>
  <c r="U18" i="13"/>
  <c r="U20" i="13" s="1"/>
  <c r="V95" i="13"/>
  <c r="V18" i="13"/>
  <c r="V20" i="13" s="1"/>
  <c r="L95" i="13"/>
  <c r="L18" i="13"/>
  <c r="L20" i="13" s="1"/>
  <c r="N95" i="13"/>
  <c r="N18" i="13"/>
  <c r="N20" i="13" s="1"/>
  <c r="P95" i="13"/>
  <c r="P18" i="13"/>
  <c r="P20" i="13" s="1"/>
  <c r="Q95" i="13"/>
  <c r="Q18" i="13"/>
  <c r="Q20" i="13" s="1"/>
  <c r="R95" i="13"/>
  <c r="R18" i="13"/>
  <c r="R20" i="13" s="1"/>
  <c r="G100" i="13"/>
  <c r="G198" i="13" s="1"/>
  <c r="K100" i="13"/>
  <c r="M100" i="13"/>
  <c r="O100" i="13"/>
  <c r="F100" i="13"/>
  <c r="F209" i="13" s="1"/>
  <c r="H100" i="13"/>
  <c r="H187" i="13" s="1"/>
  <c r="J100" i="13"/>
  <c r="T176" i="13"/>
  <c r="T220" i="13"/>
  <c r="T209" i="13"/>
  <c r="G18" i="13"/>
  <c r="G20" i="13" s="1"/>
  <c r="G95" i="13"/>
  <c r="K18" i="13"/>
  <c r="K20" i="13" s="1"/>
  <c r="K95" i="13"/>
  <c r="M18" i="13"/>
  <c r="M20" i="13" s="1"/>
  <c r="M95" i="13"/>
  <c r="O18" i="13"/>
  <c r="O20" i="13" s="1"/>
  <c r="O95" i="13"/>
  <c r="F95" i="13"/>
  <c r="F18" i="13"/>
  <c r="F20" i="13" s="1"/>
  <c r="H95" i="13"/>
  <c r="H18" i="13"/>
  <c r="H20" i="13" s="1"/>
  <c r="J95" i="13"/>
  <c r="J18" i="13"/>
  <c r="J20" i="13" s="1"/>
  <c r="U100" i="13"/>
  <c r="V100" i="13"/>
  <c r="L100" i="13"/>
  <c r="N100" i="13"/>
  <c r="P100" i="13"/>
  <c r="Q100" i="13"/>
  <c r="R100" i="13"/>
  <c r="T154" i="13"/>
  <c r="T198" i="13"/>
  <c r="T143" i="13"/>
  <c r="F220" i="13" l="1"/>
  <c r="T165" i="13"/>
  <c r="T132" i="13"/>
  <c r="T133" i="13" s="1"/>
  <c r="T134" i="13" s="1"/>
  <c r="T135" i="13" s="1"/>
  <c r="T136" i="13" s="1"/>
  <c r="F132" i="13"/>
  <c r="F133" i="13" s="1"/>
  <c r="F134" i="13" s="1"/>
  <c r="F135" i="13" s="1"/>
  <c r="F136" i="13" s="1"/>
  <c r="T121" i="13"/>
  <c r="F176" i="13"/>
  <c r="GU14" i="5"/>
  <c r="DU7" i="4"/>
  <c r="I101" i="13"/>
  <c r="I102" i="13" s="1"/>
  <c r="I104" i="13" s="1"/>
  <c r="S209" i="13"/>
  <c r="S176" i="13"/>
  <c r="S177" i="13" s="1"/>
  <c r="S178" i="13" s="1"/>
  <c r="S179" i="13" s="1"/>
  <c r="S180" i="13" s="1"/>
  <c r="T104" i="13"/>
  <c r="T9" i="13" s="1"/>
  <c r="S198" i="13"/>
  <c r="S199" i="13" s="1"/>
  <c r="S200" i="13" s="1"/>
  <c r="S201" i="13" s="1"/>
  <c r="S202" i="13" s="1"/>
  <c r="S143" i="13"/>
  <c r="I220" i="13"/>
  <c r="I221" i="13" s="1"/>
  <c r="I222" i="13" s="1"/>
  <c r="I223" i="13" s="1"/>
  <c r="I224" i="13" s="1"/>
  <c r="S121" i="13"/>
  <c r="S122" i="13" s="1"/>
  <c r="S123" i="13" s="1"/>
  <c r="S124" i="13" s="1"/>
  <c r="I154" i="13"/>
  <c r="I155" i="13" s="1"/>
  <c r="I156" i="13" s="1"/>
  <c r="I157" i="13" s="1"/>
  <c r="I158" i="13" s="1"/>
  <c r="I187" i="13"/>
  <c r="I188" i="13" s="1"/>
  <c r="I189" i="13" s="1"/>
  <c r="I190" i="13" s="1"/>
  <c r="I191" i="13" s="1"/>
  <c r="I165" i="13"/>
  <c r="I166" i="13" s="1"/>
  <c r="I167" i="13" s="1"/>
  <c r="I168" i="13" s="1"/>
  <c r="I169" i="13" s="1"/>
  <c r="DJ7" i="8"/>
  <c r="DP7" i="2"/>
  <c r="M8" i="13"/>
  <c r="H198" i="13"/>
  <c r="H199" i="13" s="1"/>
  <c r="H200" i="13" s="1"/>
  <c r="H201" i="13" s="1"/>
  <c r="H202" i="13" s="1"/>
  <c r="I132" i="13"/>
  <c r="I133" i="13" s="1"/>
  <c r="I134" i="13" s="1"/>
  <c r="I135" i="13" s="1"/>
  <c r="I136" i="13" s="1"/>
  <c r="S101" i="13"/>
  <c r="S102" i="13" s="1"/>
  <c r="S104" i="13" s="1"/>
  <c r="S220" i="13"/>
  <c r="S132" i="13"/>
  <c r="S133" i="13" s="1"/>
  <c r="S134" i="13" s="1"/>
  <c r="S135" i="13" s="1"/>
  <c r="S136" i="13" s="1"/>
  <c r="S165" i="13"/>
  <c r="S154" i="13"/>
  <c r="S155" i="13" s="1"/>
  <c r="S156" i="13" s="1"/>
  <c r="S157" i="13" s="1"/>
  <c r="S158" i="13" s="1"/>
  <c r="K101" i="13"/>
  <c r="K102" i="13" s="1"/>
  <c r="CY7" i="5"/>
  <c r="F154" i="13"/>
  <c r="F155" i="13" s="1"/>
  <c r="F156" i="13" s="1"/>
  <c r="F157" i="13" s="1"/>
  <c r="F158" i="13" s="1"/>
  <c r="F198" i="13"/>
  <c r="G143" i="13"/>
  <c r="K8" i="13"/>
  <c r="DJ7" i="4"/>
  <c r="M11" i="13"/>
  <c r="H154" i="13"/>
  <c r="H155" i="13" s="1"/>
  <c r="H156" i="13" s="1"/>
  <c r="H157" i="13" s="1"/>
  <c r="H158" i="13" s="1"/>
  <c r="G187" i="13"/>
  <c r="G188" i="13" s="1"/>
  <c r="G189" i="13" s="1"/>
  <c r="G190" i="13" s="1"/>
  <c r="G191" i="13" s="1"/>
  <c r="I143" i="13"/>
  <c r="I144" i="13" s="1"/>
  <c r="I145" i="13" s="1"/>
  <c r="I146" i="13" s="1"/>
  <c r="I147" i="13" s="1"/>
  <c r="I176" i="13"/>
  <c r="I209" i="13"/>
  <c r="I210" i="13" s="1"/>
  <c r="I211" i="13" s="1"/>
  <c r="I212" i="13" s="1"/>
  <c r="I213" i="13" s="1"/>
  <c r="I121" i="13"/>
  <c r="I122" i="13" s="1"/>
  <c r="I123" i="13" s="1"/>
  <c r="I124" i="13" s="1"/>
  <c r="DD7" i="5"/>
  <c r="DJ7" i="5"/>
  <c r="H132" i="13"/>
  <c r="H133" i="13" s="1"/>
  <c r="H134" i="13" s="1"/>
  <c r="H135" i="13" s="1"/>
  <c r="H136" i="13" s="1"/>
  <c r="H176" i="13"/>
  <c r="H177" i="13" s="1"/>
  <c r="H178" i="13" s="1"/>
  <c r="H179" i="13" s="1"/>
  <c r="H180" i="13" s="1"/>
  <c r="H220" i="13"/>
  <c r="H221" i="13" s="1"/>
  <c r="H222" i="13" s="1"/>
  <c r="H223" i="13" s="1"/>
  <c r="H224" i="13" s="1"/>
  <c r="G121" i="13"/>
  <c r="G122" i="13" s="1"/>
  <c r="G123" i="13" s="1"/>
  <c r="G124" i="13" s="1"/>
  <c r="G165" i="13"/>
  <c r="G166" i="13" s="1"/>
  <c r="G167" i="13" s="1"/>
  <c r="G168" i="13" s="1"/>
  <c r="G169" i="13" s="1"/>
  <c r="G209" i="13"/>
  <c r="M101" i="13"/>
  <c r="M102" i="13" s="1"/>
  <c r="G101" i="13"/>
  <c r="G102" i="13" s="1"/>
  <c r="DD7" i="8"/>
  <c r="DD7" i="4"/>
  <c r="DE7" i="2"/>
  <c r="CY7" i="4"/>
  <c r="DB7" i="2"/>
  <c r="CV7" i="5"/>
  <c r="CV7" i="4"/>
  <c r="CV7" i="8"/>
  <c r="EA7" i="2"/>
  <c r="DU7" i="8"/>
  <c r="J101" i="13"/>
  <c r="J102" i="13" s="1"/>
  <c r="F101" i="13"/>
  <c r="F102" i="13" s="1"/>
  <c r="H165" i="13"/>
  <c r="H166" i="13" s="1"/>
  <c r="H167" i="13" s="1"/>
  <c r="H168" i="13" s="1"/>
  <c r="H169" i="13" s="1"/>
  <c r="O101" i="13"/>
  <c r="O102" i="13" s="1"/>
  <c r="F165" i="13"/>
  <c r="F166" i="13" s="1"/>
  <c r="F167" i="13" s="1"/>
  <c r="F168" i="13" s="1"/>
  <c r="F169" i="13" s="1"/>
  <c r="W12" i="13"/>
  <c r="F143" i="13"/>
  <c r="F144" i="13" s="1"/>
  <c r="F145" i="13" s="1"/>
  <c r="F146" i="13" s="1"/>
  <c r="F147" i="13" s="1"/>
  <c r="H209" i="13"/>
  <c r="H210" i="13" s="1"/>
  <c r="H211" i="13" s="1"/>
  <c r="H212" i="13" s="1"/>
  <c r="H213" i="13" s="1"/>
  <c r="H101" i="13"/>
  <c r="H102" i="13" s="1"/>
  <c r="F187" i="13"/>
  <c r="F188" i="13" s="1"/>
  <c r="F189" i="13" s="1"/>
  <c r="F190" i="13" s="1"/>
  <c r="F191" i="13" s="1"/>
  <c r="J8" i="13"/>
  <c r="J11" i="13"/>
  <c r="H121" i="13"/>
  <c r="H122" i="13" s="1"/>
  <c r="H123" i="13" s="1"/>
  <c r="H124" i="13" s="1"/>
  <c r="F121" i="13"/>
  <c r="F122" i="13" s="1"/>
  <c r="F123" i="13" s="1"/>
  <c r="F124" i="13" s="1"/>
  <c r="L8" i="13"/>
  <c r="L11" i="13"/>
  <c r="H188" i="13"/>
  <c r="H189" i="13" s="1"/>
  <c r="H190" i="13" s="1"/>
  <c r="H191" i="13" s="1"/>
  <c r="G199" i="13"/>
  <c r="G200" i="13" s="1"/>
  <c r="G201" i="13" s="1"/>
  <c r="G202" i="13" s="1"/>
  <c r="T144" i="13"/>
  <c r="T145" i="13" s="1"/>
  <c r="T146" i="13" s="1"/>
  <c r="T147" i="13" s="1"/>
  <c r="T155" i="13"/>
  <c r="T156" i="13" s="1"/>
  <c r="T157" i="13" s="1"/>
  <c r="T158" i="13" s="1"/>
  <c r="S166" i="13"/>
  <c r="S167" i="13" s="1"/>
  <c r="S168" i="13" s="1"/>
  <c r="S169" i="13" s="1"/>
  <c r="F199" i="13"/>
  <c r="F200" i="13" s="1"/>
  <c r="F201" i="13" s="1"/>
  <c r="F202" i="13" s="1"/>
  <c r="V187" i="13"/>
  <c r="V143" i="13"/>
  <c r="V198" i="13"/>
  <c r="V154" i="13"/>
  <c r="V209" i="13"/>
  <c r="V165" i="13"/>
  <c r="V121" i="13"/>
  <c r="V220" i="13"/>
  <c r="V176" i="13"/>
  <c r="V132" i="13"/>
  <c r="U220" i="13"/>
  <c r="U176" i="13"/>
  <c r="U132" i="13"/>
  <c r="U209" i="13"/>
  <c r="U165" i="13"/>
  <c r="U121" i="13"/>
  <c r="U198" i="13"/>
  <c r="U154" i="13"/>
  <c r="U187" i="13"/>
  <c r="U143" i="13"/>
  <c r="G210" i="13"/>
  <c r="G211" i="13" s="1"/>
  <c r="G212" i="13" s="1"/>
  <c r="G213" i="13" s="1"/>
  <c r="T166" i="13"/>
  <c r="T167" i="13" s="1"/>
  <c r="T168" i="13" s="1"/>
  <c r="T169" i="13" s="1"/>
  <c r="T221" i="13"/>
  <c r="T222" i="13" s="1"/>
  <c r="T223" i="13" s="1"/>
  <c r="T224" i="13" s="1"/>
  <c r="S144" i="13"/>
  <c r="S145" i="13" s="1"/>
  <c r="S146" i="13" s="1"/>
  <c r="S147" i="13" s="1"/>
  <c r="J209" i="13"/>
  <c r="J187" i="13"/>
  <c r="J165" i="13"/>
  <c r="J143" i="13"/>
  <c r="J121" i="13"/>
  <c r="J220" i="13"/>
  <c r="J198" i="13"/>
  <c r="J176" i="13"/>
  <c r="J154" i="13"/>
  <c r="J132" i="13"/>
  <c r="F210" i="13"/>
  <c r="F211" i="13" s="1"/>
  <c r="F212" i="13" s="1"/>
  <c r="F213" i="13" s="1"/>
  <c r="I177" i="13"/>
  <c r="I178" i="13" s="1"/>
  <c r="I179" i="13" s="1"/>
  <c r="I180" i="13" s="1"/>
  <c r="H143" i="13"/>
  <c r="K104" i="13"/>
  <c r="G132" i="13"/>
  <c r="G176" i="13"/>
  <c r="G220" i="13"/>
  <c r="S221" i="13"/>
  <c r="S222" i="13" s="1"/>
  <c r="S223" i="13" s="1"/>
  <c r="S224" i="13" s="1"/>
  <c r="T199" i="13"/>
  <c r="T200" i="13" s="1"/>
  <c r="T201" i="13" s="1"/>
  <c r="T202" i="13" s="1"/>
  <c r="S210" i="13"/>
  <c r="S211" i="13" s="1"/>
  <c r="S212" i="13" s="1"/>
  <c r="S213" i="13" s="1"/>
  <c r="R187" i="13"/>
  <c r="R132" i="13"/>
  <c r="R198" i="13"/>
  <c r="R154" i="13"/>
  <c r="R121" i="13"/>
  <c r="R209" i="13"/>
  <c r="R165" i="13"/>
  <c r="R220" i="13"/>
  <c r="R176" i="13"/>
  <c r="R143" i="13"/>
  <c r="Q198" i="13"/>
  <c r="Q154" i="13"/>
  <c r="Q187" i="13"/>
  <c r="Q143" i="13"/>
  <c r="Q220" i="13"/>
  <c r="Q176" i="13"/>
  <c r="Q132" i="13"/>
  <c r="Q209" i="13"/>
  <c r="Q165" i="13"/>
  <c r="Q121" i="13"/>
  <c r="P220" i="13"/>
  <c r="P176" i="13"/>
  <c r="P132" i="13"/>
  <c r="P209" i="13"/>
  <c r="P165" i="13"/>
  <c r="P121" i="13"/>
  <c r="P198" i="13"/>
  <c r="P154" i="13"/>
  <c r="P187" i="13"/>
  <c r="P143" i="13"/>
  <c r="N121" i="13"/>
  <c r="N132" i="13"/>
  <c r="N143" i="13"/>
  <c r="N154" i="13"/>
  <c r="N220" i="13"/>
  <c r="N176" i="13"/>
  <c r="N209" i="13"/>
  <c r="N165" i="13"/>
  <c r="N198" i="13"/>
  <c r="N187" i="13"/>
  <c r="L187" i="13"/>
  <c r="L198" i="13"/>
  <c r="L209" i="13"/>
  <c r="L220" i="13"/>
  <c r="L165" i="13"/>
  <c r="L143" i="13"/>
  <c r="L121" i="13"/>
  <c r="L176" i="13"/>
  <c r="L154" i="13"/>
  <c r="L132" i="13"/>
  <c r="F177" i="13"/>
  <c r="F178" i="13" s="1"/>
  <c r="F179" i="13" s="1"/>
  <c r="F180" i="13" s="1"/>
  <c r="F221" i="13"/>
  <c r="F222" i="13" s="1"/>
  <c r="F223" i="13" s="1"/>
  <c r="F224" i="13" s="1"/>
  <c r="G144" i="13"/>
  <c r="G145" i="13" s="1"/>
  <c r="G146" i="13" s="1"/>
  <c r="G147" i="13" s="1"/>
  <c r="T210" i="13"/>
  <c r="T211" i="13" s="1"/>
  <c r="T212" i="13" s="1"/>
  <c r="T213" i="13" s="1"/>
  <c r="T122" i="13"/>
  <c r="T123" i="13" s="1"/>
  <c r="T124" i="13" s="1"/>
  <c r="T177" i="13"/>
  <c r="T178" i="13" s="1"/>
  <c r="T179" i="13" s="1"/>
  <c r="T180" i="13" s="1"/>
  <c r="S188" i="13"/>
  <c r="S189" i="13" s="1"/>
  <c r="S190" i="13" s="1"/>
  <c r="S191" i="13" s="1"/>
  <c r="O198" i="13"/>
  <c r="O154" i="13"/>
  <c r="O187" i="13"/>
  <c r="O143" i="13"/>
  <c r="O220" i="13"/>
  <c r="O176" i="13"/>
  <c r="O132" i="13"/>
  <c r="O209" i="13"/>
  <c r="O165" i="13"/>
  <c r="O121" i="13"/>
  <c r="M121" i="13"/>
  <c r="M132" i="13"/>
  <c r="M143" i="13"/>
  <c r="M154" i="13"/>
  <c r="M165" i="13"/>
  <c r="M176" i="13"/>
  <c r="M187" i="13"/>
  <c r="M198" i="13"/>
  <c r="M209" i="13"/>
  <c r="M220" i="13"/>
  <c r="K209" i="13"/>
  <c r="K187" i="13"/>
  <c r="K165" i="13"/>
  <c r="K143" i="13"/>
  <c r="K121" i="13"/>
  <c r="K220" i="13"/>
  <c r="K198" i="13"/>
  <c r="K176" i="13"/>
  <c r="K154" i="13"/>
  <c r="K132" i="13"/>
  <c r="G154" i="13"/>
  <c r="R101" i="13"/>
  <c r="Q101" i="13"/>
  <c r="P101" i="13"/>
  <c r="N101" i="13"/>
  <c r="L101" i="13"/>
  <c r="V101" i="13"/>
  <c r="U101" i="13"/>
  <c r="H104" i="13" l="1"/>
  <c r="DU33" i="8"/>
  <c r="DU35" i="8" s="1"/>
  <c r="GV14" i="5"/>
  <c r="GX14" i="5"/>
  <c r="DU28" i="8"/>
  <c r="EA7" i="34"/>
  <c r="EA7" i="8"/>
  <c r="EA33" i="8" s="1"/>
  <c r="T15" i="13"/>
  <c r="T16" i="13" s="1"/>
  <c r="G104" i="13"/>
  <c r="G15" i="13" s="1"/>
  <c r="G16" i="13" s="1"/>
  <c r="DP7" i="5"/>
  <c r="DP7" i="8"/>
  <c r="DV7" i="2"/>
  <c r="DV7" i="8" s="1"/>
  <c r="DV33" i="8" s="1"/>
  <c r="DV35" i="8" s="1"/>
  <c r="DP7" i="4"/>
  <c r="F104" i="13"/>
  <c r="F9" i="13" s="1"/>
  <c r="F10" i="13" s="1"/>
  <c r="F12" i="13" s="1"/>
  <c r="M104" i="13"/>
  <c r="M15" i="13" s="1"/>
  <c r="M16" i="13" s="1"/>
  <c r="S15" i="13"/>
  <c r="S16" i="13" s="1"/>
  <c r="S9" i="13"/>
  <c r="S10" i="13" s="1"/>
  <c r="S12" i="13" s="1"/>
  <c r="J104" i="13"/>
  <c r="J15" i="13" s="1"/>
  <c r="J16" i="13" s="1"/>
  <c r="O104" i="13"/>
  <c r="O9" i="13" s="1"/>
  <c r="DQ7" i="2"/>
  <c r="DE7" i="4"/>
  <c r="DE7" i="8"/>
  <c r="DE7" i="5"/>
  <c r="DN7" i="2"/>
  <c r="DB7" i="4"/>
  <c r="DB7" i="8"/>
  <c r="DB7" i="5"/>
  <c r="EG7" i="2"/>
  <c r="EG7" i="34" s="1"/>
  <c r="EA7" i="4"/>
  <c r="EA7" i="5"/>
  <c r="F125" i="13"/>
  <c r="F112" i="13" s="1"/>
  <c r="F23" i="13" s="1"/>
  <c r="F24" i="13" s="1"/>
  <c r="F111" i="13"/>
  <c r="I125" i="13"/>
  <c r="I112" i="13" s="1"/>
  <c r="I23" i="13" s="1"/>
  <c r="I111" i="13"/>
  <c r="H125" i="13"/>
  <c r="T125" i="13"/>
  <c r="T112" i="13" s="1"/>
  <c r="T23" i="13" s="1"/>
  <c r="T111" i="13"/>
  <c r="S125" i="13"/>
  <c r="S112" i="13" s="1"/>
  <c r="S23" i="13" s="1"/>
  <c r="S111" i="13"/>
  <c r="V102" i="13"/>
  <c r="V104" i="13" s="1"/>
  <c r="N102" i="13"/>
  <c r="N104" i="13" s="1"/>
  <c r="Q102" i="13"/>
  <c r="Q104" i="13" s="1"/>
  <c r="G155" i="13"/>
  <c r="G156" i="13" s="1"/>
  <c r="G157" i="13" s="1"/>
  <c r="G158" i="13" s="1"/>
  <c r="K133" i="13"/>
  <c r="K134" i="13" s="1"/>
  <c r="K135" i="13" s="1"/>
  <c r="K136" i="13" s="1"/>
  <c r="K177" i="13"/>
  <c r="K178" i="13" s="1"/>
  <c r="K179" i="13" s="1"/>
  <c r="K180" i="13" s="1"/>
  <c r="K221" i="13"/>
  <c r="K222" i="13" s="1"/>
  <c r="K223" i="13" s="1"/>
  <c r="K224" i="13" s="1"/>
  <c r="K144" i="13"/>
  <c r="K145" i="13" s="1"/>
  <c r="K146" i="13" s="1"/>
  <c r="K147" i="13" s="1"/>
  <c r="K188" i="13"/>
  <c r="K189" i="13" s="1"/>
  <c r="K190" i="13" s="1"/>
  <c r="K191" i="13" s="1"/>
  <c r="M221" i="13"/>
  <c r="M222" i="13" s="1"/>
  <c r="M223" i="13" s="1"/>
  <c r="M224" i="13" s="1"/>
  <c r="M199" i="13"/>
  <c r="M200" i="13" s="1"/>
  <c r="M201" i="13" s="1"/>
  <c r="M202" i="13" s="1"/>
  <c r="M177" i="13"/>
  <c r="M178" i="13" s="1"/>
  <c r="M179" i="13" s="1"/>
  <c r="M180" i="13" s="1"/>
  <c r="M155" i="13"/>
  <c r="M156" i="13" s="1"/>
  <c r="M157" i="13" s="1"/>
  <c r="M158" i="13" s="1"/>
  <c r="M133" i="13"/>
  <c r="M134" i="13" s="1"/>
  <c r="M135" i="13" s="1"/>
  <c r="M136" i="13" s="1"/>
  <c r="O122" i="13"/>
  <c r="O123" i="13" s="1"/>
  <c r="O124" i="13" s="1"/>
  <c r="O210" i="13"/>
  <c r="O211" i="13" s="1"/>
  <c r="O212" i="13" s="1"/>
  <c r="O213" i="13" s="1"/>
  <c r="O177" i="13"/>
  <c r="O178" i="13" s="1"/>
  <c r="O179" i="13" s="1"/>
  <c r="O180" i="13" s="1"/>
  <c r="O144" i="13"/>
  <c r="O145" i="13" s="1"/>
  <c r="O146" i="13" s="1"/>
  <c r="O147" i="13" s="1"/>
  <c r="O155" i="13"/>
  <c r="O156" i="13" s="1"/>
  <c r="O157" i="13" s="1"/>
  <c r="O158" i="13" s="1"/>
  <c r="T10" i="13"/>
  <c r="T12" i="13" s="1"/>
  <c r="L155" i="13"/>
  <c r="L156" i="13" s="1"/>
  <c r="L157" i="13" s="1"/>
  <c r="L158" i="13" s="1"/>
  <c r="L122" i="13"/>
  <c r="L123" i="13" s="1"/>
  <c r="L124" i="13" s="1"/>
  <c r="L166" i="13"/>
  <c r="L167" i="13" s="1"/>
  <c r="L168" i="13" s="1"/>
  <c r="L169" i="13" s="1"/>
  <c r="L210" i="13"/>
  <c r="L211" i="13" s="1"/>
  <c r="L212" i="13" s="1"/>
  <c r="L213" i="13" s="1"/>
  <c r="L188" i="13"/>
  <c r="L189" i="13" s="1"/>
  <c r="L190" i="13" s="1"/>
  <c r="L191" i="13" s="1"/>
  <c r="N199" i="13"/>
  <c r="N200" i="13" s="1"/>
  <c r="N201" i="13" s="1"/>
  <c r="N202" i="13" s="1"/>
  <c r="N210" i="13"/>
  <c r="N211" i="13" s="1"/>
  <c r="N212" i="13" s="1"/>
  <c r="N213" i="13" s="1"/>
  <c r="N221" i="13"/>
  <c r="N222" i="13" s="1"/>
  <c r="N223" i="13" s="1"/>
  <c r="N224" i="13" s="1"/>
  <c r="N144" i="13"/>
  <c r="N145" i="13" s="1"/>
  <c r="N146" i="13" s="1"/>
  <c r="N147" i="13" s="1"/>
  <c r="N122" i="13"/>
  <c r="N123" i="13" s="1"/>
  <c r="N124" i="13" s="1"/>
  <c r="P188" i="13"/>
  <c r="P189" i="13" s="1"/>
  <c r="P190" i="13" s="1"/>
  <c r="P191" i="13" s="1"/>
  <c r="P199" i="13"/>
  <c r="P200" i="13" s="1"/>
  <c r="P201" i="13" s="1"/>
  <c r="P202" i="13" s="1"/>
  <c r="P166" i="13"/>
  <c r="P167" i="13" s="1"/>
  <c r="P168" i="13" s="1"/>
  <c r="P169" i="13" s="1"/>
  <c r="P133" i="13"/>
  <c r="P134" i="13" s="1"/>
  <c r="P135" i="13" s="1"/>
  <c r="P136" i="13" s="1"/>
  <c r="P221" i="13"/>
  <c r="P222" i="13" s="1"/>
  <c r="P223" i="13" s="1"/>
  <c r="P224" i="13" s="1"/>
  <c r="Q166" i="13"/>
  <c r="Q167" i="13" s="1"/>
  <c r="Q168" i="13" s="1"/>
  <c r="Q169" i="13" s="1"/>
  <c r="Q133" i="13"/>
  <c r="Q134" i="13" s="1"/>
  <c r="Q135" i="13" s="1"/>
  <c r="Q136" i="13" s="1"/>
  <c r="Q221" i="13"/>
  <c r="Q222" i="13" s="1"/>
  <c r="Q223" i="13" s="1"/>
  <c r="Q224" i="13" s="1"/>
  <c r="Q188" i="13"/>
  <c r="Q189" i="13" s="1"/>
  <c r="Q190" i="13" s="1"/>
  <c r="Q191" i="13" s="1"/>
  <c r="Q199" i="13"/>
  <c r="Q200" i="13" s="1"/>
  <c r="Q201" i="13" s="1"/>
  <c r="Q202" i="13" s="1"/>
  <c r="R177" i="13"/>
  <c r="R178" i="13" s="1"/>
  <c r="R179" i="13" s="1"/>
  <c r="R180" i="13" s="1"/>
  <c r="R166" i="13"/>
  <c r="R167" i="13" s="1"/>
  <c r="R168" i="13" s="1"/>
  <c r="R169" i="13" s="1"/>
  <c r="R122" i="13"/>
  <c r="R123" i="13" s="1"/>
  <c r="R124" i="13" s="1"/>
  <c r="R199" i="13"/>
  <c r="R200" i="13" s="1"/>
  <c r="R201" i="13" s="1"/>
  <c r="R202" i="13" s="1"/>
  <c r="R188" i="13"/>
  <c r="R189" i="13" s="1"/>
  <c r="R190" i="13" s="1"/>
  <c r="R191" i="13" s="1"/>
  <c r="G221" i="13"/>
  <c r="G222" i="13" s="1"/>
  <c r="G223" i="13" s="1"/>
  <c r="G224" i="13" s="1"/>
  <c r="G133" i="13"/>
  <c r="G134" i="13" s="1"/>
  <c r="G135" i="13" s="1"/>
  <c r="K15" i="13"/>
  <c r="K16" i="13" s="1"/>
  <c r="K9" i="13"/>
  <c r="H144" i="13"/>
  <c r="H145" i="13" s="1"/>
  <c r="H146" i="13" s="1"/>
  <c r="J133" i="13"/>
  <c r="J134" i="13" s="1"/>
  <c r="J135" i="13" s="1"/>
  <c r="J136" i="13" s="1"/>
  <c r="J177" i="13"/>
  <c r="J178" i="13" s="1"/>
  <c r="J179" i="13" s="1"/>
  <c r="J180" i="13" s="1"/>
  <c r="J221" i="13"/>
  <c r="J222" i="13" s="1"/>
  <c r="J223" i="13" s="1"/>
  <c r="J224" i="13" s="1"/>
  <c r="J144" i="13"/>
  <c r="J145" i="13" s="1"/>
  <c r="J146" i="13" s="1"/>
  <c r="J147" i="13" s="1"/>
  <c r="J188" i="13"/>
  <c r="J189" i="13" s="1"/>
  <c r="J190" i="13" s="1"/>
  <c r="J191" i="13" s="1"/>
  <c r="U188" i="13"/>
  <c r="U189" i="13" s="1"/>
  <c r="U190" i="13" s="1"/>
  <c r="U191" i="13" s="1"/>
  <c r="U199" i="13"/>
  <c r="U200" i="13" s="1"/>
  <c r="U201" i="13" s="1"/>
  <c r="U202" i="13" s="1"/>
  <c r="U166" i="13"/>
  <c r="U167" i="13" s="1"/>
  <c r="U168" i="13" s="1"/>
  <c r="U169" i="13" s="1"/>
  <c r="U133" i="13"/>
  <c r="U134" i="13" s="1"/>
  <c r="U135" i="13" s="1"/>
  <c r="U136" i="13" s="1"/>
  <c r="U221" i="13"/>
  <c r="U222" i="13" s="1"/>
  <c r="U223" i="13" s="1"/>
  <c r="U224" i="13" s="1"/>
  <c r="V177" i="13"/>
  <c r="V178" i="13" s="1"/>
  <c r="V179" i="13" s="1"/>
  <c r="V180" i="13" s="1"/>
  <c r="V122" i="13"/>
  <c r="V123" i="13" s="1"/>
  <c r="V124" i="13" s="1"/>
  <c r="V210" i="13"/>
  <c r="V211" i="13" s="1"/>
  <c r="V212" i="13" s="1"/>
  <c r="V213" i="13" s="1"/>
  <c r="V199" i="13"/>
  <c r="V200" i="13" s="1"/>
  <c r="V201" i="13" s="1"/>
  <c r="V202" i="13" s="1"/>
  <c r="V188" i="13"/>
  <c r="V189" i="13" s="1"/>
  <c r="V190" i="13" s="1"/>
  <c r="V191" i="13" s="1"/>
  <c r="U102" i="13"/>
  <c r="U104" i="13" s="1"/>
  <c r="L102" i="13"/>
  <c r="L104" i="13" s="1"/>
  <c r="P102" i="13"/>
  <c r="P104" i="13" s="1"/>
  <c r="R102" i="13"/>
  <c r="R104" i="13" s="1"/>
  <c r="K155" i="13"/>
  <c r="K156" i="13" s="1"/>
  <c r="K157" i="13" s="1"/>
  <c r="K158" i="13" s="1"/>
  <c r="K199" i="13"/>
  <c r="K200" i="13" s="1"/>
  <c r="K201" i="13" s="1"/>
  <c r="K202" i="13" s="1"/>
  <c r="K122" i="13"/>
  <c r="K123" i="13" s="1"/>
  <c r="K124" i="13" s="1"/>
  <c r="K166" i="13"/>
  <c r="K167" i="13" s="1"/>
  <c r="K168" i="13" s="1"/>
  <c r="K169" i="13" s="1"/>
  <c r="K210" i="13"/>
  <c r="K211" i="13" s="1"/>
  <c r="K212" i="13" s="1"/>
  <c r="K213" i="13" s="1"/>
  <c r="M210" i="13"/>
  <c r="M211" i="13" s="1"/>
  <c r="M212" i="13" s="1"/>
  <c r="M213" i="13" s="1"/>
  <c r="M188" i="13"/>
  <c r="M189" i="13" s="1"/>
  <c r="M190" i="13" s="1"/>
  <c r="M191" i="13" s="1"/>
  <c r="M166" i="13"/>
  <c r="M167" i="13" s="1"/>
  <c r="M168" i="13" s="1"/>
  <c r="M169" i="13" s="1"/>
  <c r="M144" i="13"/>
  <c r="M145" i="13" s="1"/>
  <c r="M146" i="13" s="1"/>
  <c r="M147" i="13" s="1"/>
  <c r="M122" i="13"/>
  <c r="M123" i="13" s="1"/>
  <c r="M124" i="13" s="1"/>
  <c r="O166" i="13"/>
  <c r="O167" i="13" s="1"/>
  <c r="O168" i="13" s="1"/>
  <c r="O169" i="13" s="1"/>
  <c r="O133" i="13"/>
  <c r="O134" i="13" s="1"/>
  <c r="O135" i="13" s="1"/>
  <c r="O136" i="13" s="1"/>
  <c r="O221" i="13"/>
  <c r="O222" i="13" s="1"/>
  <c r="O223" i="13" s="1"/>
  <c r="O224" i="13" s="1"/>
  <c r="O188" i="13"/>
  <c r="O189" i="13" s="1"/>
  <c r="O190" i="13" s="1"/>
  <c r="O191" i="13" s="1"/>
  <c r="O199" i="13"/>
  <c r="O200" i="13" s="1"/>
  <c r="O201" i="13" s="1"/>
  <c r="O202" i="13" s="1"/>
  <c r="L133" i="13"/>
  <c r="L134" i="13" s="1"/>
  <c r="L135" i="13" s="1"/>
  <c r="L136" i="13" s="1"/>
  <c r="L177" i="13"/>
  <c r="L178" i="13" s="1"/>
  <c r="L179" i="13" s="1"/>
  <c r="L180" i="13" s="1"/>
  <c r="L144" i="13"/>
  <c r="L145" i="13" s="1"/>
  <c r="L146" i="13" s="1"/>
  <c r="L147" i="13" s="1"/>
  <c r="L221" i="13"/>
  <c r="L222" i="13" s="1"/>
  <c r="L223" i="13" s="1"/>
  <c r="L224" i="13" s="1"/>
  <c r="L199" i="13"/>
  <c r="L200" i="13" s="1"/>
  <c r="L201" i="13" s="1"/>
  <c r="L202" i="13" s="1"/>
  <c r="N188" i="13"/>
  <c r="N189" i="13" s="1"/>
  <c r="N190" i="13" s="1"/>
  <c r="N191" i="13" s="1"/>
  <c r="N166" i="13"/>
  <c r="N167" i="13" s="1"/>
  <c r="N168" i="13" s="1"/>
  <c r="N169" i="13" s="1"/>
  <c r="N177" i="13"/>
  <c r="N178" i="13" s="1"/>
  <c r="N179" i="13" s="1"/>
  <c r="N180" i="13" s="1"/>
  <c r="N155" i="13"/>
  <c r="N156" i="13" s="1"/>
  <c r="N157" i="13" s="1"/>
  <c r="N158" i="13" s="1"/>
  <c r="N133" i="13"/>
  <c r="N134" i="13" s="1"/>
  <c r="N135" i="13" s="1"/>
  <c r="N136" i="13" s="1"/>
  <c r="P144" i="13"/>
  <c r="P145" i="13" s="1"/>
  <c r="P146" i="13" s="1"/>
  <c r="P147" i="13" s="1"/>
  <c r="P155" i="13"/>
  <c r="P156" i="13" s="1"/>
  <c r="P157" i="13" s="1"/>
  <c r="P158" i="13" s="1"/>
  <c r="P122" i="13"/>
  <c r="P123" i="13" s="1"/>
  <c r="P124" i="13" s="1"/>
  <c r="P210" i="13"/>
  <c r="P211" i="13" s="1"/>
  <c r="P212" i="13" s="1"/>
  <c r="P213" i="13" s="1"/>
  <c r="P177" i="13"/>
  <c r="P178" i="13" s="1"/>
  <c r="P179" i="13" s="1"/>
  <c r="P180" i="13" s="1"/>
  <c r="Q122" i="13"/>
  <c r="Q123" i="13" s="1"/>
  <c r="Q124" i="13" s="1"/>
  <c r="Q210" i="13"/>
  <c r="Q211" i="13" s="1"/>
  <c r="Q212" i="13" s="1"/>
  <c r="Q213" i="13" s="1"/>
  <c r="Q177" i="13"/>
  <c r="Q178" i="13" s="1"/>
  <c r="Q179" i="13" s="1"/>
  <c r="Q180" i="13" s="1"/>
  <c r="Q144" i="13"/>
  <c r="Q145" i="13" s="1"/>
  <c r="Q146" i="13" s="1"/>
  <c r="Q147" i="13" s="1"/>
  <c r="Q155" i="13"/>
  <c r="Q156" i="13" s="1"/>
  <c r="Q157" i="13" s="1"/>
  <c r="Q158" i="13" s="1"/>
  <c r="R144" i="13"/>
  <c r="R145" i="13" s="1"/>
  <c r="R146" i="13" s="1"/>
  <c r="R147" i="13" s="1"/>
  <c r="R221" i="13"/>
  <c r="R222" i="13" s="1"/>
  <c r="R223" i="13" s="1"/>
  <c r="R224" i="13" s="1"/>
  <c r="R210" i="13"/>
  <c r="R211" i="13" s="1"/>
  <c r="R212" i="13" s="1"/>
  <c r="R213" i="13" s="1"/>
  <c r="R155" i="13"/>
  <c r="R156" i="13" s="1"/>
  <c r="R157" i="13" s="1"/>
  <c r="R158" i="13" s="1"/>
  <c r="R133" i="13"/>
  <c r="R134" i="13" s="1"/>
  <c r="R135" i="13" s="1"/>
  <c r="R136" i="13" s="1"/>
  <c r="G177" i="13"/>
  <c r="G178" i="13" s="1"/>
  <c r="G179" i="13" s="1"/>
  <c r="G180" i="13" s="1"/>
  <c r="H9" i="13"/>
  <c r="H10" i="13" s="1"/>
  <c r="H12" i="13" s="1"/>
  <c r="H15" i="13"/>
  <c r="H16" i="13" s="1"/>
  <c r="I15" i="13"/>
  <c r="I16" i="13" s="1"/>
  <c r="I9" i="13"/>
  <c r="J155" i="13"/>
  <c r="J156" i="13" s="1"/>
  <c r="J157" i="13" s="1"/>
  <c r="J158" i="13" s="1"/>
  <c r="J199" i="13"/>
  <c r="J200" i="13" s="1"/>
  <c r="J201" i="13" s="1"/>
  <c r="J202" i="13" s="1"/>
  <c r="J122" i="13"/>
  <c r="J123" i="13" s="1"/>
  <c r="J124" i="13" s="1"/>
  <c r="J166" i="13"/>
  <c r="J167" i="13" s="1"/>
  <c r="J168" i="13" s="1"/>
  <c r="J169" i="13" s="1"/>
  <c r="J210" i="13"/>
  <c r="J211" i="13" s="1"/>
  <c r="J212" i="13" s="1"/>
  <c r="J213" i="13" s="1"/>
  <c r="G125" i="13"/>
  <c r="U144" i="13"/>
  <c r="U145" i="13" s="1"/>
  <c r="U146" i="13" s="1"/>
  <c r="U147" i="13" s="1"/>
  <c r="U155" i="13"/>
  <c r="U156" i="13" s="1"/>
  <c r="U157" i="13" s="1"/>
  <c r="U158" i="13" s="1"/>
  <c r="U122" i="13"/>
  <c r="U123" i="13" s="1"/>
  <c r="U124" i="13" s="1"/>
  <c r="U210" i="13"/>
  <c r="U211" i="13" s="1"/>
  <c r="U212" i="13" s="1"/>
  <c r="U213" i="13" s="1"/>
  <c r="U177" i="13"/>
  <c r="U178" i="13" s="1"/>
  <c r="U179" i="13" s="1"/>
  <c r="U180" i="13" s="1"/>
  <c r="V133" i="13"/>
  <c r="V134" i="13" s="1"/>
  <c r="V135" i="13" s="1"/>
  <c r="V136" i="13" s="1"/>
  <c r="V221" i="13"/>
  <c r="V222" i="13" s="1"/>
  <c r="V223" i="13" s="1"/>
  <c r="V224" i="13" s="1"/>
  <c r="V166" i="13"/>
  <c r="V167" i="13" s="1"/>
  <c r="V168" i="13" s="1"/>
  <c r="V169" i="13" s="1"/>
  <c r="V155" i="13"/>
  <c r="V156" i="13" s="1"/>
  <c r="V157" i="13" s="1"/>
  <c r="V158" i="13" s="1"/>
  <c r="V144" i="13"/>
  <c r="V145" i="13" s="1"/>
  <c r="V146" i="13" s="1"/>
  <c r="V147" i="13" s="1"/>
  <c r="M9" i="13" l="1"/>
  <c r="O15" i="13"/>
  <c r="O16" i="13" s="1"/>
  <c r="DU39" i="8"/>
  <c r="DU40" i="8" s="1"/>
  <c r="GW14" i="5"/>
  <c r="EB34" i="8"/>
  <c r="EA35" i="8"/>
  <c r="DU30" i="8"/>
  <c r="DV29" i="8"/>
  <c r="DV45" i="8" s="1"/>
  <c r="DU29" i="8"/>
  <c r="DU45" i="8" s="1"/>
  <c r="DU47" i="8" s="1"/>
  <c r="DV28" i="8"/>
  <c r="DV39" i="8" s="1"/>
  <c r="EA28" i="8"/>
  <c r="EA39" i="8" s="1"/>
  <c r="EA40" i="8" s="1"/>
  <c r="F15" i="13"/>
  <c r="F16" i="13" s="1"/>
  <c r="G9" i="13"/>
  <c r="G10" i="13" s="1"/>
  <c r="G12" i="13" s="1"/>
  <c r="DQ7" i="8"/>
  <c r="DQ7" i="5"/>
  <c r="DN7" i="5"/>
  <c r="DN7" i="8"/>
  <c r="DQ7" i="4"/>
  <c r="DT7" i="2"/>
  <c r="DT7" i="5" s="1"/>
  <c r="DN7" i="4"/>
  <c r="DV7" i="4"/>
  <c r="J9" i="13"/>
  <c r="J10" i="13" s="1"/>
  <c r="J12" i="13" s="1"/>
  <c r="EB7" i="2"/>
  <c r="EB7" i="34" s="1"/>
  <c r="DV7" i="5"/>
  <c r="DK7" i="4"/>
  <c r="DK7" i="8"/>
  <c r="DK7" i="5"/>
  <c r="DH7" i="5"/>
  <c r="DH7" i="4"/>
  <c r="DH7" i="8"/>
  <c r="EM7" i="2"/>
  <c r="ES7" i="2" s="1"/>
  <c r="EG7" i="8"/>
  <c r="EG7" i="5"/>
  <c r="EG7" i="4"/>
  <c r="I22" i="13"/>
  <c r="I24" i="13" s="1"/>
  <c r="P125" i="13"/>
  <c r="P112" i="13" s="1"/>
  <c r="P23" i="13" s="1"/>
  <c r="P111" i="13"/>
  <c r="K125" i="13"/>
  <c r="K112" i="13" s="1"/>
  <c r="K23" i="13" s="1"/>
  <c r="K111" i="13"/>
  <c r="V125" i="13"/>
  <c r="V112" i="13" s="1"/>
  <c r="V23" i="13" s="1"/>
  <c r="V111" i="13"/>
  <c r="H147" i="13"/>
  <c r="H112" i="13" s="1"/>
  <c r="H23" i="13" s="1"/>
  <c r="H24" i="13" s="1"/>
  <c r="H111" i="13"/>
  <c r="N9" i="13"/>
  <c r="N15" i="13"/>
  <c r="N16" i="13" s="1"/>
  <c r="J125" i="13"/>
  <c r="J112" i="13" s="1"/>
  <c r="J23" i="13" s="1"/>
  <c r="J111" i="13"/>
  <c r="Q125" i="13"/>
  <c r="Q112" i="13" s="1"/>
  <c r="Q23" i="13" s="1"/>
  <c r="Q111" i="13"/>
  <c r="M125" i="13"/>
  <c r="M112" i="13" s="1"/>
  <c r="M23" i="13" s="1"/>
  <c r="M111" i="13"/>
  <c r="G136" i="13"/>
  <c r="G112" i="13" s="1"/>
  <c r="G23" i="13" s="1"/>
  <c r="G24" i="13" s="1"/>
  <c r="G111" i="13"/>
  <c r="Q15" i="13"/>
  <c r="Q16" i="13" s="1"/>
  <c r="Q9" i="13"/>
  <c r="V9" i="13"/>
  <c r="V15" i="13"/>
  <c r="V16" i="13" s="1"/>
  <c r="U125" i="13"/>
  <c r="U112" i="13" s="1"/>
  <c r="U23" i="13" s="1"/>
  <c r="U111" i="13"/>
  <c r="R9" i="13"/>
  <c r="R15" i="13"/>
  <c r="R16" i="13" s="1"/>
  <c r="P9" i="13"/>
  <c r="P15" i="13"/>
  <c r="P16" i="13" s="1"/>
  <c r="L9" i="13"/>
  <c r="L15" i="13"/>
  <c r="L16" i="13" s="1"/>
  <c r="U15" i="13"/>
  <c r="U16" i="13" s="1"/>
  <c r="U9" i="13"/>
  <c r="R125" i="13"/>
  <c r="R112" i="13" s="1"/>
  <c r="R23" i="13" s="1"/>
  <c r="R111" i="13"/>
  <c r="N125" i="13"/>
  <c r="N112" i="13" s="1"/>
  <c r="N23" i="13" s="1"/>
  <c r="N111" i="13"/>
  <c r="L125" i="13"/>
  <c r="L112" i="13" s="1"/>
  <c r="L23" i="13" s="1"/>
  <c r="L111" i="13"/>
  <c r="O125" i="13"/>
  <c r="O112" i="13" s="1"/>
  <c r="O23" i="13" s="1"/>
  <c r="O111" i="13"/>
  <c r="I10" i="13"/>
  <c r="I12" i="13" s="1"/>
  <c r="M10" i="13"/>
  <c r="M12" i="13" s="1"/>
  <c r="O10" i="13"/>
  <c r="O12" i="13" s="1"/>
  <c r="K10" i="13"/>
  <c r="K12" i="13" s="1"/>
  <c r="EY7" i="2" l="1"/>
  <c r="FE7" i="2" s="1"/>
  <c r="FK7" i="2" s="1"/>
  <c r="FQ7" i="2" s="1"/>
  <c r="ES7" i="8"/>
  <c r="GZ14" i="5"/>
  <c r="EB29" i="8"/>
  <c r="EB45" i="8" s="1"/>
  <c r="EA30" i="8"/>
  <c r="DV30" i="8"/>
  <c r="DW29" i="8"/>
  <c r="DW45" i="8" s="1"/>
  <c r="EG28" i="8"/>
  <c r="EG33" i="8"/>
  <c r="EM7" i="34"/>
  <c r="EM7" i="5"/>
  <c r="EH7" i="2"/>
  <c r="EH7" i="34" s="1"/>
  <c r="EB7" i="5"/>
  <c r="EB7" i="4"/>
  <c r="EB7" i="8"/>
  <c r="EB33" i="8" s="1"/>
  <c r="DW7" i="2"/>
  <c r="DT7" i="4"/>
  <c r="EM7" i="8"/>
  <c r="EM7" i="4"/>
  <c r="K22" i="13"/>
  <c r="K24" i="13" s="1"/>
  <c r="U10" i="13"/>
  <c r="U12" i="13" s="1"/>
  <c r="Q10" i="13"/>
  <c r="Q12" i="13" s="1"/>
  <c r="N10" i="13"/>
  <c r="N12" i="13" s="1"/>
  <c r="L10" i="13"/>
  <c r="L12" i="13" s="1"/>
  <c r="P10" i="13"/>
  <c r="P12" i="13" s="1"/>
  <c r="R10" i="13"/>
  <c r="R12" i="13" s="1"/>
  <c r="V10" i="13"/>
  <c r="V12" i="13" s="1"/>
  <c r="FW7" i="2" l="1"/>
  <c r="GC7" i="2" s="1"/>
  <c r="GI7" i="2" s="1"/>
  <c r="GO7" i="2" s="1"/>
  <c r="GU7" i="2" s="1"/>
  <c r="HA7" i="2" s="1"/>
  <c r="HG7" i="2" s="1"/>
  <c r="FQ7" i="34"/>
  <c r="EG39" i="8"/>
  <c r="EG40" i="8" s="1"/>
  <c r="DV46" i="8"/>
  <c r="DV47" i="8" s="1"/>
  <c r="DX29" i="8"/>
  <c r="DX45" i="8" s="1"/>
  <c r="FK7" i="34"/>
  <c r="ES33" i="8"/>
  <c r="ES28" i="8"/>
  <c r="HA14" i="5"/>
  <c r="DV40" i="8"/>
  <c r="EC34" i="8"/>
  <c r="EB35" i="8"/>
  <c r="EH34" i="8"/>
  <c r="EH29" i="8"/>
  <c r="EM28" i="8"/>
  <c r="EM33" i="8"/>
  <c r="ES7" i="34"/>
  <c r="EB28" i="8"/>
  <c r="EB39" i="8" s="1"/>
  <c r="EB40" i="8" s="1"/>
  <c r="EC40" i="8" s="1"/>
  <c r="M22" i="13"/>
  <c r="M24" i="13" s="1"/>
  <c r="EH7" i="5"/>
  <c r="EN7" i="2"/>
  <c r="ET7" i="2" s="1"/>
  <c r="EZ7" i="2" s="1"/>
  <c r="FF7" i="2" s="1"/>
  <c r="FL7" i="2" s="1"/>
  <c r="EH7" i="8"/>
  <c r="EH7" i="4"/>
  <c r="DW7" i="8"/>
  <c r="DW33" i="8" s="1"/>
  <c r="EC7" i="2"/>
  <c r="EC7" i="34" s="1"/>
  <c r="DW7" i="5"/>
  <c r="DW7" i="4"/>
  <c r="DT7" i="8"/>
  <c r="DZ7" i="2"/>
  <c r="DZ7" i="34" s="1"/>
  <c r="ES7" i="4"/>
  <c r="ES7" i="5"/>
  <c r="N22" i="13"/>
  <c r="N24" i="13" s="1"/>
  <c r="HG7" i="5" l="1"/>
  <c r="HG7" i="4"/>
  <c r="HG7" i="8"/>
  <c r="EH45" i="8"/>
  <c r="ES39" i="8"/>
  <c r="EM39" i="8"/>
  <c r="EM40" i="8" s="1"/>
  <c r="FR7" i="2"/>
  <c r="FL7" i="34"/>
  <c r="FE7" i="8"/>
  <c r="FE7" i="4"/>
  <c r="FE7" i="5"/>
  <c r="HB14" i="5"/>
  <c r="HC14" i="5"/>
  <c r="DZ34" i="8"/>
  <c r="DW35" i="8"/>
  <c r="DX35" i="8" s="1"/>
  <c r="EN34" i="8"/>
  <c r="EM35" i="8"/>
  <c r="ET29" i="8"/>
  <c r="EB30" i="8"/>
  <c r="EC29" i="8"/>
  <c r="EC45" i="8" s="1"/>
  <c r="EN29" i="8"/>
  <c r="EH28" i="8"/>
  <c r="EH33" i="8"/>
  <c r="DX33" i="8"/>
  <c r="DW28" i="8"/>
  <c r="DW39" i="8" s="1"/>
  <c r="EN7" i="34"/>
  <c r="EN7" i="5"/>
  <c r="EY7" i="8"/>
  <c r="EY7" i="4"/>
  <c r="EY7" i="5"/>
  <c r="EY7" i="34"/>
  <c r="EN7" i="4"/>
  <c r="EN7" i="8"/>
  <c r="EC7" i="8"/>
  <c r="EC33" i="8" s="1"/>
  <c r="EC7" i="4"/>
  <c r="EC7" i="5"/>
  <c r="EI7" i="2"/>
  <c r="EI7" i="34" s="1"/>
  <c r="DZ7" i="5"/>
  <c r="DZ7" i="4"/>
  <c r="EF7" i="2"/>
  <c r="EF7" i="34" s="1"/>
  <c r="DZ7" i="8"/>
  <c r="O22" i="13"/>
  <c r="O24" i="13" s="1"/>
  <c r="FX7" i="2" l="1"/>
  <c r="GD7" i="2" s="1"/>
  <c r="GJ7" i="2" s="1"/>
  <c r="GP7" i="2" s="1"/>
  <c r="GV7" i="2" s="1"/>
  <c r="HB7" i="2" s="1"/>
  <c r="HH7" i="2" s="1"/>
  <c r="FR7" i="34"/>
  <c r="HG28" i="8"/>
  <c r="HG33" i="8"/>
  <c r="EN45" i="8"/>
  <c r="EH39" i="8"/>
  <c r="EH40" i="8" s="1"/>
  <c r="EI40" i="8" s="1"/>
  <c r="HD14" i="5"/>
  <c r="FK7" i="4"/>
  <c r="FK7" i="5"/>
  <c r="FE28" i="8"/>
  <c r="FE33" i="8"/>
  <c r="EI34" i="8"/>
  <c r="ET34" i="8"/>
  <c r="ET45" i="8" s="1"/>
  <c r="EF34" i="8"/>
  <c r="EC35" i="8"/>
  <c r="DZ29" i="8"/>
  <c r="DZ45" i="8" s="1"/>
  <c r="DW30" i="8"/>
  <c r="EI29" i="8"/>
  <c r="EY33" i="8"/>
  <c r="EZ34" i="8" s="1"/>
  <c r="EZ45" i="8" s="1"/>
  <c r="DW40" i="8"/>
  <c r="DZ28" i="8"/>
  <c r="DZ33" i="8"/>
  <c r="ED33" i="8"/>
  <c r="EN28" i="8"/>
  <c r="EN33" i="8"/>
  <c r="DX28" i="8"/>
  <c r="DX39" i="8" s="1"/>
  <c r="ET7" i="34"/>
  <c r="EC28" i="8"/>
  <c r="EC39" i="8" s="1"/>
  <c r="FE7" i="34"/>
  <c r="ET7" i="5"/>
  <c r="ET7" i="4"/>
  <c r="ET7" i="8"/>
  <c r="ET28" i="8" s="1"/>
  <c r="EI7" i="5"/>
  <c r="EO7" i="2"/>
  <c r="EU7" i="2" s="1"/>
  <c r="FA7" i="2" s="1"/>
  <c r="FG7" i="2" s="1"/>
  <c r="FM7" i="2" s="1"/>
  <c r="EI7" i="4"/>
  <c r="EI7" i="8"/>
  <c r="EF7" i="5"/>
  <c r="EL7" i="2"/>
  <c r="ER7" i="2" s="1"/>
  <c r="EX7" i="2" s="1"/>
  <c r="FD7" i="2" s="1"/>
  <c r="FJ7" i="2" s="1"/>
  <c r="EF7" i="8"/>
  <c r="EF7" i="4"/>
  <c r="J22" i="13"/>
  <c r="J24" i="13" s="1"/>
  <c r="L22" i="13"/>
  <c r="L24" i="13" s="1"/>
  <c r="HH34" i="8" l="1"/>
  <c r="HG42" i="8"/>
  <c r="HG37" i="4" s="1"/>
  <c r="HG35" i="8"/>
  <c r="HG36" i="8" s="1"/>
  <c r="HH29" i="8"/>
  <c r="HH45" i="8" s="1"/>
  <c r="HG39" i="8"/>
  <c r="HG30" i="8"/>
  <c r="HG31" i="8" s="1"/>
  <c r="HH7" i="4"/>
  <c r="HH7" i="5"/>
  <c r="HH7" i="8"/>
  <c r="EY39" i="8"/>
  <c r="EY40" i="8" s="1"/>
  <c r="FE39" i="8"/>
  <c r="EU29" i="8"/>
  <c r="EI45" i="8"/>
  <c r="ED35" i="8"/>
  <c r="DX30" i="8"/>
  <c r="DW46" i="8"/>
  <c r="DW47" i="8" s="1"/>
  <c r="DX47" i="8" s="1"/>
  <c r="DZ39" i="8"/>
  <c r="DZ40" i="8" s="1"/>
  <c r="EN39" i="8"/>
  <c r="EN40" i="8" s="1"/>
  <c r="EO40" i="8" s="1"/>
  <c r="FP7" i="2"/>
  <c r="FJ7" i="34"/>
  <c r="FS7" i="2"/>
  <c r="FM7" i="34"/>
  <c r="FE30" i="8"/>
  <c r="FF29" i="8"/>
  <c r="FQ7" i="4"/>
  <c r="FQ7" i="8"/>
  <c r="FQ7" i="5"/>
  <c r="FF7" i="8"/>
  <c r="FF7" i="4"/>
  <c r="FF7" i="5"/>
  <c r="FF34" i="8"/>
  <c r="FK7" i="8"/>
  <c r="EO34" i="8"/>
  <c r="EN35" i="8"/>
  <c r="EA34" i="8"/>
  <c r="DZ35" i="8"/>
  <c r="EF29" i="8"/>
  <c r="EF45" i="8" s="1"/>
  <c r="EC30" i="8"/>
  <c r="EA29" i="8"/>
  <c r="DZ30" i="8"/>
  <c r="EO29" i="8"/>
  <c r="DX40" i="8"/>
  <c r="EF28" i="8"/>
  <c r="EF33" i="8"/>
  <c r="EI28" i="8"/>
  <c r="EI33" i="8"/>
  <c r="ET33" i="8"/>
  <c r="EO7" i="34"/>
  <c r="EO7" i="5"/>
  <c r="EL7" i="34"/>
  <c r="EL7" i="5"/>
  <c r="EZ7" i="4"/>
  <c r="FF7" i="34"/>
  <c r="EZ7" i="5"/>
  <c r="EZ7" i="8"/>
  <c r="EZ33" i="8" s="1"/>
  <c r="EZ7" i="34"/>
  <c r="ED28" i="8"/>
  <c r="ED39" i="8" s="1"/>
  <c r="EO7" i="8"/>
  <c r="EO7" i="4"/>
  <c r="P22" i="13"/>
  <c r="P24" i="13" s="1"/>
  <c r="ER7" i="4"/>
  <c r="EL7" i="8"/>
  <c r="EL7" i="4"/>
  <c r="Q22" i="13"/>
  <c r="Q24" i="13" s="1"/>
  <c r="HG41" i="8" l="1"/>
  <c r="HG43" i="8"/>
  <c r="HG45" i="4" s="1"/>
  <c r="FY7" i="2"/>
  <c r="GE7" i="2" s="1"/>
  <c r="GK7" i="2" s="1"/>
  <c r="GQ7" i="2" s="1"/>
  <c r="GW7" i="2" s="1"/>
  <c r="HC7" i="2" s="1"/>
  <c r="HI7" i="2" s="1"/>
  <c r="FS7" i="34"/>
  <c r="HH28" i="8"/>
  <c r="HH33" i="8"/>
  <c r="HG99" i="4"/>
  <c r="HG114" i="4"/>
  <c r="FV7" i="2"/>
  <c r="GB7" i="2" s="1"/>
  <c r="GH7" i="2" s="1"/>
  <c r="GN7" i="2" s="1"/>
  <c r="GT7" i="2" s="1"/>
  <c r="GZ7" i="2" s="1"/>
  <c r="HF7" i="2" s="1"/>
  <c r="FP7" i="34"/>
  <c r="EZ39" i="8"/>
  <c r="EZ40" i="8" s="1"/>
  <c r="ET39" i="8"/>
  <c r="ET40" i="8" s="1"/>
  <c r="EU34" i="8"/>
  <c r="EU45" i="8" s="1"/>
  <c r="EA46" i="8"/>
  <c r="EA45" i="8"/>
  <c r="FE31" i="8"/>
  <c r="EO45" i="8"/>
  <c r="ED30" i="8"/>
  <c r="EC46" i="8"/>
  <c r="EC47" i="8" s="1"/>
  <c r="ED34" i="8"/>
  <c r="EB46" i="8"/>
  <c r="EB47" i="8" s="1"/>
  <c r="DZ46" i="8"/>
  <c r="EI39" i="8"/>
  <c r="EF39" i="8"/>
  <c r="EF40" i="8" s="1"/>
  <c r="EJ40" i="8"/>
  <c r="ED29" i="8"/>
  <c r="FQ33" i="8"/>
  <c r="FQ28" i="8"/>
  <c r="FL7" i="4"/>
  <c r="FL7" i="5"/>
  <c r="FK33" i="8"/>
  <c r="FK28" i="8"/>
  <c r="FW7" i="4"/>
  <c r="FW7" i="5"/>
  <c r="FF33" i="8"/>
  <c r="FF28" i="8"/>
  <c r="FG29" i="8" s="1"/>
  <c r="ED40" i="8"/>
  <c r="EG34" i="8"/>
  <c r="EJ34" i="8" s="1"/>
  <c r="EL34" i="8"/>
  <c r="EI35" i="8"/>
  <c r="FA29" i="8"/>
  <c r="EG29" i="8"/>
  <c r="EJ28" i="8"/>
  <c r="EL29" i="8"/>
  <c r="EI30" i="8"/>
  <c r="EL28" i="8"/>
  <c r="EL33" i="8"/>
  <c r="EJ33" i="8"/>
  <c r="EO28" i="8"/>
  <c r="EO30" i="8" s="1"/>
  <c r="EO33" i="8"/>
  <c r="ER7" i="34"/>
  <c r="EU7" i="34"/>
  <c r="EU7" i="8"/>
  <c r="EU7" i="4"/>
  <c r="EU7" i="5"/>
  <c r="ER7" i="5"/>
  <c r="ER7" i="8"/>
  <c r="R22" i="13"/>
  <c r="R24" i="13" s="1"/>
  <c r="HI7" i="4" l="1"/>
  <c r="HI7" i="8"/>
  <c r="HI7" i="5"/>
  <c r="HF7" i="8"/>
  <c r="HF7" i="5"/>
  <c r="HF7" i="4"/>
  <c r="HI34" i="8"/>
  <c r="HH36" i="8"/>
  <c r="HH35" i="8"/>
  <c r="HH42" i="8"/>
  <c r="HH37" i="4" s="1"/>
  <c r="HI29" i="8"/>
  <c r="HI45" i="8" s="1"/>
  <c r="HH39" i="8"/>
  <c r="HH30" i="8"/>
  <c r="HH31" i="8"/>
  <c r="FF39" i="8"/>
  <c r="FK39" i="8"/>
  <c r="FQ39" i="8"/>
  <c r="EU33" i="8"/>
  <c r="EU28" i="8"/>
  <c r="EA47" i="8"/>
  <c r="EL45" i="8"/>
  <c r="EG45" i="8"/>
  <c r="ED45" i="8"/>
  <c r="EJ30" i="8"/>
  <c r="EL30" i="8"/>
  <c r="EL46" i="8" s="1"/>
  <c r="EL47" i="8" s="1"/>
  <c r="EF30" i="8"/>
  <c r="EJ35" i="8"/>
  <c r="EF35" i="8"/>
  <c r="EG35" i="8" s="1"/>
  <c r="EH35" i="8" s="1"/>
  <c r="ED46" i="8"/>
  <c r="DZ47" i="8"/>
  <c r="EL39" i="8"/>
  <c r="EL40" i="8" s="1"/>
  <c r="EJ39" i="8"/>
  <c r="EO39" i="8"/>
  <c r="EJ29" i="8"/>
  <c r="EJ45" i="8" s="1"/>
  <c r="EP40" i="8"/>
  <c r="FG7" i="4"/>
  <c r="FG7" i="5"/>
  <c r="FG7" i="8"/>
  <c r="GC7" i="4"/>
  <c r="GC7" i="5"/>
  <c r="FK30" i="8"/>
  <c r="FL29" i="8"/>
  <c r="FR7" i="4"/>
  <c r="FR7" i="8"/>
  <c r="FR7" i="5"/>
  <c r="FF30" i="8"/>
  <c r="FK42" i="8"/>
  <c r="FK37" i="4" s="1"/>
  <c r="FL34" i="8"/>
  <c r="FE42" i="8"/>
  <c r="FE37" i="4" s="1"/>
  <c r="FQ30" i="8"/>
  <c r="FR29" i="8"/>
  <c r="FR34" i="8"/>
  <c r="FG34" i="8"/>
  <c r="FD7" i="8"/>
  <c r="FD7" i="4"/>
  <c r="FD7" i="5"/>
  <c r="FL7" i="8"/>
  <c r="FA34" i="8"/>
  <c r="FA45" i="8" s="1"/>
  <c r="EM34" i="8"/>
  <c r="EP34" i="8" s="1"/>
  <c r="EL35" i="8"/>
  <c r="ER34" i="8"/>
  <c r="EO35" i="8"/>
  <c r="EP35" i="8" s="1"/>
  <c r="ES35" i="8" s="1"/>
  <c r="ES36" i="8" s="1"/>
  <c r="EP28" i="8"/>
  <c r="ER29" i="8"/>
  <c r="EP30" i="8"/>
  <c r="ES30" i="8" s="1"/>
  <c r="EM29" i="8"/>
  <c r="EP33" i="8"/>
  <c r="ES34" i="8" s="1"/>
  <c r="ER28" i="8"/>
  <c r="ER33" i="8"/>
  <c r="FW7" i="8"/>
  <c r="FA7" i="5"/>
  <c r="FA7" i="8"/>
  <c r="FA28" i="8" s="1"/>
  <c r="FA7" i="4"/>
  <c r="EX7" i="5"/>
  <c r="EX7" i="8"/>
  <c r="EX7" i="4"/>
  <c r="EV57" i="4"/>
  <c r="FA7" i="34"/>
  <c r="EX7" i="34"/>
  <c r="EU39" i="8" l="1"/>
  <c r="EU40" i="8" s="1"/>
  <c r="HH41" i="8"/>
  <c r="HH50" i="5" s="1"/>
  <c r="HH62" i="5" s="1"/>
  <c r="HF33" i="8"/>
  <c r="HF28" i="8"/>
  <c r="HI33" i="8"/>
  <c r="HI28" i="8"/>
  <c r="EX29" i="8"/>
  <c r="EU30" i="8"/>
  <c r="EX28" i="8"/>
  <c r="EY29" i="8" s="1"/>
  <c r="EX33" i="8"/>
  <c r="ED47" i="8"/>
  <c r="EX34" i="8"/>
  <c r="EU35" i="8"/>
  <c r="FR45" i="8"/>
  <c r="ER45" i="8"/>
  <c r="FL45" i="8"/>
  <c r="FF31" i="8"/>
  <c r="FK31" i="8"/>
  <c r="ES31" i="8"/>
  <c r="FQ31" i="8"/>
  <c r="EM45" i="8"/>
  <c r="EG30" i="8"/>
  <c r="EG46" i="8" s="1"/>
  <c r="EG47" i="8" s="1"/>
  <c r="EF46" i="8"/>
  <c r="EM30" i="8"/>
  <c r="EM46" i="8" s="1"/>
  <c r="ER39" i="8"/>
  <c r="ER40" i="8" s="1"/>
  <c r="FD29" i="8"/>
  <c r="ES29" i="8"/>
  <c r="EP39" i="8"/>
  <c r="ER30" i="8"/>
  <c r="FL33" i="8"/>
  <c r="FL28" i="8"/>
  <c r="FW28" i="8"/>
  <c r="FW33" i="8"/>
  <c r="FR33" i="8"/>
  <c r="FR28" i="8"/>
  <c r="GI7" i="4"/>
  <c r="GI7" i="5"/>
  <c r="FG33" i="8"/>
  <c r="FG28" i="8"/>
  <c r="ER35" i="8"/>
  <c r="ET35" i="8" s="1"/>
  <c r="ET36" i="8" s="1"/>
  <c r="FJ7" i="5"/>
  <c r="FJ7" i="4"/>
  <c r="FX7" i="4"/>
  <c r="FX7" i="5"/>
  <c r="EP29" i="8"/>
  <c r="FM7" i="5"/>
  <c r="FM7" i="4"/>
  <c r="FD28" i="8"/>
  <c r="FD33" i="8"/>
  <c r="FA33" i="8"/>
  <c r="FA39" i="8" s="1"/>
  <c r="GC7" i="8"/>
  <c r="FM7" i="8"/>
  <c r="FD7" i="34"/>
  <c r="FG7" i="34"/>
  <c r="Y20" i="7"/>
  <c r="FA48" i="4"/>
  <c r="FD48" i="4" s="1"/>
  <c r="FE48" i="4" s="1"/>
  <c r="FF48" i="4" s="1"/>
  <c r="FG48" i="4" s="1"/>
  <c r="FA54" i="4"/>
  <c r="FD54" i="4" s="1"/>
  <c r="FE54" i="4" s="1"/>
  <c r="FF54" i="4" s="1"/>
  <c r="FG54" i="4" s="1"/>
  <c r="S22" i="13"/>
  <c r="S24" i="13" s="1"/>
  <c r="HH43" i="8" l="1"/>
  <c r="HH45" i="4" s="1"/>
  <c r="HH99" i="4" s="1"/>
  <c r="HI42" i="8"/>
  <c r="HI37" i="4" s="1"/>
  <c r="HI35" i="8"/>
  <c r="HI36" i="8" s="1"/>
  <c r="HG29" i="8"/>
  <c r="HF30" i="8"/>
  <c r="HF31" i="8" s="1"/>
  <c r="HF39" i="8"/>
  <c r="HI39" i="8"/>
  <c r="HI30" i="8"/>
  <c r="HI46" i="8" s="1"/>
  <c r="HI47" i="8" s="1"/>
  <c r="HI57" i="2" s="1"/>
  <c r="HI48" i="8" s="1"/>
  <c r="HG34" i="8"/>
  <c r="HH46" i="8" s="1"/>
  <c r="HH47" i="8" s="1"/>
  <c r="HH57" i="2" s="1"/>
  <c r="HH48" i="8" s="1"/>
  <c r="HF42" i="8"/>
  <c r="HF37" i="4" s="1"/>
  <c r="HF35" i="8"/>
  <c r="HF36" i="8" s="1"/>
  <c r="FG39" i="8"/>
  <c r="FR39" i="8"/>
  <c r="FD39" i="8"/>
  <c r="FL39" i="8"/>
  <c r="FW39" i="8"/>
  <c r="EX39" i="8"/>
  <c r="EX30" i="8"/>
  <c r="EX45" i="8"/>
  <c r="FQ42" i="8"/>
  <c r="FQ37" i="4" s="1"/>
  <c r="EX35" i="8"/>
  <c r="EX36" i="8" s="1"/>
  <c r="EM47" i="8"/>
  <c r="ES45" i="8"/>
  <c r="ET30" i="8"/>
  <c r="ET31" i="8" s="1"/>
  <c r="ES46" i="8"/>
  <c r="ER46" i="8"/>
  <c r="ER47" i="8" s="1"/>
  <c r="EF47" i="8"/>
  <c r="EH30" i="8"/>
  <c r="EI46" i="8" s="1"/>
  <c r="EI47" i="8" s="1"/>
  <c r="EN30" i="8"/>
  <c r="EO46" i="8" s="1"/>
  <c r="EO47" i="8" s="1"/>
  <c r="FJ34" i="8"/>
  <c r="FA42" i="8"/>
  <c r="FE34" i="8"/>
  <c r="FF46" i="8" s="1"/>
  <c r="FF47" i="8" s="1"/>
  <c r="FF57" i="2" s="1"/>
  <c r="FS34" i="8"/>
  <c r="FE29" i="8"/>
  <c r="FD30" i="8"/>
  <c r="GO7" i="4"/>
  <c r="GO7" i="5"/>
  <c r="FL30" i="8"/>
  <c r="FM29" i="8"/>
  <c r="FG30" i="8"/>
  <c r="FJ29" i="8"/>
  <c r="FL42" i="8"/>
  <c r="FL37" i="4" s="1"/>
  <c r="FM34" i="8"/>
  <c r="FF42" i="8"/>
  <c r="FF37" i="4" s="1"/>
  <c r="FM33" i="8"/>
  <c r="FM28" i="8"/>
  <c r="GC33" i="8"/>
  <c r="GC28" i="8"/>
  <c r="GD7" i="4"/>
  <c r="GD7" i="5"/>
  <c r="FW35" i="8"/>
  <c r="FW36" i="8" s="1"/>
  <c r="FX34" i="8"/>
  <c r="FD34" i="8"/>
  <c r="FR30" i="8"/>
  <c r="FS29" i="8"/>
  <c r="FS7" i="4"/>
  <c r="FS7" i="8"/>
  <c r="FS7" i="5"/>
  <c r="FP7" i="8"/>
  <c r="FP7" i="4"/>
  <c r="FP7" i="5"/>
  <c r="FW30" i="8"/>
  <c r="FX29" i="8"/>
  <c r="FJ54" i="4"/>
  <c r="FK54" i="4" s="1"/>
  <c r="FL54" i="4" s="1"/>
  <c r="FM54" i="4" s="1"/>
  <c r="FH54" i="4"/>
  <c r="FH48" i="4"/>
  <c r="FJ48" i="4"/>
  <c r="FK48" i="4" s="1"/>
  <c r="FL48" i="4" s="1"/>
  <c r="FM48" i="4" s="1"/>
  <c r="FJ7" i="8"/>
  <c r="EY34" i="8"/>
  <c r="FB48" i="4"/>
  <c r="FB54" i="4"/>
  <c r="GI7" i="8"/>
  <c r="FX7" i="8"/>
  <c r="EV69" i="4"/>
  <c r="EV54" i="4"/>
  <c r="EV48" i="4"/>
  <c r="T22" i="13"/>
  <c r="T24" i="13" s="1"/>
  <c r="HH114" i="4" l="1"/>
  <c r="HI31" i="8"/>
  <c r="HI41" i="8" s="1"/>
  <c r="HG45" i="8"/>
  <c r="HF41" i="8"/>
  <c r="HJ37" i="4"/>
  <c r="EY45" i="8"/>
  <c r="EZ46" i="8"/>
  <c r="EZ47" i="8" s="1"/>
  <c r="GC39" i="8"/>
  <c r="EY35" i="8"/>
  <c r="EX46" i="8"/>
  <c r="EY46" i="8"/>
  <c r="EX31" i="8"/>
  <c r="FW42" i="8"/>
  <c r="FW37" i="4" s="1"/>
  <c r="EX47" i="8"/>
  <c r="FM39" i="8"/>
  <c r="ET46" i="8"/>
  <c r="ET47" i="8" s="1"/>
  <c r="FM45" i="8"/>
  <c r="EH46" i="8"/>
  <c r="EH47" i="8" s="1"/>
  <c r="EJ47" i="8" s="1"/>
  <c r="FS45" i="8"/>
  <c r="FG46" i="8"/>
  <c r="FJ45" i="8"/>
  <c r="EU46" i="8"/>
  <c r="EU47" i="8" s="1"/>
  <c r="FD31" i="8"/>
  <c r="FE46" i="8"/>
  <c r="FE47" i="8" s="1"/>
  <c r="FE57" i="2" s="1"/>
  <c r="ES47" i="8"/>
  <c r="FL31" i="8"/>
  <c r="FR31" i="8"/>
  <c r="FX45" i="8"/>
  <c r="FW31" i="8"/>
  <c r="FW41" i="8" s="1"/>
  <c r="EN46" i="8"/>
  <c r="EN47" i="8" s="1"/>
  <c r="FJ28" i="8"/>
  <c r="FJ33" i="8"/>
  <c r="FV7" i="4"/>
  <c r="FV7" i="5"/>
  <c r="GC35" i="8"/>
  <c r="GC36" i="8" s="1"/>
  <c r="GD34" i="8"/>
  <c r="GJ7" i="4"/>
  <c r="GJ7" i="5"/>
  <c r="FX28" i="8"/>
  <c r="FX33" i="8"/>
  <c r="FS33" i="8"/>
  <c r="FS28" i="8"/>
  <c r="FG31" i="8"/>
  <c r="GU7" i="4"/>
  <c r="GU7" i="5"/>
  <c r="GI28" i="8"/>
  <c r="GI33" i="8"/>
  <c r="FY7" i="4"/>
  <c r="FY7" i="5"/>
  <c r="GC30" i="8"/>
  <c r="GD29" i="8"/>
  <c r="FM30" i="8"/>
  <c r="FP29" i="8"/>
  <c r="FP28" i="8"/>
  <c r="FP33" i="8"/>
  <c r="FP34" i="8"/>
  <c r="FG42" i="8"/>
  <c r="FP54" i="4"/>
  <c r="FQ54" i="4" s="1"/>
  <c r="FR54" i="4" s="1"/>
  <c r="FS54" i="4" s="1"/>
  <c r="FN54" i="4"/>
  <c r="FN48" i="4"/>
  <c r="FP48" i="4"/>
  <c r="FQ48" i="4" s="1"/>
  <c r="FR48" i="4" s="1"/>
  <c r="FS48" i="4" s="1"/>
  <c r="EV57" i="5"/>
  <c r="GO7" i="8"/>
  <c r="FY7" i="8"/>
  <c r="GD7" i="8"/>
  <c r="U22" i="13"/>
  <c r="U24" i="13" s="1"/>
  <c r="EY47" i="8" l="1"/>
  <c r="HI43" i="8"/>
  <c r="HI45" i="4" s="1"/>
  <c r="HI50" i="5"/>
  <c r="HI62" i="5" s="1"/>
  <c r="HF43" i="8"/>
  <c r="HF45" i="4" s="1"/>
  <c r="HG50" i="5"/>
  <c r="HG62" i="5" s="1"/>
  <c r="FG47" i="8"/>
  <c r="FG57" i="2" s="1"/>
  <c r="EZ35" i="8"/>
  <c r="EZ36" i="8" s="1"/>
  <c r="FW43" i="8"/>
  <c r="FW45" i="4" s="1"/>
  <c r="FW99" i="4" s="1"/>
  <c r="FP39" i="8"/>
  <c r="GC42" i="8"/>
  <c r="GC37" i="4" s="1"/>
  <c r="FX39" i="8"/>
  <c r="FJ39" i="8"/>
  <c r="FR42" i="8"/>
  <c r="FR37" i="4" s="1"/>
  <c r="GI39" i="8"/>
  <c r="FS39" i="8"/>
  <c r="EJ46" i="8"/>
  <c r="GD45" i="8"/>
  <c r="FP45" i="8"/>
  <c r="GC31" i="8"/>
  <c r="GC41" i="8" s="1"/>
  <c r="FM46" i="8"/>
  <c r="FM47" i="8" s="1"/>
  <c r="FM57" i="2" s="1"/>
  <c r="EV37" i="4"/>
  <c r="FM31" i="8"/>
  <c r="GB7" i="4"/>
  <c r="GB7" i="5"/>
  <c r="FX35" i="8"/>
  <c r="FX36" i="8" s="1"/>
  <c r="FY34" i="8"/>
  <c r="GP7" i="4"/>
  <c r="GP7" i="5"/>
  <c r="FD42" i="8"/>
  <c r="FD37" i="4" s="1"/>
  <c r="FK34" i="8"/>
  <c r="GD33" i="8"/>
  <c r="GD28" i="8"/>
  <c r="GE7" i="4"/>
  <c r="GE7" i="5"/>
  <c r="FS30" i="8"/>
  <c r="FV29" i="8"/>
  <c r="FX30" i="8"/>
  <c r="FY29" i="8"/>
  <c r="HA7" i="4"/>
  <c r="HA7" i="5"/>
  <c r="FG37" i="4"/>
  <c r="FQ29" i="8"/>
  <c r="FP30" i="8"/>
  <c r="GO28" i="8"/>
  <c r="GO33" i="8"/>
  <c r="FQ34" i="8"/>
  <c r="FJ42" i="8"/>
  <c r="FJ37" i="4" s="1"/>
  <c r="GI35" i="8"/>
  <c r="GI36" i="8" s="1"/>
  <c r="GJ34" i="8"/>
  <c r="FV34" i="8"/>
  <c r="FM42" i="8"/>
  <c r="GI30" i="8"/>
  <c r="GJ29" i="8"/>
  <c r="FY33" i="8"/>
  <c r="FY28" i="8"/>
  <c r="FK29" i="8"/>
  <c r="FJ30" i="8"/>
  <c r="FV54" i="4"/>
  <c r="FW54" i="4" s="1"/>
  <c r="FX54" i="4" s="1"/>
  <c r="FY54" i="4" s="1"/>
  <c r="FT54" i="4"/>
  <c r="FT48" i="4"/>
  <c r="FV48" i="4"/>
  <c r="FW48" i="4" s="1"/>
  <c r="FX48" i="4" s="1"/>
  <c r="FY48" i="4" s="1"/>
  <c r="GU7" i="8"/>
  <c r="GE7" i="8"/>
  <c r="FA37" i="4"/>
  <c r="GJ7" i="8"/>
  <c r="FV7" i="8"/>
  <c r="V22" i="13"/>
  <c r="V24" i="13" s="1"/>
  <c r="HF99" i="4" l="1"/>
  <c r="HF114" i="4"/>
  <c r="HJ45" i="4"/>
  <c r="HI114" i="4"/>
  <c r="HI99" i="4"/>
  <c r="FA35" i="8"/>
  <c r="FD35" i="8" s="1"/>
  <c r="GC43" i="8"/>
  <c r="GC45" i="4" s="1"/>
  <c r="GC114" i="4" s="1"/>
  <c r="FS42" i="8"/>
  <c r="GD39" i="8"/>
  <c r="GO39" i="8"/>
  <c r="FY39" i="8"/>
  <c r="GI42" i="8"/>
  <c r="GI37" i="4" s="1"/>
  <c r="FX42" i="8"/>
  <c r="FX37" i="4" s="1"/>
  <c r="FQ45" i="8"/>
  <c r="FW114" i="4"/>
  <c r="GJ45" i="8"/>
  <c r="FK45" i="8"/>
  <c r="FV45" i="8"/>
  <c r="FP31" i="8"/>
  <c r="FQ46" i="8"/>
  <c r="FS46" i="8"/>
  <c r="FS47" i="8" s="1"/>
  <c r="FS57" i="2" s="1"/>
  <c r="GI31" i="8"/>
  <c r="GI41" i="8" s="1"/>
  <c r="FL46" i="8"/>
  <c r="FL47" i="8" s="1"/>
  <c r="FL57" i="2" s="1"/>
  <c r="FP46" i="8"/>
  <c r="FP47" i="8" s="1"/>
  <c r="FP57" i="2" s="1"/>
  <c r="FY45" i="8"/>
  <c r="FJ31" i="8"/>
  <c r="FK46" i="8"/>
  <c r="FJ46" i="8"/>
  <c r="FJ47" i="8" s="1"/>
  <c r="FJ57" i="2" s="1"/>
  <c r="FR46" i="8"/>
  <c r="FR47" i="8" s="1"/>
  <c r="FR57" i="2" s="1"/>
  <c r="FX31" i="8"/>
  <c r="FX41" i="8" s="1"/>
  <c r="FH37" i="4"/>
  <c r="GK7" i="4"/>
  <c r="GK7" i="5"/>
  <c r="GJ28" i="8"/>
  <c r="GJ33" i="8"/>
  <c r="FY30" i="8"/>
  <c r="FY46" i="8" s="1"/>
  <c r="GB29" i="8"/>
  <c r="GO35" i="8"/>
  <c r="GO36" i="8" s="1"/>
  <c r="GP34" i="8"/>
  <c r="FV33" i="8"/>
  <c r="FV28" i="8"/>
  <c r="GO30" i="8"/>
  <c r="GP29" i="8"/>
  <c r="GE28" i="8"/>
  <c r="GE33" i="8"/>
  <c r="GB34" i="8"/>
  <c r="FY35" i="8"/>
  <c r="FM37" i="4"/>
  <c r="GD30" i="8"/>
  <c r="GE29" i="8"/>
  <c r="GV7" i="4"/>
  <c r="GV7" i="5"/>
  <c r="FS31" i="8"/>
  <c r="GD35" i="8"/>
  <c r="GD36" i="8" s="1"/>
  <c r="GE34" i="8"/>
  <c r="GH7" i="4"/>
  <c r="GH7" i="5"/>
  <c r="GU28" i="8"/>
  <c r="GU33" i="8"/>
  <c r="GB54" i="4"/>
  <c r="GC54" i="4" s="1"/>
  <c r="GD54" i="4" s="1"/>
  <c r="GE54" i="4" s="1"/>
  <c r="FZ54" i="4"/>
  <c r="FZ48" i="4"/>
  <c r="GB48" i="4"/>
  <c r="GC48" i="4" s="1"/>
  <c r="GD48" i="4" s="1"/>
  <c r="GE48" i="4" s="1"/>
  <c r="GP7" i="8"/>
  <c r="GK7" i="8"/>
  <c r="GB7" i="8"/>
  <c r="FB37" i="4"/>
  <c r="HA7" i="8"/>
  <c r="FA53" i="4"/>
  <c r="FD53" i="4" s="1"/>
  <c r="FE53" i="4" s="1"/>
  <c r="FF53" i="4" s="1"/>
  <c r="FG53" i="4" s="1"/>
  <c r="W22" i="13"/>
  <c r="W24" i="13" s="1"/>
  <c r="FX43" i="8" l="1"/>
  <c r="FE35" i="8"/>
  <c r="FD36" i="8"/>
  <c r="FD41" i="8" s="1"/>
  <c r="FD43" i="8" s="1"/>
  <c r="FD45" i="4" s="1"/>
  <c r="FD99" i="4" s="1"/>
  <c r="FY42" i="8"/>
  <c r="GJ39" i="8"/>
  <c r="GO42" i="8"/>
  <c r="GO37" i="4" s="1"/>
  <c r="FP42" i="8"/>
  <c r="FP37" i="4" s="1"/>
  <c r="FQ47" i="8"/>
  <c r="FQ57" i="2" s="1"/>
  <c r="FT57" i="2" s="1"/>
  <c r="GI43" i="8"/>
  <c r="GE39" i="8"/>
  <c r="FV39" i="8"/>
  <c r="GU39" i="8"/>
  <c r="GD42" i="8"/>
  <c r="GB45" i="8"/>
  <c r="FK47" i="8"/>
  <c r="FK57" i="2" s="1"/>
  <c r="FN57" i="2" s="1"/>
  <c r="FY47" i="8"/>
  <c r="FY57" i="2" s="1"/>
  <c r="GC99" i="4"/>
  <c r="GP45" i="8"/>
  <c r="GE45" i="8"/>
  <c r="FX45" i="4"/>
  <c r="FX99" i="4" s="1"/>
  <c r="GI45" i="4"/>
  <c r="GI99" i="4" s="1"/>
  <c r="GO31" i="8"/>
  <c r="GO41" i="8" s="1"/>
  <c r="GO43" i="8" s="1"/>
  <c r="GD31" i="8"/>
  <c r="GD41" i="8" s="1"/>
  <c r="GD43" i="8" s="1"/>
  <c r="FN37" i="4"/>
  <c r="GD37" i="4"/>
  <c r="FY31" i="8"/>
  <c r="FY36" i="8"/>
  <c r="GJ30" i="8"/>
  <c r="GK29" i="8"/>
  <c r="GU30" i="8"/>
  <c r="GV29" i="8"/>
  <c r="FV35" i="8"/>
  <c r="FV36" i="8" s="1"/>
  <c r="FW34" i="8"/>
  <c r="GE30" i="8"/>
  <c r="GE46" i="8" s="1"/>
  <c r="GH29" i="8"/>
  <c r="FS37" i="4"/>
  <c r="GQ7" i="4"/>
  <c r="GQ7" i="5"/>
  <c r="HA33" i="8"/>
  <c r="HA28" i="8"/>
  <c r="HB7" i="4"/>
  <c r="HB7" i="5"/>
  <c r="GB33" i="8"/>
  <c r="GB28" i="8"/>
  <c r="GN7" i="4"/>
  <c r="GN7" i="5"/>
  <c r="GJ35" i="8"/>
  <c r="GJ36" i="8" s="1"/>
  <c r="GK34" i="8"/>
  <c r="GK28" i="8"/>
  <c r="GK33" i="8"/>
  <c r="GP33" i="8"/>
  <c r="GP28" i="8"/>
  <c r="GU35" i="8"/>
  <c r="GU36" i="8" s="1"/>
  <c r="GV34" i="8"/>
  <c r="GE35" i="8"/>
  <c r="GH34" i="8"/>
  <c r="FW29" i="8"/>
  <c r="FV30" i="8"/>
  <c r="GH54" i="4"/>
  <c r="GI54" i="4" s="1"/>
  <c r="GJ54" i="4" s="1"/>
  <c r="GK54" i="4" s="1"/>
  <c r="GF54" i="4"/>
  <c r="FH53" i="4"/>
  <c r="FJ53" i="4"/>
  <c r="FK53" i="4" s="1"/>
  <c r="FL53" i="4" s="1"/>
  <c r="FM53" i="4" s="1"/>
  <c r="GF48" i="4"/>
  <c r="GH48" i="4"/>
  <c r="GI48" i="4" s="1"/>
  <c r="GJ48" i="4" s="1"/>
  <c r="GK48" i="4" s="1"/>
  <c r="FB53" i="4"/>
  <c r="GH7" i="8"/>
  <c r="GV7" i="8"/>
  <c r="GQ7" i="8"/>
  <c r="EV53" i="4"/>
  <c r="FD114" i="4" l="1"/>
  <c r="FE36" i="8"/>
  <c r="FE41" i="8" s="1"/>
  <c r="FE43" i="8" s="1"/>
  <c r="FE45" i="4" s="1"/>
  <c r="FF35" i="8"/>
  <c r="GE42" i="8"/>
  <c r="GJ42" i="8"/>
  <c r="GJ37" i="4" s="1"/>
  <c r="FV42" i="8"/>
  <c r="GK39" i="8"/>
  <c r="GP39" i="8"/>
  <c r="GB39" i="8"/>
  <c r="HA39" i="8"/>
  <c r="FY41" i="8"/>
  <c r="FY43" i="8" s="1"/>
  <c r="FY45" i="4" s="1"/>
  <c r="FZ45" i="4" s="1"/>
  <c r="HA42" i="8"/>
  <c r="HA37" i="4" s="1"/>
  <c r="GU42" i="8"/>
  <c r="GE47" i="8"/>
  <c r="GE57" i="2" s="1"/>
  <c r="FX114" i="4"/>
  <c r="GO45" i="4"/>
  <c r="GO114" i="4" s="1"/>
  <c r="GD45" i="4"/>
  <c r="GD99" i="4" s="1"/>
  <c r="GH45" i="8"/>
  <c r="FA30" i="8"/>
  <c r="FD46" i="8" s="1"/>
  <c r="FD47" i="8" s="1"/>
  <c r="FD57" i="2" s="1"/>
  <c r="FH57" i="2" s="1"/>
  <c r="FX46" i="8"/>
  <c r="FX47" i="8" s="1"/>
  <c r="FX57" i="2" s="1"/>
  <c r="GV45" i="8"/>
  <c r="GU31" i="8"/>
  <c r="GU41" i="8" s="1"/>
  <c r="FV31" i="8"/>
  <c r="FV41" i="8" s="1"/>
  <c r="FV43" i="8" s="1"/>
  <c r="FW46" i="8"/>
  <c r="FV46" i="8"/>
  <c r="FV47" i="8" s="1"/>
  <c r="FV57" i="2" s="1"/>
  <c r="GK45" i="8"/>
  <c r="GI114" i="4"/>
  <c r="FW45" i="8"/>
  <c r="GJ31" i="8"/>
  <c r="GJ41" i="8" s="1"/>
  <c r="FT37" i="4"/>
  <c r="GE36" i="8"/>
  <c r="GE31" i="8"/>
  <c r="GK30" i="8"/>
  <c r="GK46" i="8" s="1"/>
  <c r="GN29" i="8"/>
  <c r="HA30" i="8"/>
  <c r="HB29" i="8"/>
  <c r="GT7" i="4"/>
  <c r="GT7" i="5"/>
  <c r="GB35" i="8"/>
  <c r="GB36" i="8" s="1"/>
  <c r="GC34" i="8"/>
  <c r="FV37" i="4"/>
  <c r="GQ33" i="8"/>
  <c r="GQ28" i="8"/>
  <c r="FY37" i="4"/>
  <c r="GH28" i="8"/>
  <c r="GH33" i="8"/>
  <c r="HA35" i="8"/>
  <c r="HA36" i="8" s="1"/>
  <c r="HB34" i="8"/>
  <c r="GU37" i="4"/>
  <c r="GW7" i="4"/>
  <c r="GW7" i="5"/>
  <c r="GQ34" i="8"/>
  <c r="GP35" i="8"/>
  <c r="GP36" i="8" s="1"/>
  <c r="GV28" i="8"/>
  <c r="GV33" i="8"/>
  <c r="GQ29" i="8"/>
  <c r="GP30" i="8"/>
  <c r="GN34" i="8"/>
  <c r="GK35" i="8"/>
  <c r="GB30" i="8"/>
  <c r="GC29" i="8"/>
  <c r="FN53" i="4"/>
  <c r="FP53" i="4"/>
  <c r="FQ53" i="4" s="1"/>
  <c r="FR53" i="4" s="1"/>
  <c r="FS53" i="4" s="1"/>
  <c r="GN54" i="4"/>
  <c r="GO54" i="4" s="1"/>
  <c r="GP54" i="4" s="1"/>
  <c r="GQ54" i="4" s="1"/>
  <c r="GL54" i="4"/>
  <c r="GL48" i="4"/>
  <c r="GN48" i="4"/>
  <c r="GO48" i="4" s="1"/>
  <c r="GP48" i="4" s="1"/>
  <c r="GQ48" i="4" s="1"/>
  <c r="HB7" i="8"/>
  <c r="GW7" i="8"/>
  <c r="GN7" i="8"/>
  <c r="GJ43" i="8" l="1"/>
  <c r="GU43" i="8"/>
  <c r="GK42" i="8"/>
  <c r="FF36" i="8"/>
  <c r="FF41" i="8" s="1"/>
  <c r="FF43" i="8" s="1"/>
  <c r="FF45" i="4" s="1"/>
  <c r="FG35" i="8"/>
  <c r="FE99" i="4"/>
  <c r="FE114" i="4"/>
  <c r="GV39" i="8"/>
  <c r="GB42" i="8"/>
  <c r="GB37" i="4" s="1"/>
  <c r="GP42" i="8"/>
  <c r="GH39" i="8"/>
  <c r="GE41" i="8"/>
  <c r="GE43" i="8" s="1"/>
  <c r="GE45" i="4" s="1"/>
  <c r="GF45" i="4" s="1"/>
  <c r="GQ39" i="8"/>
  <c r="GD114" i="4"/>
  <c r="GO99" i="4"/>
  <c r="GU45" i="4"/>
  <c r="GU99" i="4" s="1"/>
  <c r="GJ45" i="4"/>
  <c r="GJ114" i="4" s="1"/>
  <c r="FW47" i="8"/>
  <c r="FW57" i="2" s="1"/>
  <c r="FZ57" i="2" s="1"/>
  <c r="FA46" i="8"/>
  <c r="FA47" i="8" s="1"/>
  <c r="GB31" i="8"/>
  <c r="GB41" i="8" s="1"/>
  <c r="GC46" i="8"/>
  <c r="GB46" i="8"/>
  <c r="GB47" i="8" s="1"/>
  <c r="GB57" i="2" s="1"/>
  <c r="GC45" i="8"/>
  <c r="GD46" i="8"/>
  <c r="GD47" i="8" s="1"/>
  <c r="GD57" i="2" s="1"/>
  <c r="GP31" i="8"/>
  <c r="GP41" i="8" s="1"/>
  <c r="GP43" i="8" s="1"/>
  <c r="HB45" i="8"/>
  <c r="HA31" i="8"/>
  <c r="GQ45" i="8"/>
  <c r="FV45" i="4"/>
  <c r="FV114" i="4" s="1"/>
  <c r="FY114" i="4"/>
  <c r="GK47" i="8"/>
  <c r="GK57" i="2" s="1"/>
  <c r="GN45" i="8"/>
  <c r="FZ37" i="4"/>
  <c r="FY99" i="4"/>
  <c r="GK36" i="8"/>
  <c r="HC7" i="4"/>
  <c r="HC7" i="5"/>
  <c r="GT34" i="8"/>
  <c r="GQ35" i="8"/>
  <c r="HB33" i="8"/>
  <c r="HB28" i="8"/>
  <c r="GH35" i="8"/>
  <c r="GH36" i="8" s="1"/>
  <c r="GI34" i="8"/>
  <c r="GZ7" i="4"/>
  <c r="GZ7" i="5"/>
  <c r="GI29" i="8"/>
  <c r="GH30" i="8"/>
  <c r="GE37" i="4"/>
  <c r="GT29" i="8"/>
  <c r="GQ30" i="8"/>
  <c r="GW34" i="8"/>
  <c r="GV35" i="8"/>
  <c r="GV36" i="8" s="1"/>
  <c r="GP37" i="4"/>
  <c r="GN28" i="8"/>
  <c r="GN33" i="8"/>
  <c r="GV30" i="8"/>
  <c r="GW29" i="8"/>
  <c r="GW28" i="8"/>
  <c r="GW33" i="8"/>
  <c r="GK31" i="8"/>
  <c r="GT54" i="4"/>
  <c r="GU54" i="4" s="1"/>
  <c r="GV54" i="4" s="1"/>
  <c r="GW54" i="4" s="1"/>
  <c r="GR54" i="4"/>
  <c r="FT53" i="4"/>
  <c r="FV53" i="4"/>
  <c r="FW53" i="4" s="1"/>
  <c r="FX53" i="4" s="1"/>
  <c r="FY53" i="4" s="1"/>
  <c r="GR48" i="4"/>
  <c r="GT48" i="4"/>
  <c r="GU48" i="4" s="1"/>
  <c r="GV48" i="4" s="1"/>
  <c r="GW48" i="4" s="1"/>
  <c r="GT7" i="8"/>
  <c r="HC7" i="8"/>
  <c r="GB43" i="8" l="1"/>
  <c r="FJ35" i="8"/>
  <c r="FG36" i="8"/>
  <c r="FG41" i="8" s="1"/>
  <c r="FG43" i="8" s="1"/>
  <c r="FG45" i="4" s="1"/>
  <c r="FF99" i="4"/>
  <c r="FF114" i="4"/>
  <c r="GQ42" i="8"/>
  <c r="GH42" i="8"/>
  <c r="GK41" i="8"/>
  <c r="GK43" i="8" s="1"/>
  <c r="GK45" i="4" s="1"/>
  <c r="GL45" i="4" s="1"/>
  <c r="GW39" i="8"/>
  <c r="GN39" i="8"/>
  <c r="HB39" i="8"/>
  <c r="HB42" i="8"/>
  <c r="HB37" i="4" s="1"/>
  <c r="GV42" i="8"/>
  <c r="GV37" i="4" s="1"/>
  <c r="HA41" i="8"/>
  <c r="HA43" i="8" s="1"/>
  <c r="HA45" i="4" s="1"/>
  <c r="GU114" i="4"/>
  <c r="GC47" i="8"/>
  <c r="GC57" i="2" s="1"/>
  <c r="GF57" i="2" s="1"/>
  <c r="GT45" i="8"/>
  <c r="GJ99" i="4"/>
  <c r="FV99" i="4"/>
  <c r="GP45" i="4"/>
  <c r="GP99" i="4" s="1"/>
  <c r="GJ46" i="8"/>
  <c r="GJ47" i="8" s="1"/>
  <c r="GJ57" i="2" s="1"/>
  <c r="GB45" i="4"/>
  <c r="GB99" i="4" s="1"/>
  <c r="GW45" i="8"/>
  <c r="GH31" i="8"/>
  <c r="GH41" i="8" s="1"/>
  <c r="GH43" i="8" s="1"/>
  <c r="GI46" i="8"/>
  <c r="GH46" i="8"/>
  <c r="GH47" i="8" s="1"/>
  <c r="GH57" i="2" s="1"/>
  <c r="GE114" i="4"/>
  <c r="GI45" i="8"/>
  <c r="GV31" i="8"/>
  <c r="GV41" i="8" s="1"/>
  <c r="GV43" i="8" s="1"/>
  <c r="GQ46" i="8"/>
  <c r="GQ47" i="8" s="1"/>
  <c r="GQ57" i="2" s="1"/>
  <c r="GF37" i="4"/>
  <c r="GE99" i="4"/>
  <c r="GK37" i="4"/>
  <c r="HC29" i="8"/>
  <c r="HB30" i="8"/>
  <c r="GZ34" i="8"/>
  <c r="GW35" i="8"/>
  <c r="GN35" i="8"/>
  <c r="GN36" i="8" s="1"/>
  <c r="GH37" i="4"/>
  <c r="GO34" i="8"/>
  <c r="GT33" i="8"/>
  <c r="GT28" i="8"/>
  <c r="GZ29" i="8"/>
  <c r="GW30" i="8"/>
  <c r="GW46" i="8" s="1"/>
  <c r="HC34" i="8"/>
  <c r="HB35" i="8"/>
  <c r="HB36" i="8" s="1"/>
  <c r="GN30" i="8"/>
  <c r="GO29" i="8"/>
  <c r="HC33" i="8"/>
  <c r="HF34" i="8" s="1"/>
  <c r="HG46" i="8" s="1"/>
  <c r="HG47" i="8" s="1"/>
  <c r="HG57" i="2" s="1"/>
  <c r="HG48" i="8" s="1"/>
  <c r="HC28" i="8"/>
  <c r="HF29" i="8" s="1"/>
  <c r="GQ31" i="8"/>
  <c r="GQ36" i="8"/>
  <c r="FZ53" i="4"/>
  <c r="GB53" i="4"/>
  <c r="GC53" i="4" s="1"/>
  <c r="GD53" i="4" s="1"/>
  <c r="GE53" i="4" s="1"/>
  <c r="GZ54" i="4"/>
  <c r="HA54" i="4" s="1"/>
  <c r="HB54" i="4" s="1"/>
  <c r="HC54" i="4" s="1"/>
  <c r="GX54" i="4"/>
  <c r="GX48" i="4"/>
  <c r="GZ48" i="4"/>
  <c r="HA48" i="4" s="1"/>
  <c r="HB48" i="4" s="1"/>
  <c r="HC48" i="4" s="1"/>
  <c r="GZ7" i="8"/>
  <c r="HF45" i="8" l="1"/>
  <c r="HD48" i="4"/>
  <c r="HF48" i="4"/>
  <c r="HD54" i="4"/>
  <c r="HF54" i="4"/>
  <c r="HG54" i="4" s="1"/>
  <c r="HH54" i="4" s="1"/>
  <c r="HI54" i="4" s="1"/>
  <c r="HJ54" i="4" s="1"/>
  <c r="GT39" i="8"/>
  <c r="FH45" i="4"/>
  <c r="FG99" i="4"/>
  <c r="FG114" i="4"/>
  <c r="FK35" i="8"/>
  <c r="FJ36" i="8"/>
  <c r="FJ41" i="8" s="1"/>
  <c r="FJ43" i="8" s="1"/>
  <c r="FJ45" i="4" s="1"/>
  <c r="HC39" i="8"/>
  <c r="GQ41" i="8"/>
  <c r="GQ43" i="8" s="1"/>
  <c r="GQ45" i="4" s="1"/>
  <c r="GR45" i="4" s="1"/>
  <c r="HA99" i="4"/>
  <c r="HA114" i="4"/>
  <c r="HC42" i="8"/>
  <c r="GW42" i="8"/>
  <c r="GN42" i="8"/>
  <c r="GN37" i="4" s="1"/>
  <c r="GH45" i="4"/>
  <c r="GH114" i="4" s="1"/>
  <c r="GP114" i="4"/>
  <c r="GB114" i="4"/>
  <c r="GV45" i="4"/>
  <c r="GV99" i="4" s="1"/>
  <c r="GW47" i="8"/>
  <c r="GW57" i="2" s="1"/>
  <c r="HC45" i="8"/>
  <c r="GZ45" i="8"/>
  <c r="HB31" i="8"/>
  <c r="GK114" i="4"/>
  <c r="GI47" i="8"/>
  <c r="GI57" i="2" s="1"/>
  <c r="GL57" i="2" s="1"/>
  <c r="GP46" i="8"/>
  <c r="GP47" i="8" s="1"/>
  <c r="GP57" i="2" s="1"/>
  <c r="GO45" i="8"/>
  <c r="GN31" i="8"/>
  <c r="GN41" i="8" s="1"/>
  <c r="GO46" i="8"/>
  <c r="GN46" i="8"/>
  <c r="GN47" i="8" s="1"/>
  <c r="GN57" i="2" s="1"/>
  <c r="GL37" i="4"/>
  <c r="GK99" i="4"/>
  <c r="GT35" i="8"/>
  <c r="GT36" i="8" s="1"/>
  <c r="GU34" i="8"/>
  <c r="GQ37" i="4"/>
  <c r="HC30" i="8"/>
  <c r="HF46" i="8" s="1"/>
  <c r="HF47" i="8" s="1"/>
  <c r="HF57" i="2" s="1"/>
  <c r="GW36" i="8"/>
  <c r="GT30" i="8"/>
  <c r="GU29" i="8"/>
  <c r="GZ33" i="8"/>
  <c r="GZ28" i="8"/>
  <c r="HC35" i="8"/>
  <c r="GW31" i="8"/>
  <c r="GF53" i="4"/>
  <c r="GH53" i="4"/>
  <c r="GI53" i="4" s="1"/>
  <c r="GJ53" i="4" s="1"/>
  <c r="GK53" i="4" s="1"/>
  <c r="HF48" i="8" l="1"/>
  <c r="HJ57" i="2"/>
  <c r="HG48" i="4"/>
  <c r="HF49" i="4"/>
  <c r="GN43" i="8"/>
  <c r="FK36" i="8"/>
  <c r="FK41" i="8" s="1"/>
  <c r="FK43" i="8" s="1"/>
  <c r="FK45" i="4" s="1"/>
  <c r="FL35" i="8"/>
  <c r="FJ114" i="4"/>
  <c r="FJ99" i="4"/>
  <c r="GZ39" i="8"/>
  <c r="GW41" i="8"/>
  <c r="GW43" i="8" s="1"/>
  <c r="GW45" i="4" s="1"/>
  <c r="GX45" i="4" s="1"/>
  <c r="GZ42" i="8"/>
  <c r="GZ37" i="4" s="1"/>
  <c r="GT42" i="8"/>
  <c r="HB41" i="8"/>
  <c r="HB43" i="8" s="1"/>
  <c r="HB45" i="4" s="1"/>
  <c r="HB114" i="4" s="1"/>
  <c r="GH99" i="4"/>
  <c r="GV114" i="4"/>
  <c r="GN45" i="4"/>
  <c r="GN99" i="4" s="1"/>
  <c r="GO47" i="8"/>
  <c r="GO57" i="2" s="1"/>
  <c r="GR57" i="2" s="1"/>
  <c r="GT31" i="8"/>
  <c r="GT41" i="8" s="1"/>
  <c r="GT43" i="8" s="1"/>
  <c r="GU46" i="8"/>
  <c r="GT46" i="8"/>
  <c r="GT47" i="8" s="1"/>
  <c r="GT57" i="2" s="1"/>
  <c r="GQ114" i="4"/>
  <c r="GV46" i="8"/>
  <c r="GV47" i="8" s="1"/>
  <c r="GV57" i="2" s="1"/>
  <c r="GU45" i="8"/>
  <c r="HC46" i="8"/>
  <c r="HC47" i="8" s="1"/>
  <c r="HC57" i="2" s="1"/>
  <c r="GR37" i="4"/>
  <c r="GQ99" i="4"/>
  <c r="HC36" i="8"/>
  <c r="GW37" i="4"/>
  <c r="GZ35" i="8"/>
  <c r="GZ36" i="8" s="1"/>
  <c r="HA34" i="8"/>
  <c r="GT37" i="4"/>
  <c r="GZ30" i="8"/>
  <c r="HA29" i="8"/>
  <c r="HC37" i="4"/>
  <c r="HC31" i="8"/>
  <c r="GL53" i="4"/>
  <c r="GN53" i="4"/>
  <c r="GO53" i="4" s="1"/>
  <c r="GP53" i="4" s="1"/>
  <c r="GQ53" i="4" s="1"/>
  <c r="HH48" i="4" l="1"/>
  <c r="HG49" i="4"/>
  <c r="FL36" i="8"/>
  <c r="FL41" i="8" s="1"/>
  <c r="FL43" i="8" s="1"/>
  <c r="FL45" i="4" s="1"/>
  <c r="FM35" i="8"/>
  <c r="FK114" i="4"/>
  <c r="FK99" i="4"/>
  <c r="HB99" i="4"/>
  <c r="HC41" i="8"/>
  <c r="GN114" i="4"/>
  <c r="GU47" i="8"/>
  <c r="GU57" i="2" s="1"/>
  <c r="GX57" i="2" s="1"/>
  <c r="GT45" i="4"/>
  <c r="GT114" i="4" s="1"/>
  <c r="HA45" i="8"/>
  <c r="GW114" i="4"/>
  <c r="GZ31" i="8"/>
  <c r="GZ41" i="8" s="1"/>
  <c r="GZ43" i="8" s="1"/>
  <c r="HA46" i="8"/>
  <c r="GZ46" i="8"/>
  <c r="GZ47" i="8" s="1"/>
  <c r="GZ57" i="2" s="1"/>
  <c r="HB46" i="8"/>
  <c r="HB47" i="8" s="1"/>
  <c r="HB57" i="2" s="1"/>
  <c r="HD37" i="4"/>
  <c r="GX37" i="4"/>
  <c r="GW99" i="4"/>
  <c r="FS35" i="8"/>
  <c r="GR53" i="4"/>
  <c r="GT53" i="4"/>
  <c r="GU53" i="4" s="1"/>
  <c r="GV53" i="4" s="1"/>
  <c r="GW53" i="4" s="1"/>
  <c r="HC43" i="8" l="1"/>
  <c r="HC45" i="4" s="1"/>
  <c r="HD45" i="4" s="1"/>
  <c r="HF50" i="5"/>
  <c r="HI48" i="4"/>
  <c r="HH49" i="4"/>
  <c r="FM36" i="8"/>
  <c r="FM41" i="8" s="1"/>
  <c r="FM43" i="8" s="1"/>
  <c r="FM45" i="4" s="1"/>
  <c r="FP35" i="8"/>
  <c r="FL99" i="4"/>
  <c r="FL114" i="4"/>
  <c r="GZ45" i="4"/>
  <c r="GZ99" i="4" s="1"/>
  <c r="GT99" i="4"/>
  <c r="HA47" i="8"/>
  <c r="HA57" i="2" s="1"/>
  <c r="HD57" i="2" s="1"/>
  <c r="HC99" i="4"/>
  <c r="HC114" i="4"/>
  <c r="FS36" i="8"/>
  <c r="FS41" i="8" s="1"/>
  <c r="FS43" i="8" s="1"/>
  <c r="GX53" i="4"/>
  <c r="GZ53" i="4"/>
  <c r="HA53" i="4" s="1"/>
  <c r="HB53" i="4" s="1"/>
  <c r="HC53" i="4" s="1"/>
  <c r="HD53" i="4" l="1"/>
  <c r="HF53" i="4"/>
  <c r="HG53" i="4" s="1"/>
  <c r="HH53" i="4" s="1"/>
  <c r="HI53" i="4" s="1"/>
  <c r="HJ53" i="4" s="1"/>
  <c r="HJ48" i="4"/>
  <c r="HJ49" i="4" s="1"/>
  <c r="HI49" i="4"/>
  <c r="HJ50" i="5"/>
  <c r="HJ62" i="5" s="1"/>
  <c r="HF62" i="5"/>
  <c r="FQ35" i="8"/>
  <c r="FP36" i="8"/>
  <c r="FP41" i="8" s="1"/>
  <c r="FP43" i="8" s="1"/>
  <c r="FP45" i="4" s="1"/>
  <c r="FM114" i="4"/>
  <c r="FN45" i="4"/>
  <c r="FM99" i="4"/>
  <c r="AF45" i="7" s="1"/>
  <c r="GZ114" i="4"/>
  <c r="FS45" i="4"/>
  <c r="FP99" i="4" l="1"/>
  <c r="FP114" i="4"/>
  <c r="FR35" i="8"/>
  <c r="FR36" i="8" s="1"/>
  <c r="FR41" i="8" s="1"/>
  <c r="FR43" i="8" s="1"/>
  <c r="FR45" i="4" s="1"/>
  <c r="FQ36" i="8"/>
  <c r="FQ41" i="8" s="1"/>
  <c r="FQ43" i="8" s="1"/>
  <c r="FQ45" i="4" s="1"/>
  <c r="FT45" i="4"/>
  <c r="FS114" i="4"/>
  <c r="FS99" i="4"/>
  <c r="FQ99" i="4" l="1"/>
  <c r="FQ114" i="4"/>
  <c r="FR114" i="4"/>
  <c r="FR99" i="4"/>
  <c r="GX57" i="5"/>
  <c r="EV82" i="4" l="1"/>
  <c r="Z20" i="7" l="1"/>
  <c r="Y27" i="7" l="1"/>
  <c r="Y28" i="7" s="1"/>
  <c r="DH77" i="5" l="1"/>
  <c r="DI77" i="5" l="1"/>
  <c r="DJ77" i="5" l="1"/>
  <c r="DK77" i="5"/>
  <c r="DT76" i="5" l="1"/>
  <c r="DN76" i="5" l="1"/>
  <c r="DN77" i="5"/>
  <c r="DU76" i="5"/>
  <c r="DO76" i="5" l="1"/>
  <c r="DO77" i="5"/>
  <c r="DV76" i="5"/>
  <c r="DP76" i="5" l="1"/>
  <c r="DP77" i="5"/>
  <c r="DW76" i="5"/>
  <c r="DQ76" i="5" l="1"/>
  <c r="EP58" i="8" l="1"/>
  <c r="EN58" i="8" l="1"/>
  <c r="EN63" i="8" s="1"/>
  <c r="EN59" i="8" l="1"/>
  <c r="EO58" i="8"/>
  <c r="EO59" i="8" l="1"/>
  <c r="EO63" i="8"/>
  <c r="EP62" i="8" l="1"/>
  <c r="EP59" i="8" s="1"/>
  <c r="ES58" i="8" l="1"/>
  <c r="ES59" i="8" l="1"/>
  <c r="ES63" i="8"/>
  <c r="EP51" i="8"/>
  <c r="EN51" i="8" l="1"/>
  <c r="EN56" i="8" s="1"/>
  <c r="EP55" i="8" l="1"/>
  <c r="EL65" i="8" l="1"/>
  <c r="EL66" i="8" s="1"/>
  <c r="EP65" i="8" l="1"/>
  <c r="EM65" i="8" l="1"/>
  <c r="EM66" i="8" s="1"/>
  <c r="EN65" i="8" l="1"/>
  <c r="EN66" i="8" s="1"/>
  <c r="EO65" i="8" l="1"/>
  <c r="EO66" i="8" s="1"/>
  <c r="EP66" i="8" s="1"/>
  <c r="EP68" i="8" s="1"/>
  <c r="ER65" i="8" l="1"/>
  <c r="ER66" i="8" l="1"/>
  <c r="EV65" i="8"/>
  <c r="ES65" i="8"/>
  <c r="Z11" i="7" l="1"/>
  <c r="EV81" i="4" l="1"/>
  <c r="FA81" i="4" l="1"/>
  <c r="FD81" i="4" l="1"/>
  <c r="FE81" i="4" s="1"/>
  <c r="FB81" i="4"/>
  <c r="FF81" i="4" l="1"/>
  <c r="FG81" i="4" l="1"/>
  <c r="Y11" i="7"/>
  <c r="Y12" i="7" s="1"/>
  <c r="FJ81" i="4" l="1"/>
  <c r="FK81" i="4" s="1"/>
  <c r="FH81" i="4"/>
  <c r="FL81" i="4" l="1"/>
  <c r="FM81" i="4" l="1"/>
  <c r="Y39" i="7"/>
  <c r="FP81" i="4" l="1"/>
  <c r="FQ81" i="4" s="1"/>
  <c r="FN81" i="4"/>
  <c r="FR81" i="4" l="1"/>
  <c r="FS81" i="4" l="1"/>
  <c r="FV81" i="4" l="1"/>
  <c r="FW81" i="4" s="1"/>
  <c r="FX81" i="4" s="1"/>
  <c r="FY81" i="4" s="1"/>
  <c r="FT81" i="4"/>
  <c r="DZ9" i="8"/>
  <c r="DZ11" i="8" s="1"/>
  <c r="GB81" i="4" l="1"/>
  <c r="GC81" i="4" s="1"/>
  <c r="GD81" i="4" s="1"/>
  <c r="GE81" i="4" s="1"/>
  <c r="FZ81" i="4"/>
  <c r="EA11" i="8"/>
  <c r="GH81" i="4" l="1"/>
  <c r="GI81" i="4" s="1"/>
  <c r="GJ81" i="4" s="1"/>
  <c r="GK81" i="4" s="1"/>
  <c r="GF81" i="4"/>
  <c r="GN81" i="4" l="1"/>
  <c r="GO81" i="4" s="1"/>
  <c r="GP81" i="4" s="1"/>
  <c r="GQ81" i="4" s="1"/>
  <c r="GL81" i="4"/>
  <c r="Y41" i="7"/>
  <c r="Y15" i="7"/>
  <c r="Y16" i="7" s="1"/>
  <c r="Y17" i="7" s="1"/>
  <c r="GT81" i="4" l="1"/>
  <c r="GU81" i="4" s="1"/>
  <c r="GV81" i="4" s="1"/>
  <c r="GW81" i="4" s="1"/>
  <c r="GR81" i="4"/>
  <c r="Y46" i="7"/>
  <c r="Y51" i="7" s="1"/>
  <c r="Y52" i="7" s="1"/>
  <c r="GZ81" i="4" l="1"/>
  <c r="HA81" i="4" s="1"/>
  <c r="HB81" i="4" s="1"/>
  <c r="HC81" i="4" s="1"/>
  <c r="GX81" i="4"/>
  <c r="Y19" i="7"/>
  <c r="Y21" i="7" s="1"/>
  <c r="HD81" i="4" l="1"/>
  <c r="HF81" i="4"/>
  <c r="Y23" i="7"/>
  <c r="Y24" i="7" s="1"/>
  <c r="Y22" i="7"/>
  <c r="HG81" i="4" l="1"/>
  <c r="Y26" i="7"/>
  <c r="Y29" i="7" s="1"/>
  <c r="HH81" i="4" l="1"/>
  <c r="Y48" i="7"/>
  <c r="Y47" i="7"/>
  <c r="Y49" i="7"/>
  <c r="HI81" i="4" l="1"/>
  <c r="Y31" i="7"/>
  <c r="Y13" i="7"/>
  <c r="Y36" i="7"/>
  <c r="Y40" i="7"/>
  <c r="HJ81" i="4" l="1"/>
  <c r="Y42" i="7"/>
  <c r="Y37" i="7"/>
  <c r="Z27" i="7" l="1"/>
  <c r="Z28" i="7" l="1"/>
  <c r="Z12" i="7"/>
  <c r="Z39" i="7" l="1"/>
  <c r="Z15" i="7" l="1"/>
  <c r="Z16" i="7" s="1"/>
  <c r="Z17" i="7" s="1"/>
  <c r="Z41" i="7"/>
  <c r="Z46" i="7" l="1"/>
  <c r="Z51" i="7" s="1"/>
  <c r="Z52" i="7" s="1"/>
  <c r="Z19" i="7" l="1"/>
  <c r="Z21" i="7" s="1"/>
  <c r="Z22" i="7" l="1"/>
  <c r="Z23" i="7"/>
  <c r="Z24" i="7" s="1"/>
  <c r="EI9" i="8" l="1"/>
  <c r="EI11" i="8" l="1"/>
  <c r="Z26" i="7"/>
  <c r="Z29" i="7" l="1"/>
  <c r="Z13" i="7" s="1"/>
  <c r="Z49" i="7"/>
  <c r="Z47" i="7"/>
  <c r="Z48" i="7"/>
  <c r="Z31" i="7" l="1"/>
  <c r="Z36" i="7"/>
  <c r="Z40" i="7"/>
  <c r="Z42" i="7" l="1"/>
  <c r="Z37" i="7"/>
  <c r="EL9" i="8" l="1"/>
  <c r="EL11" i="8" s="1"/>
  <c r="EM9" i="8" l="1"/>
  <c r="EM11" i="8" l="1"/>
  <c r="AA21" i="7" l="1"/>
  <c r="AA23" i="7" s="1"/>
  <c r="AA51" i="7"/>
  <c r="AA52" i="7" s="1"/>
  <c r="AA47" i="7"/>
  <c r="AA24" i="7" l="1"/>
  <c r="AA22" i="7"/>
  <c r="EN9" i="8" l="1"/>
  <c r="EN11" i="8" l="1"/>
  <c r="AA37" i="7" l="1"/>
  <c r="EO9" i="8" l="1"/>
  <c r="EO11" i="8" l="1"/>
  <c r="ER68" i="5" l="1"/>
  <c r="AA17" i="7" l="1"/>
  <c r="AA42" i="7"/>
  <c r="ES84" i="4" l="1"/>
  <c r="EP53" i="8" l="1"/>
  <c r="FH53" i="8" l="1"/>
  <c r="EP54" i="8"/>
  <c r="EP56" i="8" s="1"/>
  <c r="EN52" i="8"/>
  <c r="EO51" i="8"/>
  <c r="EO52" i="8" l="1"/>
  <c r="EO56" i="8"/>
  <c r="FN53" i="8"/>
  <c r="EP52" i="8"/>
  <c r="FT53" i="8" l="1"/>
  <c r="ES51" i="8"/>
  <c r="ER47" i="5"/>
  <c r="ES52" i="8" l="1"/>
  <c r="ES56" i="8"/>
  <c r="FZ53" i="8"/>
  <c r="ER36" i="5"/>
  <c r="ER79" i="5" s="1"/>
  <c r="GF53" i="8" l="1"/>
  <c r="ER75" i="5"/>
  <c r="ER76" i="5" s="1"/>
  <c r="GL53" i="8" l="1"/>
  <c r="ER77" i="5"/>
  <c r="ER43" i="8"/>
  <c r="GR53" i="8" l="1"/>
  <c r="ER64" i="5"/>
  <c r="ER66" i="5" s="1"/>
  <c r="GX53" i="8" l="1"/>
  <c r="ER69" i="5"/>
  <c r="ER70" i="5" s="1"/>
  <c r="ER73" i="5" s="1"/>
  <c r="ER9" i="8"/>
  <c r="ET11" i="8" s="1"/>
  <c r="HD53" i="8" l="1"/>
  <c r="ES11" i="8"/>
  <c r="ER11" i="8"/>
  <c r="ES68" i="5"/>
  <c r="HJ53" i="8" l="1"/>
  <c r="DL98" i="2"/>
  <c r="DL74" i="2"/>
  <c r="HF53" i="8" l="1"/>
  <c r="HF39" i="5" s="1"/>
  <c r="HG53" i="8"/>
  <c r="DL79" i="2"/>
  <c r="HH53" i="8" l="1"/>
  <c r="HG39" i="5"/>
  <c r="HG47" i="5" s="1"/>
  <c r="HF47" i="5"/>
  <c r="DL80" i="2"/>
  <c r="DL81" i="2"/>
  <c r="HH39" i="5" l="1"/>
  <c r="HI53" i="8"/>
  <c r="HI39" i="5" s="1"/>
  <c r="HI47" i="5" s="1"/>
  <c r="DL157" i="2"/>
  <c r="DL82" i="2"/>
  <c r="DL77" i="5"/>
  <c r="HH47" i="5" l="1"/>
  <c r="HJ39" i="5"/>
  <c r="HJ47" i="5" s="1"/>
  <c r="DL159" i="2"/>
  <c r="DQ74" i="2" l="1"/>
  <c r="DQ87" i="2"/>
  <c r="DQ78" i="4" l="1"/>
  <c r="DV78" i="4"/>
  <c r="DU78" i="4"/>
  <c r="DQ86" i="2"/>
  <c r="DT78" i="4"/>
  <c r="DR74" i="2"/>
  <c r="DR87" i="2"/>
  <c r="DR75" i="2"/>
  <c r="DR88" i="2"/>
  <c r="DR100" i="2"/>
  <c r="DR86" i="2"/>
  <c r="DQ100" i="2"/>
  <c r="DQ75" i="2"/>
  <c r="DQ88" i="2"/>
  <c r="DR78" i="4" l="1"/>
  <c r="DR83" i="4"/>
  <c r="DR81" i="2"/>
  <c r="DR98" i="2"/>
  <c r="DR79" i="2"/>
  <c r="DR91" i="2"/>
  <c r="DR102" i="2"/>
  <c r="DR82" i="4"/>
  <c r="DQ102" i="2"/>
  <c r="DT101" i="2"/>
  <c r="DQ101" i="2"/>
  <c r="DQ91" i="2"/>
  <c r="DQ79" i="2"/>
  <c r="DV84" i="4"/>
  <c r="DQ84" i="4" l="1"/>
  <c r="DU84" i="4"/>
  <c r="DR80" i="2"/>
  <c r="DT84" i="4"/>
  <c r="DQ80" i="2"/>
  <c r="DQ81" i="2"/>
  <c r="DR77" i="5" l="1"/>
  <c r="DR92" i="2"/>
  <c r="DR82" i="2"/>
  <c r="DR157" i="2"/>
  <c r="DQ77" i="5"/>
  <c r="DQ92" i="2"/>
  <c r="DQ82" i="2"/>
  <c r="DQ157" i="2"/>
  <c r="DR159" i="2" l="1"/>
  <c r="DR93" i="2"/>
  <c r="DQ93" i="2"/>
  <c r="DQ159" i="2"/>
  <c r="EA78" i="4" l="1"/>
  <c r="EB78" i="4"/>
  <c r="DW78" i="4"/>
  <c r="DZ78" i="4"/>
  <c r="DW86" i="2"/>
  <c r="EC86" i="2"/>
  <c r="DW87" i="2"/>
  <c r="EC87" i="2"/>
  <c r="DW88" i="2" l="1"/>
  <c r="DW100" i="2"/>
  <c r="EC88" i="2"/>
  <c r="ED88" i="2"/>
  <c r="DX100" i="2"/>
  <c r="DX88" i="2"/>
  <c r="DX83" i="4"/>
  <c r="DX78" i="4"/>
  <c r="ED87" i="2"/>
  <c r="DX87" i="2"/>
  <c r="DW91" i="2" l="1"/>
  <c r="EC91" i="2"/>
  <c r="DW102" i="2"/>
  <c r="DW101" i="2"/>
  <c r="EC102" i="2"/>
  <c r="DZ101" i="2"/>
  <c r="ED102" i="2"/>
  <c r="DX102" i="2"/>
  <c r="EB84" i="4"/>
  <c r="ED91" i="2"/>
  <c r="DX91" i="2"/>
  <c r="DX98" i="2"/>
  <c r="ED98" i="2"/>
  <c r="DZ84" i="4"/>
  <c r="ED86" i="2"/>
  <c r="DX86" i="2"/>
  <c r="DX82" i="4"/>
  <c r="DW84" i="4"/>
  <c r="EA84" i="4"/>
  <c r="DW157" i="2" l="1"/>
  <c r="DW92" i="2"/>
  <c r="EC92" i="2"/>
  <c r="DW77" i="5"/>
  <c r="DW93" i="2" l="1"/>
  <c r="DW159" i="2"/>
  <c r="EC93" i="2"/>
  <c r="DX92" i="2"/>
  <c r="DX157" i="2"/>
  <c r="DX77" i="5"/>
  <c r="ED92" i="2"/>
  <c r="DX93" i="2" l="1"/>
  <c r="ED93" i="2"/>
  <c r="DX159" i="2"/>
  <c r="ES85" i="2" l="1"/>
  <c r="ES145" i="2"/>
  <c r="ES77" i="4"/>
  <c r="EY145" i="2" l="1"/>
  <c r="EV39" i="5" l="1"/>
  <c r="AB20" i="7" s="1"/>
  <c r="EY100" i="2"/>
  <c r="EZ101" i="2" s="1"/>
  <c r="FD53" i="8" l="1"/>
  <c r="FK35" i="2"/>
  <c r="FE53" i="8" l="1"/>
  <c r="FE39" i="5" s="1"/>
  <c r="FE47" i="5" s="1"/>
  <c r="FD39" i="5"/>
  <c r="FJ53" i="8"/>
  <c r="FJ39" i="5" s="1"/>
  <c r="FF53" i="8" l="1"/>
  <c r="FF39" i="5" s="1"/>
  <c r="FF47" i="5" s="1"/>
  <c r="FK53" i="8"/>
  <c r="FL53" i="8" s="1"/>
  <c r="FJ47" i="5"/>
  <c r="FP53" i="8"/>
  <c r="FP39" i="5" s="1"/>
  <c r="FD47" i="5"/>
  <c r="FK39" i="5" l="1"/>
  <c r="FK47" i="5" s="1"/>
  <c r="FG53" i="8"/>
  <c r="FG39" i="5" s="1"/>
  <c r="FG47" i="5" s="1"/>
  <c r="FP47" i="5"/>
  <c r="FV53" i="8"/>
  <c r="FV39" i="5" s="1"/>
  <c r="FM53" i="8"/>
  <c r="FM39" i="5" s="1"/>
  <c r="FM47" i="5" s="1"/>
  <c r="FL39" i="5"/>
  <c r="FQ53" i="8"/>
  <c r="FQ39" i="5" s="1"/>
  <c r="FQ47" i="5" s="1"/>
  <c r="FH39" i="5" l="1"/>
  <c r="AE20" i="7" s="1"/>
  <c r="FL47" i="5"/>
  <c r="FN39" i="5"/>
  <c r="AF20" i="7" s="1"/>
  <c r="FW53" i="8"/>
  <c r="FV47" i="5"/>
  <c r="GB53" i="8"/>
  <c r="GB39" i="5" s="1"/>
  <c r="FR53" i="8"/>
  <c r="FH47" i="5" l="1"/>
  <c r="GC53" i="8"/>
  <c r="GC39" i="5" s="1"/>
  <c r="GC47" i="5" s="1"/>
  <c r="FN47" i="5"/>
  <c r="GB47" i="5"/>
  <c r="GH53" i="8"/>
  <c r="GH39" i="5" s="1"/>
  <c r="FW39" i="5"/>
  <c r="FX53" i="8"/>
  <c r="FX39" i="5" s="1"/>
  <c r="FX47" i="5" s="1"/>
  <c r="FR39" i="5"/>
  <c r="FS53" i="8"/>
  <c r="FS39" i="5" s="1"/>
  <c r="FS47" i="5" s="1"/>
  <c r="GI53" i="8" l="1"/>
  <c r="GI39" i="5" s="1"/>
  <c r="GI47" i="5" s="1"/>
  <c r="GD53" i="8"/>
  <c r="FY53" i="8"/>
  <c r="FY39" i="5" s="1"/>
  <c r="FY47" i="5" s="1"/>
  <c r="FW47" i="5"/>
  <c r="GH47" i="5"/>
  <c r="GN53" i="8"/>
  <c r="GN39" i="5" s="1"/>
  <c r="FR47" i="5"/>
  <c r="FT39" i="5"/>
  <c r="FB43" i="5"/>
  <c r="GJ53" i="8" l="1"/>
  <c r="GJ39" i="5" s="1"/>
  <c r="GE53" i="8"/>
  <c r="GE39" i="5" s="1"/>
  <c r="GE47" i="5" s="1"/>
  <c r="GD39" i="5"/>
  <c r="GO53" i="8"/>
  <c r="GN47" i="5"/>
  <c r="GT53" i="8"/>
  <c r="GT39" i="5" s="1"/>
  <c r="FT47" i="5"/>
  <c r="FZ39" i="5"/>
  <c r="GK53" i="8" l="1"/>
  <c r="GK39" i="5" s="1"/>
  <c r="GK47" i="5" s="1"/>
  <c r="GD47" i="5"/>
  <c r="GF39" i="5"/>
  <c r="GU53" i="8"/>
  <c r="GU39" i="5" s="1"/>
  <c r="GU47" i="5" s="1"/>
  <c r="GZ53" i="8"/>
  <c r="GZ39" i="5" s="1"/>
  <c r="GT47" i="5"/>
  <c r="FZ47" i="5"/>
  <c r="GJ47" i="5"/>
  <c r="GO39" i="5"/>
  <c r="GP53" i="8"/>
  <c r="GP39" i="5" s="1"/>
  <c r="GP47" i="5" s="1"/>
  <c r="GL39" i="5" l="1"/>
  <c r="GL47" i="5" s="1"/>
  <c r="GV53" i="8"/>
  <c r="GV39" i="5" s="1"/>
  <c r="GV47" i="5" s="1"/>
  <c r="GF47" i="5"/>
  <c r="HA53" i="8"/>
  <c r="HA39" i="5" s="1"/>
  <c r="HA47" i="5" s="1"/>
  <c r="GZ47" i="5"/>
  <c r="GQ53" i="8"/>
  <c r="GQ39" i="5" s="1"/>
  <c r="GQ47" i="5" s="1"/>
  <c r="GO47" i="5"/>
  <c r="GW53" i="8" l="1"/>
  <c r="GW39" i="5" s="1"/>
  <c r="GW47" i="5" s="1"/>
  <c r="GR39" i="5"/>
  <c r="GR47" i="5" s="1"/>
  <c r="HB53" i="8"/>
  <c r="FA28" i="4"/>
  <c r="FD28" i="4" s="1"/>
  <c r="FE28" i="4" s="1"/>
  <c r="FF28" i="4" s="1"/>
  <c r="FG28" i="4" s="1"/>
  <c r="FJ28" i="4" s="1"/>
  <c r="FK28" i="4" s="1"/>
  <c r="FL28" i="4" s="1"/>
  <c r="FM28" i="4" s="1"/>
  <c r="FP28" i="4" s="1"/>
  <c r="FQ28" i="4" s="1"/>
  <c r="FR28" i="4" s="1"/>
  <c r="FS28" i="4" s="1"/>
  <c r="FV28" i="4" s="1"/>
  <c r="FW28" i="4" s="1"/>
  <c r="FX28" i="4" s="1"/>
  <c r="FY28" i="4" s="1"/>
  <c r="GB28" i="4" s="1"/>
  <c r="GC28" i="4" s="1"/>
  <c r="GD28" i="4" s="1"/>
  <c r="GE28" i="4" s="1"/>
  <c r="GH28" i="4" s="1"/>
  <c r="GI28" i="4" s="1"/>
  <c r="GJ28" i="4" s="1"/>
  <c r="GK28" i="4" s="1"/>
  <c r="GN28" i="4" s="1"/>
  <c r="GO28" i="4" s="1"/>
  <c r="GP28" i="4" s="1"/>
  <c r="GQ28" i="4" s="1"/>
  <c r="GT28" i="4" s="1"/>
  <c r="GU28" i="4" s="1"/>
  <c r="GV28" i="4" s="1"/>
  <c r="GW28" i="4" s="1"/>
  <c r="GZ28" i="4" s="1"/>
  <c r="HA28" i="4" s="1"/>
  <c r="HB28" i="4" s="1"/>
  <c r="HC28" i="4" s="1"/>
  <c r="HF28" i="4" s="1"/>
  <c r="HG28" i="4" l="1"/>
  <c r="GX39" i="5"/>
  <c r="GX47" i="5" s="1"/>
  <c r="HB39" i="5"/>
  <c r="HC53" i="8"/>
  <c r="HC39" i="5" s="1"/>
  <c r="HC47" i="5" s="1"/>
  <c r="EV28" i="4"/>
  <c r="HH28" i="4" l="1"/>
  <c r="HB47" i="5"/>
  <c r="HD39" i="5"/>
  <c r="HD47" i="5" s="1"/>
  <c r="ET47" i="5"/>
  <c r="EV43" i="5"/>
  <c r="HI28" i="4" l="1"/>
  <c r="FB28" i="4"/>
  <c r="HJ28" i="4" l="1"/>
  <c r="FH28" i="4"/>
  <c r="FN28" i="4" l="1"/>
  <c r="FT28" i="4" l="1"/>
  <c r="FZ28" i="4" l="1"/>
  <c r="GF28" i="4" l="1"/>
  <c r="GL28" i="4" l="1"/>
  <c r="GR28" i="4" l="1"/>
  <c r="GX28" i="4" l="1"/>
  <c r="HD28" i="4" l="1"/>
  <c r="ER31" i="8" l="1"/>
  <c r="FA31" i="8" l="1"/>
  <c r="ER36" i="8" l="1"/>
  <c r="EY36" i="8" l="1"/>
  <c r="FA36" i="8" l="1"/>
  <c r="FA41" i="8" s="1"/>
  <c r="FA43" i="8" l="1"/>
  <c r="FA45" i="4" s="1"/>
  <c r="FA99" i="4" l="1"/>
  <c r="FA114" i="4"/>
  <c r="C39" i="36" l="1"/>
  <c r="AC45" i="7"/>
  <c r="ES75" i="2"/>
  <c r="ES88" i="2"/>
  <c r="ES76" i="2" l="1"/>
  <c r="ES89" i="2" l="1"/>
  <c r="ES100" i="2"/>
  <c r="EY102" i="2" s="1"/>
  <c r="ES77" i="2"/>
  <c r="ES101" i="2" l="1"/>
  <c r="ES102" i="2"/>
  <c r="ES60" i="4" l="1"/>
  <c r="ES105" i="4" s="1"/>
  <c r="ES95" i="4" l="1"/>
  <c r="ES96" i="4"/>
  <c r="ES49" i="4" l="1"/>
  <c r="ES19" i="4" l="1"/>
  <c r="ES31" i="4" l="1"/>
  <c r="ES87" i="2" l="1"/>
  <c r="ES78" i="4"/>
  <c r="ES74" i="2"/>
  <c r="ES79" i="2" l="1"/>
  <c r="ES86" i="2"/>
  <c r="ES91" i="2"/>
  <c r="ES81" i="2" l="1"/>
  <c r="ES80" i="2"/>
  <c r="ES82" i="2" l="1"/>
  <c r="ES93" i="2"/>
  <c r="ES92" i="2"/>
  <c r="ES76" i="5" l="1"/>
  <c r="ES77" i="5"/>
  <c r="ES62" i="5" l="1"/>
  <c r="EV11" i="5" l="1"/>
  <c r="EV21" i="4" l="1"/>
  <c r="EV55" i="8" s="1"/>
  <c r="EV52" i="8" s="1"/>
  <c r="FB51" i="8"/>
  <c r="EV33" i="2"/>
  <c r="ES47" i="5" l="1"/>
  <c r="ES64" i="5" s="1"/>
  <c r="ES66" i="5" s="1"/>
  <c r="ES69" i="5" s="1"/>
  <c r="ES70" i="5" s="1"/>
  <c r="ET68" i="5" s="1"/>
  <c r="EV45" i="5"/>
  <c r="EV47" i="5" s="1"/>
  <c r="ES73" i="5" l="1"/>
  <c r="ET34" i="2" l="1"/>
  <c r="EV12" i="5" l="1"/>
  <c r="EV34" i="2"/>
  <c r="FB58" i="8" l="1"/>
  <c r="EV24" i="4"/>
  <c r="EV62" i="8" s="1"/>
  <c r="EV59" i="8" s="1"/>
  <c r="ES42" i="4" l="1"/>
  <c r="ES51" i="4" l="1"/>
  <c r="ES62" i="4" s="1"/>
  <c r="ES65" i="4" s="1"/>
  <c r="ES92" i="4"/>
  <c r="ES93" i="4" s="1"/>
  <c r="ES103" i="4"/>
  <c r="ES41" i="8"/>
  <c r="ES101" i="4" l="1"/>
  <c r="ES40" i="8"/>
  <c r="ES43" i="8"/>
  <c r="ES107" i="4" l="1"/>
  <c r="ES104" i="4"/>
  <c r="ET49" i="4" l="1"/>
  <c r="ET62" i="5"/>
  <c r="EV57" i="2" l="1"/>
  <c r="EV45" i="4" l="1"/>
  <c r="EU49" i="4"/>
  <c r="EU62" i="5"/>
  <c r="EV50" i="5"/>
  <c r="EV62" i="5" l="1"/>
  <c r="EX49" i="4"/>
  <c r="EV49" i="4"/>
  <c r="EY49" i="4" l="1"/>
  <c r="FA48" i="8" l="1"/>
  <c r="FB57" i="2" l="1"/>
  <c r="FE48" i="8" l="1"/>
  <c r="FA50" i="5"/>
  <c r="FA49" i="4" l="1"/>
  <c r="FB45" i="4"/>
  <c r="FD50" i="5"/>
  <c r="FD48" i="8"/>
  <c r="FD49" i="4" l="1"/>
  <c r="FB49" i="4"/>
  <c r="FE50" i="5" l="1"/>
  <c r="FF48" i="8" l="1"/>
  <c r="FE49" i="4"/>
  <c r="FF50" i="5" l="1"/>
  <c r="FG48" i="8" l="1"/>
  <c r="FF49" i="4"/>
  <c r="FG50" i="5" l="1"/>
  <c r="FK48" i="8"/>
  <c r="FJ48" i="8" l="1"/>
  <c r="FH50" i="5"/>
  <c r="FJ50" i="5"/>
  <c r="FG49" i="4"/>
  <c r="FJ49" i="4" l="1"/>
  <c r="FH49" i="4"/>
  <c r="FK50" i="5" l="1"/>
  <c r="FK49" i="4" l="1"/>
  <c r="FL48" i="8"/>
  <c r="FL50" i="5" l="1"/>
  <c r="FM48" i="8" l="1"/>
  <c r="FL49" i="4"/>
  <c r="FM50" i="5" l="1"/>
  <c r="FQ48" i="8"/>
  <c r="FP48" i="8" l="1"/>
  <c r="FN50" i="5"/>
  <c r="FP50" i="5"/>
  <c r="FM49" i="4"/>
  <c r="FN49" i="4" l="1"/>
  <c r="FP49" i="4"/>
  <c r="FQ50" i="5" l="1"/>
  <c r="FR48" i="8" l="1"/>
  <c r="FQ49" i="4"/>
  <c r="FR50" i="5" l="1"/>
  <c r="FS48" i="8" l="1"/>
  <c r="FR49" i="4"/>
  <c r="FS50" i="5" l="1"/>
  <c r="FV48" i="8" l="1"/>
  <c r="FT50" i="5"/>
  <c r="FS49" i="4"/>
  <c r="FT49" i="4" l="1"/>
  <c r="FV50" i="5" l="1"/>
  <c r="FW48" i="8" l="1"/>
  <c r="FV49" i="4"/>
  <c r="FW50" i="5" l="1"/>
  <c r="FX48" i="8" l="1"/>
  <c r="FW49" i="4"/>
  <c r="FX50" i="5" l="1"/>
  <c r="FY48" i="8" l="1"/>
  <c r="FX49" i="4"/>
  <c r="FY50" i="5" l="1"/>
  <c r="GB48" i="8" l="1"/>
  <c r="FZ50" i="5"/>
  <c r="FY49" i="4"/>
  <c r="FZ49" i="4" l="1"/>
  <c r="GB50" i="5" l="1"/>
  <c r="GC48" i="8" l="1"/>
  <c r="GB49" i="4"/>
  <c r="GC50" i="5" l="1"/>
  <c r="GC49" i="4" l="1"/>
  <c r="GD48" i="8"/>
  <c r="GD50" i="5" l="1"/>
  <c r="GE48" i="8" l="1"/>
  <c r="GD49" i="4"/>
  <c r="GE50" i="5" l="1"/>
  <c r="GF50" i="5" l="1"/>
  <c r="GH48" i="8"/>
  <c r="GF49" i="4"/>
  <c r="GE49" i="4"/>
  <c r="GH50" i="5" l="1"/>
  <c r="GI48" i="8" l="1"/>
  <c r="GH49" i="4"/>
  <c r="GI50" i="5" l="1"/>
  <c r="GJ48" i="8" l="1"/>
  <c r="GI49" i="4"/>
  <c r="GJ50" i="5" l="1"/>
  <c r="GK48" i="8" l="1"/>
  <c r="GJ49" i="4"/>
  <c r="GK50" i="5" l="1"/>
  <c r="GL50" i="5" l="1"/>
  <c r="GL49" i="4"/>
  <c r="GK49" i="4"/>
  <c r="GN48" i="8"/>
  <c r="GN50" i="5" l="1"/>
  <c r="GO48" i="8" l="1"/>
  <c r="GN49" i="4"/>
  <c r="GO50" i="5" l="1"/>
  <c r="GP48" i="8" l="1"/>
  <c r="GO49" i="4"/>
  <c r="GP50" i="5" l="1"/>
  <c r="GQ48" i="8" l="1"/>
  <c r="GP49" i="4"/>
  <c r="GQ50" i="5" l="1"/>
  <c r="GR50" i="5" l="1"/>
  <c r="GQ49" i="4"/>
  <c r="GR49" i="4"/>
  <c r="GT48" i="8"/>
  <c r="GT50" i="5" l="1"/>
  <c r="GT62" i="5" l="1"/>
  <c r="GT49" i="4"/>
  <c r="GU48" i="8"/>
  <c r="GU50" i="5" l="1"/>
  <c r="GU62" i="5" l="1"/>
  <c r="GU49" i="4"/>
  <c r="GV48" i="8"/>
  <c r="GV50" i="5" l="1"/>
  <c r="GV62" i="5" l="1"/>
  <c r="GV49" i="4"/>
  <c r="GW48" i="8"/>
  <c r="GW50" i="5" l="1"/>
  <c r="GX49" i="4" l="1"/>
  <c r="GW49" i="4"/>
  <c r="GW62" i="5"/>
  <c r="GX50" i="5"/>
  <c r="GX62" i="5" s="1"/>
  <c r="GZ48" i="8"/>
  <c r="GZ50" i="5" l="1"/>
  <c r="HA48" i="8" l="1"/>
  <c r="GZ49" i="4"/>
  <c r="HA50" i="5" l="1"/>
  <c r="HA49" i="4" l="1"/>
  <c r="HB48" i="8"/>
  <c r="HB50" i="5" l="1"/>
  <c r="HC48" i="8" l="1"/>
  <c r="HB49" i="4"/>
  <c r="HC50" i="5" l="1"/>
  <c r="HD50" i="5" l="1"/>
  <c r="HD49" i="4"/>
  <c r="HC49" i="4"/>
  <c r="ES66" i="8" l="1"/>
  <c r="EV66" i="8" s="1"/>
  <c r="EV68" i="8" s="1"/>
  <c r="ET29" i="4" l="1"/>
  <c r="EV23" i="4" l="1"/>
  <c r="FB65" i="8"/>
  <c r="FB68" i="8" s="1"/>
  <c r="EX29" i="4"/>
  <c r="EX31" i="4" s="1"/>
  <c r="EU29" i="4" l="1"/>
  <c r="EV29" i="4" s="1"/>
  <c r="FA65" i="8" l="1"/>
  <c r="FA68" i="8" s="1"/>
  <c r="FA23" i="4" l="1"/>
  <c r="FD65" i="8"/>
  <c r="FH65" i="8" l="1"/>
  <c r="FH68" i="8" s="1"/>
  <c r="FD68" i="8"/>
  <c r="FB23" i="4"/>
  <c r="FD23" i="4" l="1"/>
  <c r="FE65" i="8"/>
  <c r="FE68" i="8" s="1"/>
  <c r="FF65" i="8" l="1"/>
  <c r="FF68" i="8" s="1"/>
  <c r="FE23" i="4"/>
  <c r="FF23" i="4" l="1"/>
  <c r="FG65" i="8"/>
  <c r="FG68" i="8" s="1"/>
  <c r="FG23" i="4" l="1"/>
  <c r="FJ65" i="8"/>
  <c r="FN65" i="8" l="1"/>
  <c r="FN68" i="8" s="1"/>
  <c r="FJ68" i="8"/>
  <c r="FH23" i="4"/>
  <c r="FK65" i="8" l="1"/>
  <c r="FK68" i="8" s="1"/>
  <c r="FJ23" i="4"/>
  <c r="FK23" i="4" l="1"/>
  <c r="FL65" i="8"/>
  <c r="FL68" i="8" s="1"/>
  <c r="FL23" i="4" l="1"/>
  <c r="FM65" i="8"/>
  <c r="FM68" i="8" s="1"/>
  <c r="FM23" i="4" l="1"/>
  <c r="FP65" i="8"/>
  <c r="FT65" i="8" l="1"/>
  <c r="FT68" i="8" s="1"/>
  <c r="FP68" i="8"/>
  <c r="FN23" i="4"/>
  <c r="FP23" i="4" l="1"/>
  <c r="FQ65" i="8"/>
  <c r="FQ68" i="8" s="1"/>
  <c r="FR65" i="8" l="1"/>
  <c r="FR68" i="8" s="1"/>
  <c r="FQ23" i="4"/>
  <c r="FR23" i="4" l="1"/>
  <c r="FS65" i="8"/>
  <c r="FS68" i="8" s="1"/>
  <c r="FV65" i="8" l="1"/>
  <c r="FS23" i="4"/>
  <c r="FT23" i="4" l="1"/>
  <c r="FV68" i="8"/>
  <c r="FZ65" i="8"/>
  <c r="FZ68" i="8" s="1"/>
  <c r="FV23" i="4" l="1"/>
  <c r="FW65" i="8"/>
  <c r="FW68" i="8" s="1"/>
  <c r="FW23" i="4" l="1"/>
  <c r="FX65" i="8"/>
  <c r="FX68" i="8" s="1"/>
  <c r="FX23" i="4" l="1"/>
  <c r="FY65" i="8"/>
  <c r="FY68" i="8" s="1"/>
  <c r="FY23" i="4" l="1"/>
  <c r="GB65" i="8"/>
  <c r="GB68" i="8" l="1"/>
  <c r="GF65" i="8"/>
  <c r="GF68" i="8" s="1"/>
  <c r="FZ23" i="4"/>
  <c r="GB23" i="4" l="1"/>
  <c r="GC65" i="8"/>
  <c r="GC68" i="8" s="1"/>
  <c r="GD65" i="8" l="1"/>
  <c r="GD68" i="8" s="1"/>
  <c r="GC23" i="4"/>
  <c r="GD23" i="4" l="1"/>
  <c r="GE65" i="8"/>
  <c r="GE68" i="8" s="1"/>
  <c r="GH65" i="8" l="1"/>
  <c r="GE23" i="4"/>
  <c r="GF23" i="4" l="1"/>
  <c r="GH68" i="8"/>
  <c r="GL65" i="8"/>
  <c r="GL68" i="8" s="1"/>
  <c r="GH23" i="4" l="1"/>
  <c r="GI65" i="8"/>
  <c r="GI68" i="8" s="1"/>
  <c r="GI23" i="4" l="1"/>
  <c r="GJ65" i="8"/>
  <c r="GJ68" i="8" s="1"/>
  <c r="GJ23" i="4" l="1"/>
  <c r="GK65" i="8"/>
  <c r="GK68" i="8" s="1"/>
  <c r="GK23" i="4" l="1"/>
  <c r="GN65" i="8"/>
  <c r="GN68" i="8" l="1"/>
  <c r="GR65" i="8"/>
  <c r="GR68" i="8" s="1"/>
  <c r="GL23" i="4"/>
  <c r="GN23" i="4" l="1"/>
  <c r="GO65" i="8"/>
  <c r="GO68" i="8" s="1"/>
  <c r="GP65" i="8" l="1"/>
  <c r="GP68" i="8" s="1"/>
  <c r="GO23" i="4"/>
  <c r="GP23" i="4" l="1"/>
  <c r="GQ65" i="8"/>
  <c r="GQ68" i="8" s="1"/>
  <c r="GT65" i="8" l="1"/>
  <c r="GQ23" i="4"/>
  <c r="GR23" i="4" l="1"/>
  <c r="GT68" i="8"/>
  <c r="GX65" i="8"/>
  <c r="GX68" i="8" s="1"/>
  <c r="GT23" i="4" l="1"/>
  <c r="GU65" i="8"/>
  <c r="GU68" i="8" s="1"/>
  <c r="GU23" i="4" l="1"/>
  <c r="GV65" i="8"/>
  <c r="GV68" i="8" s="1"/>
  <c r="GV23" i="4" l="1"/>
  <c r="GW65" i="8"/>
  <c r="GW68" i="8" s="1"/>
  <c r="GW23" i="4" l="1"/>
  <c r="GZ65" i="8"/>
  <c r="HD65" i="8" l="1"/>
  <c r="HD68" i="8" s="1"/>
  <c r="GZ68" i="8"/>
  <c r="GX23" i="4"/>
  <c r="HA65" i="8" l="1"/>
  <c r="HA68" i="8" s="1"/>
  <c r="GZ23" i="4"/>
  <c r="HA23" i="4" l="1"/>
  <c r="HB65" i="8"/>
  <c r="HB68" i="8" s="1"/>
  <c r="HC65" i="8" l="1"/>
  <c r="HC68" i="8" s="1"/>
  <c r="HB23" i="4"/>
  <c r="HC23" i="4" l="1"/>
  <c r="HF65" i="8"/>
  <c r="HD23" i="4"/>
  <c r="HF68" i="8" l="1"/>
  <c r="HJ65" i="8"/>
  <c r="HJ68" i="8" s="1"/>
  <c r="DD84" i="34"/>
  <c r="HG65" i="8" l="1"/>
  <c r="HG68" i="8" s="1"/>
  <c r="HF23" i="4"/>
  <c r="ET90" i="34"/>
  <c r="ET11" i="34"/>
  <c r="HH65" i="8" l="1"/>
  <c r="HH68" i="8" s="1"/>
  <c r="HG23" i="4"/>
  <c r="EZ95" i="34"/>
  <c r="EZ94" i="34"/>
  <c r="ET14" i="34"/>
  <c r="ET82" i="34"/>
  <c r="ET97" i="34"/>
  <c r="ET96" i="34"/>
  <c r="ET137" i="34"/>
  <c r="ET95" i="34"/>
  <c r="EV53" i="2"/>
  <c r="EV49" i="2"/>
  <c r="ET77" i="4"/>
  <c r="O5" i="38" l="1"/>
  <c r="Q5" i="38" s="1"/>
  <c r="M12" i="37"/>
  <c r="HI65" i="8"/>
  <c r="HI68" i="8" s="1"/>
  <c r="HI23" i="4" s="1"/>
  <c r="HJ23" i="4" s="1"/>
  <c r="HH23" i="4"/>
  <c r="EZ92" i="34"/>
  <c r="EZ91" i="34" s="1"/>
  <c r="AB11" i="7"/>
  <c r="O11" i="38"/>
  <c r="Q11" i="38" s="1"/>
  <c r="EV77" i="4"/>
  <c r="EV51" i="2"/>
  <c r="EV50" i="2" s="1"/>
  <c r="EV145" i="2"/>
  <c r="EV85" i="2"/>
  <c r="EV76" i="2"/>
  <c r="EV54" i="2"/>
  <c r="AB12" i="7" l="1"/>
  <c r="EV15" i="4"/>
  <c r="EV16" i="4"/>
  <c r="EV89" i="2"/>
  <c r="EV77" i="2"/>
  <c r="EV87" i="2"/>
  <c r="EV74" i="2"/>
  <c r="ET78" i="4"/>
  <c r="EV36" i="4"/>
  <c r="EV86" i="2"/>
  <c r="EV14" i="4"/>
  <c r="EV18" i="4"/>
  <c r="ET35" i="2"/>
  <c r="EV13" i="5"/>
  <c r="EV41" i="4"/>
  <c r="EV33" i="5" l="1"/>
  <c r="EV35" i="2"/>
  <c r="ET61" i="2"/>
  <c r="ET52" i="2"/>
  <c r="EZ88" i="2" s="1"/>
  <c r="EV31" i="5"/>
  <c r="EV30" i="5"/>
  <c r="EV29" i="5"/>
  <c r="EV78" i="4"/>
  <c r="FA16" i="4"/>
  <c r="ET100" i="2" l="1"/>
  <c r="EZ102" i="2" s="1"/>
  <c r="ET75" i="2"/>
  <c r="ET88" i="2"/>
  <c r="ET56" i="2"/>
  <c r="EZ91" i="2" s="1"/>
  <c r="EV52" i="2"/>
  <c r="FB16" i="4"/>
  <c r="FD16" i="4"/>
  <c r="ET91" i="2" l="1"/>
  <c r="ET79" i="2"/>
  <c r="ET101" i="2"/>
  <c r="ET102" i="2"/>
  <c r="EV56" i="2"/>
  <c r="EV75" i="2"/>
  <c r="EV88" i="2"/>
  <c r="EV100" i="2"/>
  <c r="EU101" i="2"/>
  <c r="ET60" i="2"/>
  <c r="ET70" i="2"/>
  <c r="K116" i="37" s="1"/>
  <c r="FE16" i="4"/>
  <c r="ET90" i="2" l="1"/>
  <c r="EZ90" i="2"/>
  <c r="EU107" i="4"/>
  <c r="EY107" i="4"/>
  <c r="ET78" i="2"/>
  <c r="ET107" i="4"/>
  <c r="ET81" i="2"/>
  <c r="ET80" i="2"/>
  <c r="EV70" i="2"/>
  <c r="EV102" i="2"/>
  <c r="EV98" i="2"/>
  <c r="EV79" i="2"/>
  <c r="EV91" i="2"/>
  <c r="ET62" i="2"/>
  <c r="EZ92" i="2" s="1"/>
  <c r="FF16" i="4"/>
  <c r="EV90" i="2" l="1"/>
  <c r="M116" i="37"/>
  <c r="ET104" i="2"/>
  <c r="O6" i="38"/>
  <c r="Q6" i="38" s="1"/>
  <c r="AB30" i="7"/>
  <c r="O12" i="38"/>
  <c r="Q12" i="38" s="1"/>
  <c r="ER104" i="2"/>
  <c r="ES104" i="2"/>
  <c r="EU104" i="2"/>
  <c r="ET82" i="2"/>
  <c r="ET92" i="2"/>
  <c r="EV78" i="2"/>
  <c r="ET67" i="2"/>
  <c r="ET68" i="2"/>
  <c r="K64" i="37" s="1"/>
  <c r="FG16" i="4"/>
  <c r="EZ93" i="2" l="1"/>
  <c r="AB48" i="7"/>
  <c r="ET93" i="2"/>
  <c r="FH16" i="4"/>
  <c r="FJ16" i="4"/>
  <c r="FK16" i="4" l="1"/>
  <c r="ET58" i="4" l="1"/>
  <c r="ET96" i="4" s="1"/>
  <c r="FL16" i="4"/>
  <c r="ET60" i="4" l="1"/>
  <c r="ET95" i="4" s="1"/>
  <c r="ET19" i="4"/>
  <c r="FM16" i="4"/>
  <c r="ET105" i="4" l="1"/>
  <c r="ET103" i="4"/>
  <c r="ET104" i="4"/>
  <c r="EV58" i="2"/>
  <c r="ET31" i="4"/>
  <c r="FN16" i="4"/>
  <c r="FP16" i="4"/>
  <c r="EV60" i="2" l="1"/>
  <c r="AB39" i="7" s="1"/>
  <c r="EV61" i="2"/>
  <c r="FQ16" i="4"/>
  <c r="EV81" i="2" l="1"/>
  <c r="EV80" i="2"/>
  <c r="EV62" i="2"/>
  <c r="FR16" i="4"/>
  <c r="AB41" i="7" l="1"/>
  <c r="AB15" i="7"/>
  <c r="EV82" i="2"/>
  <c r="EV92" i="2"/>
  <c r="FS16" i="4"/>
  <c r="EV9" i="5" l="1"/>
  <c r="FT16" i="4"/>
  <c r="FV16" i="4"/>
  <c r="EV55" i="4" l="1"/>
  <c r="EV56" i="4"/>
  <c r="EV58" i="4" s="1"/>
  <c r="AB46" i="7" s="1"/>
  <c r="EU58" i="4"/>
  <c r="EU96" i="4" s="1"/>
  <c r="FW16" i="4"/>
  <c r="AB51" i="7" l="1"/>
  <c r="AB52" i="7" s="1"/>
  <c r="AB47" i="7"/>
  <c r="EU60" i="4"/>
  <c r="EV60" i="4"/>
  <c r="FX16" i="4"/>
  <c r="EU95" i="4" l="1"/>
  <c r="EU104" i="4"/>
  <c r="EU103" i="4"/>
  <c r="EU105" i="4"/>
  <c r="FY16" i="4"/>
  <c r="FZ16" i="4" l="1"/>
  <c r="GB16" i="4"/>
  <c r="GC16" i="4" l="1"/>
  <c r="GD16" i="4" l="1"/>
  <c r="GE16" i="4" l="1"/>
  <c r="GF16" i="4" l="1"/>
  <c r="GH16" i="4"/>
  <c r="GI16" i="4" l="1"/>
  <c r="GJ16" i="4" l="1"/>
  <c r="GK16" i="4" l="1"/>
  <c r="GN16" i="4" l="1"/>
  <c r="GL16" i="4"/>
  <c r="GO16" i="4" l="1"/>
  <c r="GP16" i="4" l="1"/>
  <c r="GQ16" i="4" l="1"/>
  <c r="GR16" i="4" l="1"/>
  <c r="GT16" i="4"/>
  <c r="GU16" i="4" l="1"/>
  <c r="GV16" i="4" l="1"/>
  <c r="GW16" i="4" l="1"/>
  <c r="GX16" i="4" l="1"/>
  <c r="GZ16" i="4"/>
  <c r="HA16" i="4" l="1"/>
  <c r="HB16" i="4" l="1"/>
  <c r="HC16" i="4" l="1"/>
  <c r="HF16" i="4" s="1"/>
  <c r="HG16" i="4" s="1"/>
  <c r="HH16" i="4" s="1"/>
  <c r="HI16" i="4" s="1"/>
  <c r="HJ16" i="4" s="1"/>
  <c r="HD16" i="4" l="1"/>
  <c r="ET33" i="34" l="1"/>
  <c r="EZ34" i="34" s="1"/>
  <c r="ET56" i="34" l="1"/>
  <c r="ET34" i="34"/>
  <c r="EZ57" i="34" l="1"/>
  <c r="ET58" i="34"/>
  <c r="ET57" i="34"/>
  <c r="EV68" i="4" l="1"/>
  <c r="EV70" i="4" s="1"/>
  <c r="EU70" i="4"/>
  <c r="EX67" i="4" s="1"/>
  <c r="FB67" i="4" l="1"/>
  <c r="EX68" i="4"/>
  <c r="EV72" i="4"/>
  <c r="EU72" i="4"/>
  <c r="EU67" i="2" s="1"/>
  <c r="EU68" i="2" l="1"/>
  <c r="L64" i="37" s="1"/>
  <c r="EV65" i="2"/>
  <c r="EV64" i="2" s="1"/>
  <c r="EV67" i="2" s="1"/>
  <c r="EU93" i="2" l="1"/>
  <c r="EV68" i="2"/>
  <c r="M64" i="37" s="1"/>
  <c r="AB16" i="7" l="1"/>
  <c r="AB17" i="7" s="1"/>
  <c r="EV93" i="2"/>
  <c r="EZ62" i="5" l="1"/>
  <c r="AC27" i="7" l="1"/>
  <c r="AC28" i="7" s="1"/>
  <c r="ET111" i="4"/>
  <c r="ET112" i="4" s="1"/>
  <c r="EV83" i="4"/>
  <c r="EV84" i="4" s="1"/>
  <c r="EU42" i="4"/>
  <c r="EV35" i="4"/>
  <c r="ET118" i="4" l="1"/>
  <c r="EU122" i="4"/>
  <c r="EU120" i="4"/>
  <c r="EU121" i="4" s="1"/>
  <c r="EU51" i="4"/>
  <c r="EV51" i="4" s="1"/>
  <c r="EV32" i="5"/>
  <c r="EX122" i="4"/>
  <c r="EV42" i="4"/>
  <c r="ET42" i="4"/>
  <c r="ET92" i="4" s="1"/>
  <c r="ET93" i="4" l="1"/>
  <c r="EZ93" i="4"/>
  <c r="EU62" i="4"/>
  <c r="EV62" i="4" s="1"/>
  <c r="EU123" i="4"/>
  <c r="EU124" i="4"/>
  <c r="EV35" i="5"/>
  <c r="ET51" i="4"/>
  <c r="ET62" i="4" s="1"/>
  <c r="ET65" i="4" s="1"/>
  <c r="ET36" i="5"/>
  <c r="ET64" i="5" l="1"/>
  <c r="ET66" i="5" s="1"/>
  <c r="ET69" i="5" s="1"/>
  <c r="ET70" i="5" s="1"/>
  <c r="EU68" i="5" s="1"/>
  <c r="ET79" i="5"/>
  <c r="ET75" i="5"/>
  <c r="ET73" i="5" l="1"/>
  <c r="ET76" i="5"/>
  <c r="ET77" i="5"/>
  <c r="EU19" i="4" l="1"/>
  <c r="EU92" i="4" s="1"/>
  <c r="EU93" i="4" s="1"/>
  <c r="EV11" i="4"/>
  <c r="AB26" i="7" s="1"/>
  <c r="AB29" i="7" l="1"/>
  <c r="AB49" i="7"/>
  <c r="EV19" i="4"/>
  <c r="EU31" i="4"/>
  <c r="AB13" i="7" l="1"/>
  <c r="AB31" i="7"/>
  <c r="EU65" i="4"/>
  <c r="EV31" i="4"/>
  <c r="AB40" i="7" l="1"/>
  <c r="AB36" i="7"/>
  <c r="EV65" i="4"/>
  <c r="AB37" i="7" l="1"/>
  <c r="AB42" i="7"/>
  <c r="GZ57" i="5" l="1"/>
  <c r="GZ62" i="5" s="1"/>
  <c r="HA57" i="5"/>
  <c r="HA69" i="4" s="1"/>
  <c r="HB57" i="5"/>
  <c r="HB62" i="5" s="1"/>
  <c r="HC57" i="5"/>
  <c r="HC62" i="5" s="1"/>
  <c r="GZ69" i="4" l="1"/>
  <c r="HA62" i="5"/>
  <c r="HC69" i="4"/>
  <c r="HD57" i="5"/>
  <c r="HD62" i="5" s="1"/>
  <c r="HB69" i="4"/>
  <c r="HD69" i="4" l="1"/>
  <c r="FG25" i="34" l="1"/>
  <c r="EU10" i="34"/>
  <c r="EU65" i="34" s="1"/>
  <c r="EU26" i="34"/>
  <c r="EU73" i="34" l="1"/>
  <c r="EU66" i="34"/>
  <c r="EX13" i="34"/>
  <c r="EX12" i="34"/>
  <c r="EU13" i="34"/>
  <c r="EU14" i="34"/>
  <c r="EU78" i="34"/>
  <c r="FG10" i="34"/>
  <c r="FM25" i="34"/>
  <c r="FS25" i="34" s="1"/>
  <c r="FS10" i="34" s="1"/>
  <c r="EU12" i="34"/>
  <c r="EV10" i="34"/>
  <c r="EU33" i="34"/>
  <c r="EU11" i="34"/>
  <c r="FA10" i="34"/>
  <c r="FA33" i="34" s="1"/>
  <c r="FA34" i="34" l="1"/>
  <c r="FS65" i="34"/>
  <c r="FG33" i="34"/>
  <c r="FM33" i="34" s="1"/>
  <c r="EV65" i="34"/>
  <c r="FB46" i="34" s="1"/>
  <c r="FG65" i="34"/>
  <c r="FA65" i="34"/>
  <c r="FA78" i="34" s="1"/>
  <c r="FM10" i="34"/>
  <c r="FS11" i="34" s="1"/>
  <c r="EU80" i="34"/>
  <c r="EU81" i="34"/>
  <c r="EU79" i="34"/>
  <c r="EV78" i="34"/>
  <c r="EV11" i="34"/>
  <c r="EV25" i="34"/>
  <c r="EV26" i="34" s="1"/>
  <c r="M30" i="39"/>
  <c r="F30" i="39"/>
  <c r="I30" i="39"/>
  <c r="EU34" i="34"/>
  <c r="EV33" i="34"/>
  <c r="FB37" i="34" s="1"/>
  <c r="FB38" i="34" s="1"/>
  <c r="EU56" i="34"/>
  <c r="FA11" i="34"/>
  <c r="EU97" i="34"/>
  <c r="EU96" i="34"/>
  <c r="EU82" i="34"/>
  <c r="EU95" i="34"/>
  <c r="FG11" i="34"/>
  <c r="FA80" i="34" l="1"/>
  <c r="FA81" i="34"/>
  <c r="FA82" i="34"/>
  <c r="FA79" i="34"/>
  <c r="EV79" i="34"/>
  <c r="EV66" i="34"/>
  <c r="FS73" i="34"/>
  <c r="FS33" i="34"/>
  <c r="FS53" i="34"/>
  <c r="FS45" i="34"/>
  <c r="FM35" i="34"/>
  <c r="FN33" i="34"/>
  <c r="EU57" i="34"/>
  <c r="EU58" i="34"/>
  <c r="FG73" i="34"/>
  <c r="FM54" i="34"/>
  <c r="FM46" i="34"/>
  <c r="EV73" i="34"/>
  <c r="FG53" i="34"/>
  <c r="FG45" i="34"/>
  <c r="FG54" i="34"/>
  <c r="FG46" i="34"/>
  <c r="FA66" i="34"/>
  <c r="FA73" i="34"/>
  <c r="FA74" i="34" s="1"/>
  <c r="FG66" i="34"/>
  <c r="EV56" i="34"/>
  <c r="FB45" i="34"/>
  <c r="FA56" i="34"/>
  <c r="FM11" i="34"/>
  <c r="FM65" i="34"/>
  <c r="EV90" i="34"/>
  <c r="EV82" i="34" s="1"/>
  <c r="EV34" i="34"/>
  <c r="EV35" i="34"/>
  <c r="FG74" i="34" l="1"/>
  <c r="FT53" i="34"/>
  <c r="FT45" i="34"/>
  <c r="FS54" i="34"/>
  <c r="FS46" i="34"/>
  <c r="FS66" i="34"/>
  <c r="FS56" i="34"/>
  <c r="FS35" i="34"/>
  <c r="FT33" i="34"/>
  <c r="EV57" i="34"/>
  <c r="EV58" i="34"/>
  <c r="FA57" i="34"/>
  <c r="FA58" i="34"/>
  <c r="FM56" i="34"/>
  <c r="FM58" i="34" s="1"/>
  <c r="FM73" i="34"/>
  <c r="FM74" i="34" s="1"/>
  <c r="FM66" i="34"/>
  <c r="EV95" i="34"/>
  <c r="FB94" i="34"/>
  <c r="FS74" i="34" l="1"/>
  <c r="FT34" i="34"/>
  <c r="FS57" i="34"/>
  <c r="FS58" i="34"/>
  <c r="FB13" i="5"/>
  <c r="FG35" i="2" l="1"/>
  <c r="FH13" i="5"/>
  <c r="FN13" i="5" l="1"/>
  <c r="FM35" i="2"/>
  <c r="FP35" i="2" l="1"/>
  <c r="FT13" i="5"/>
  <c r="FV35" i="2" l="1"/>
  <c r="FZ13" i="5"/>
  <c r="GF13" i="5" l="1"/>
  <c r="GB35" i="2"/>
  <c r="GH35" i="2" l="1"/>
  <c r="GL13" i="5"/>
  <c r="GN35" i="2" l="1"/>
  <c r="GR13" i="5"/>
  <c r="GT35" i="2" l="1"/>
  <c r="GX13" i="5"/>
  <c r="GZ35" i="2" l="1"/>
  <c r="HD13" i="5"/>
  <c r="EV26" i="5" l="1"/>
  <c r="EU14" i="5"/>
  <c r="EU36" i="5" l="1"/>
  <c r="EV14" i="5"/>
  <c r="EV36" i="5" s="1"/>
  <c r="EU64" i="5"/>
  <c r="EU66" i="5" s="1"/>
  <c r="EU69" i="5" s="1"/>
  <c r="EU70" i="5" s="1"/>
  <c r="AB19" i="7" l="1"/>
  <c r="AB21" i="7" s="1"/>
  <c r="EV79" i="5"/>
  <c r="EU75" i="5"/>
  <c r="EU79" i="5"/>
  <c r="EU73" i="5"/>
  <c r="EX68" i="5"/>
  <c r="EV64" i="5"/>
  <c r="EV75" i="5"/>
  <c r="EU76" i="5" l="1"/>
  <c r="EU77" i="5"/>
  <c r="AB23" i="7"/>
  <c r="AB24" i="7" s="1"/>
  <c r="AB22" i="7"/>
  <c r="EV77" i="5"/>
  <c r="EV76" i="5"/>
  <c r="EV66" i="5"/>
  <c r="EV69" i="5" l="1"/>
  <c r="EV70" i="5" s="1"/>
  <c r="EV73" i="5" l="1"/>
  <c r="FB68" i="5"/>
  <c r="HA35" i="2" l="1"/>
  <c r="HB35" i="2"/>
  <c r="HC35" i="2"/>
  <c r="GW35" i="2"/>
  <c r="GU35" i="2"/>
  <c r="GV35" i="2"/>
  <c r="GP35" i="2"/>
  <c r="GQ35" i="2"/>
  <c r="GO35" i="2"/>
  <c r="GI35" i="2"/>
  <c r="GJ35" i="2"/>
  <c r="GK35" i="2"/>
  <c r="GC35" i="2"/>
  <c r="GD35" i="2"/>
  <c r="GE35" i="2"/>
  <c r="FX35" i="2"/>
  <c r="FW35" i="2"/>
  <c r="FY35" i="2"/>
  <c r="FS35" i="2"/>
  <c r="FQ35" i="2"/>
  <c r="FR35" i="2"/>
  <c r="FD35" i="2"/>
  <c r="D9" i="39"/>
  <c r="FT35" i="2" l="1"/>
  <c r="GL35" i="2"/>
  <c r="FZ35" i="2"/>
  <c r="GF35" i="2"/>
  <c r="GR35" i="2"/>
  <c r="GX35" i="2"/>
  <c r="HD35" i="2"/>
  <c r="I9" i="39"/>
  <c r="M9" i="39"/>
  <c r="F9" i="39"/>
  <c r="EX120" i="4"/>
  <c r="EX121" i="4" s="1"/>
  <c r="EX123" i="4" l="1"/>
  <c r="EX124" i="4"/>
  <c r="EX145" i="2"/>
  <c r="D13" i="39" l="1"/>
  <c r="D12" i="39"/>
  <c r="EX88" i="2" l="1"/>
  <c r="EX89" i="2" l="1"/>
  <c r="D14" i="39"/>
  <c r="EX100" i="2"/>
  <c r="EX110" i="4" l="1"/>
  <c r="EY101" i="2"/>
  <c r="EX102" i="2"/>
  <c r="EX101" i="2"/>
  <c r="EX85" i="2" l="1"/>
  <c r="EX90" i="34"/>
  <c r="FD94" i="34" l="1"/>
  <c r="FD89" i="34"/>
  <c r="EX78" i="34"/>
  <c r="EX96" i="34"/>
  <c r="EX97" i="34"/>
  <c r="EX87" i="2"/>
  <c r="EX95" i="34"/>
  <c r="EX14" i="34"/>
  <c r="EY80" i="34" l="1"/>
  <c r="EY81" i="34"/>
  <c r="EX79" i="34"/>
  <c r="EX82" i="34"/>
  <c r="D31" i="39"/>
  <c r="I31" i="39" s="1"/>
  <c r="FD78" i="34"/>
  <c r="EX80" i="34"/>
  <c r="EX81" i="34"/>
  <c r="EX91" i="2"/>
  <c r="EX86" i="2"/>
  <c r="D10" i="39"/>
  <c r="D11" i="39" s="1"/>
  <c r="FD90" i="34" l="1"/>
  <c r="FD82" i="34" s="1"/>
  <c r="FD81" i="34"/>
  <c r="FD80" i="34"/>
  <c r="FJ78" i="34"/>
  <c r="FJ94" i="34"/>
  <c r="M31" i="39"/>
  <c r="F31" i="39"/>
  <c r="D15" i="39"/>
  <c r="M11" i="39"/>
  <c r="I11" i="39"/>
  <c r="D25" i="39"/>
  <c r="FD49" i="2"/>
  <c r="I20" i="37" s="1"/>
  <c r="FD95" i="34" l="1"/>
  <c r="FD92" i="34" s="1"/>
  <c r="FD91" i="34" s="1"/>
  <c r="FJ90" i="34"/>
  <c r="FP94" i="34" s="1"/>
  <c r="FP78" i="34"/>
  <c r="D20" i="39"/>
  <c r="FD145" i="2"/>
  <c r="FD85" i="2"/>
  <c r="I25" i="39"/>
  <c r="M25" i="39"/>
  <c r="F25" i="39"/>
  <c r="F15" i="39"/>
  <c r="I15" i="39"/>
  <c r="D26" i="39"/>
  <c r="M15" i="39"/>
  <c r="D19" i="39"/>
  <c r="EX92" i="2"/>
  <c r="EX68" i="2"/>
  <c r="I68" i="37" s="1"/>
  <c r="EX67" i="2"/>
  <c r="FP90" i="34" l="1"/>
  <c r="FP49" i="2" s="1"/>
  <c r="D21" i="39"/>
  <c r="M21" i="39" s="1"/>
  <c r="D23" i="39"/>
  <c r="EX93" i="2"/>
  <c r="I26" i="39"/>
  <c r="F26" i="39"/>
  <c r="M26" i="39"/>
  <c r="FP95" i="34" l="1"/>
  <c r="FP92" i="34" s="1"/>
  <c r="FP91" i="34" s="1"/>
  <c r="F21" i="39"/>
  <c r="I21" i="39"/>
  <c r="D27" i="39"/>
  <c r="I27" i="39" s="1"/>
  <c r="F23" i="39"/>
  <c r="M23" i="39"/>
  <c r="I23" i="39"/>
  <c r="M27" i="39" l="1"/>
  <c r="F27" i="39"/>
  <c r="EX115" i="4" l="1"/>
  <c r="EX100" i="4"/>
  <c r="DZ90" i="34" l="1"/>
  <c r="DZ96" i="34" s="1"/>
  <c r="ED10" i="34"/>
  <c r="ED25" i="34" s="1"/>
  <c r="EB25" i="34"/>
  <c r="EH26" i="34" s="1"/>
  <c r="DZ132" i="34"/>
  <c r="DZ136" i="34" s="1"/>
  <c r="EA13" i="34"/>
  <c r="DZ13" i="34"/>
  <c r="DZ12" i="34"/>
  <c r="EF11" i="34"/>
  <c r="EA12" i="34"/>
  <c r="EB90" i="34"/>
  <c r="EB96" i="34" s="1"/>
  <c r="EC13" i="34"/>
  <c r="EB13" i="34"/>
  <c r="EH11" i="34"/>
  <c r="EB12" i="34"/>
  <c r="EC12" i="34"/>
  <c r="DZ11" i="34"/>
  <c r="DZ25" i="34"/>
  <c r="EF26" i="34" s="1"/>
  <c r="EB11" i="34"/>
  <c r="EB132" i="34"/>
  <c r="EB136" i="34" s="1"/>
  <c r="DZ137" i="34" l="1"/>
  <c r="DZ14" i="34"/>
  <c r="EA96" i="34"/>
  <c r="EB133" i="34"/>
  <c r="EB137" i="34"/>
  <c r="EB82" i="34"/>
  <c r="DZ26" i="34"/>
  <c r="EC97" i="34"/>
  <c r="EA97" i="34"/>
  <c r="DZ82" i="34"/>
  <c r="EB14" i="34"/>
  <c r="EH95" i="34"/>
  <c r="EB26" i="34"/>
  <c r="DZ97" i="34"/>
  <c r="DZ95" i="34"/>
  <c r="EB97" i="34"/>
  <c r="DZ133" i="34"/>
  <c r="EF95" i="34"/>
  <c r="EJ26" i="34"/>
  <c r="ED26" i="34"/>
  <c r="EJ11" i="34"/>
  <c r="ED132" i="34"/>
  <c r="ED90" i="34"/>
  <c r="ED14" i="34" s="1"/>
  <c r="DZ31" i="34"/>
  <c r="ED11" i="34"/>
  <c r="EB95" i="34"/>
  <c r="EC96" i="34"/>
  <c r="ED82" i="34" l="1"/>
  <c r="ED95" i="34"/>
  <c r="EJ95" i="34"/>
  <c r="ED136" i="34"/>
  <c r="ED137" i="34" s="1"/>
  <c r="ED133" i="34"/>
  <c r="FA90" i="4" l="1"/>
  <c r="FA89" i="4"/>
  <c r="FD90" i="4" l="1"/>
  <c r="FB90" i="4"/>
  <c r="FB89" i="4"/>
  <c r="FD89" i="4"/>
  <c r="FE89" i="4" l="1"/>
  <c r="FE90" i="4"/>
  <c r="FF89" i="4" l="1"/>
  <c r="FF90" i="4"/>
  <c r="FG90" i="4" l="1"/>
  <c r="FG89" i="4"/>
  <c r="FH89" i="4" l="1"/>
  <c r="FJ89" i="4"/>
  <c r="FJ90" i="4"/>
  <c r="FH90" i="4"/>
  <c r="FK89" i="4" l="1"/>
  <c r="FK90" i="4"/>
  <c r="FL90" i="4" l="1"/>
  <c r="FL89" i="4"/>
  <c r="FM89" i="4" l="1"/>
  <c r="FM90" i="4"/>
  <c r="FP89" i="4" l="1"/>
  <c r="FN89" i="4"/>
  <c r="FN90" i="4"/>
  <c r="FP90" i="4"/>
  <c r="FQ89" i="4" l="1"/>
  <c r="FQ90" i="4"/>
  <c r="FR90" i="4" l="1"/>
  <c r="FR89" i="4"/>
  <c r="FS90" i="4" l="1"/>
  <c r="FS89" i="4"/>
  <c r="FT89" i="4" l="1"/>
  <c r="FV89" i="4"/>
  <c r="FV90" i="4"/>
  <c r="FT90" i="4"/>
  <c r="FW90" i="4" l="1"/>
  <c r="FW89" i="4"/>
  <c r="FX90" i="4" l="1"/>
  <c r="FX89" i="4"/>
  <c r="FY89" i="4" l="1"/>
  <c r="FY90" i="4"/>
  <c r="FZ90" i="4" l="1"/>
  <c r="GB90" i="4"/>
  <c r="FZ89" i="4"/>
  <c r="GB89" i="4"/>
  <c r="GC89" i="4" l="1"/>
  <c r="GC90" i="4"/>
  <c r="GD90" i="4" l="1"/>
  <c r="GD89" i="4"/>
  <c r="GE89" i="4" l="1"/>
  <c r="GE90" i="4"/>
  <c r="GF89" i="4" l="1"/>
  <c r="GH89" i="4"/>
  <c r="GH90" i="4"/>
  <c r="GF90" i="4"/>
  <c r="GI90" i="4" l="1"/>
  <c r="GI89" i="4"/>
  <c r="GJ89" i="4" l="1"/>
  <c r="GJ90" i="4"/>
  <c r="GK90" i="4" l="1"/>
  <c r="GK89" i="4"/>
  <c r="GL90" i="4" l="1"/>
  <c r="GN90" i="4"/>
  <c r="GN89" i="4"/>
  <c r="GL89" i="4"/>
  <c r="GO89" i="4" l="1"/>
  <c r="GO90" i="4"/>
  <c r="GP90" i="4" l="1"/>
  <c r="GP89" i="4"/>
  <c r="GQ90" i="4" l="1"/>
  <c r="GQ89" i="4"/>
  <c r="GT90" i="4" l="1"/>
  <c r="GR90" i="4"/>
  <c r="GT89" i="4"/>
  <c r="GR89" i="4"/>
  <c r="GU89" i="4" l="1"/>
  <c r="GU90" i="4"/>
  <c r="GV89" i="4" l="1"/>
  <c r="GV90" i="4"/>
  <c r="GW90" i="4" l="1"/>
  <c r="GW89" i="4"/>
  <c r="GX89" i="4" l="1"/>
  <c r="GZ89" i="4"/>
  <c r="GZ90" i="4"/>
  <c r="GX90" i="4"/>
  <c r="HA90" i="4" l="1"/>
  <c r="HA89" i="4"/>
  <c r="HB89" i="4" l="1"/>
  <c r="HB90" i="4"/>
  <c r="HC89" i="4" l="1"/>
  <c r="HF89" i="4" s="1"/>
  <c r="HC90" i="4"/>
  <c r="HF90" i="4" s="1"/>
  <c r="HG90" i="4" l="1"/>
  <c r="HG89" i="4"/>
  <c r="HD90" i="4"/>
  <c r="HD89" i="4"/>
  <c r="HH89" i="4" l="1"/>
  <c r="HH90" i="4"/>
  <c r="EY42" i="4"/>
  <c r="EY51" i="4" s="1"/>
  <c r="EX36" i="5"/>
  <c r="HI90" i="4" l="1"/>
  <c r="HI89" i="4"/>
  <c r="EX79" i="5"/>
  <c r="EX75" i="5"/>
  <c r="HJ89" i="4" l="1"/>
  <c r="HJ90" i="4"/>
  <c r="EX77" i="5"/>
  <c r="EX76" i="5"/>
  <c r="EX60" i="8" l="1"/>
  <c r="FB60" i="8" s="1"/>
  <c r="FB45" i="5"/>
  <c r="FB46" i="5"/>
  <c r="EX53" i="8"/>
  <c r="EX59" i="8" l="1"/>
  <c r="EX52" i="8"/>
  <c r="FA53" i="8" l="1"/>
  <c r="FA39" i="5" s="1"/>
  <c r="FA47" i="5" s="1"/>
  <c r="EY47" i="5" l="1"/>
  <c r="FB39" i="5"/>
  <c r="FB47" i="5" l="1"/>
  <c r="AC20" i="7"/>
  <c r="EY29" i="4"/>
  <c r="FA51" i="8" l="1"/>
  <c r="EY78" i="2"/>
  <c r="FA54" i="8" l="1"/>
  <c r="FA11" i="5" l="1"/>
  <c r="FB54" i="8"/>
  <c r="D22" i="36" s="1"/>
  <c r="FA55" i="8"/>
  <c r="FB55" i="8" l="1"/>
  <c r="FA21" i="4"/>
  <c r="FD51" i="8"/>
  <c r="FB11" i="5"/>
  <c r="FH51" i="8" l="1"/>
  <c r="FD54" i="8"/>
  <c r="FD55" i="8" s="1"/>
  <c r="FB21" i="4"/>
  <c r="FD21" i="4" l="1"/>
  <c r="FE51" i="8"/>
  <c r="FD11" i="5"/>
  <c r="FE54" i="8" l="1"/>
  <c r="FE55" i="8" s="1"/>
  <c r="FD33" i="2"/>
  <c r="FE21" i="4" l="1"/>
  <c r="FF51" i="8"/>
  <c r="FE11" i="5"/>
  <c r="FF54" i="8" l="1"/>
  <c r="FF55" i="8" s="1"/>
  <c r="FE33" i="2"/>
  <c r="FF21" i="4" l="1"/>
  <c r="FG51" i="8"/>
  <c r="FF11" i="5"/>
  <c r="FG54" i="8" l="1"/>
  <c r="FG55" i="8" s="1"/>
  <c r="FF33" i="2"/>
  <c r="FG21" i="4" l="1"/>
  <c r="FJ51" i="8"/>
  <c r="FG11" i="5"/>
  <c r="FH54" i="8"/>
  <c r="FH55" i="8" l="1"/>
  <c r="FG33" i="2"/>
  <c r="FH11" i="5"/>
  <c r="FN51" i="8"/>
  <c r="FJ54" i="8"/>
  <c r="FH21" i="4"/>
  <c r="FJ11" i="5" l="1"/>
  <c r="FH33" i="2"/>
  <c r="FJ55" i="8"/>
  <c r="FJ33" i="2" l="1"/>
  <c r="FJ21" i="4"/>
  <c r="FK51" i="8"/>
  <c r="FK54" i="8" l="1"/>
  <c r="FK55" i="8" s="1"/>
  <c r="FK21" i="4" l="1"/>
  <c r="FL51" i="8"/>
  <c r="FK11" i="5"/>
  <c r="FK33" i="2" l="1"/>
  <c r="FL54" i="8"/>
  <c r="FL11" i="5" l="1"/>
  <c r="FL55" i="8"/>
  <c r="FL21" i="4" l="1"/>
  <c r="FM51" i="8"/>
  <c r="FL33" i="2"/>
  <c r="FM54" i="8" l="1"/>
  <c r="FM55" i="8" s="1"/>
  <c r="FM21" i="4" l="1"/>
  <c r="FP51" i="8"/>
  <c r="FM11" i="5"/>
  <c r="FN54" i="8"/>
  <c r="FN55" i="8" l="1"/>
  <c r="FM33" i="2"/>
  <c r="FN11" i="5"/>
  <c r="FT51" i="8"/>
  <c r="FP54" i="8"/>
  <c r="FP55" i="8" s="1"/>
  <c r="FN21" i="4"/>
  <c r="FP21" i="4" l="1"/>
  <c r="FQ51" i="8"/>
  <c r="FN33" i="2"/>
  <c r="FP11" i="5"/>
  <c r="FP33" i="2" l="1"/>
  <c r="FQ54" i="8"/>
  <c r="FQ11" i="5" l="1"/>
  <c r="FQ55" i="8"/>
  <c r="FQ21" i="4" l="1"/>
  <c r="FR51" i="8"/>
  <c r="FQ33" i="2"/>
  <c r="FR54" i="8" l="1"/>
  <c r="FR55" i="8" s="1"/>
  <c r="FR11" i="5" l="1"/>
  <c r="FR21" i="4"/>
  <c r="FS51" i="8"/>
  <c r="FS54" i="8" l="1"/>
  <c r="FS55" i="8"/>
  <c r="FR33" i="2"/>
  <c r="FS21" i="4" l="1"/>
  <c r="FV51" i="8"/>
  <c r="FS11" i="5"/>
  <c r="FT54" i="8"/>
  <c r="FZ51" i="8" l="1"/>
  <c r="FV54" i="8"/>
  <c r="FV55" i="8" s="1"/>
  <c r="FS33" i="2"/>
  <c r="FT11" i="5"/>
  <c r="FT21" i="4"/>
  <c r="FT55" i="8"/>
  <c r="FV11" i="5" l="1"/>
  <c r="FT33" i="2"/>
  <c r="FV21" i="4"/>
  <c r="FW51" i="8"/>
  <c r="FV33" i="2" l="1"/>
  <c r="FW54" i="8"/>
  <c r="FW55" i="8" s="1"/>
  <c r="FW21" i="4" l="1"/>
  <c r="FX51" i="8"/>
  <c r="FW11" i="5"/>
  <c r="FW33" i="2" l="1"/>
  <c r="FX54" i="8"/>
  <c r="FX55" i="8" s="1"/>
  <c r="FX21" i="4" l="1"/>
  <c r="FY51" i="8"/>
  <c r="FX11" i="5"/>
  <c r="FY54" i="8" l="1"/>
  <c r="FY55" i="8" s="1"/>
  <c r="FX33" i="2"/>
  <c r="GB51" i="8" l="1"/>
  <c r="FY21" i="4"/>
  <c r="FY11" i="5"/>
  <c r="FZ54" i="8"/>
  <c r="FZ21" i="4" l="1"/>
  <c r="FY33" i="2"/>
  <c r="FZ11" i="5"/>
  <c r="GF51" i="8"/>
  <c r="GB54" i="8"/>
  <c r="GB55" i="8" s="1"/>
  <c r="FZ55" i="8"/>
  <c r="GB21" i="4" l="1"/>
  <c r="GC51" i="8"/>
  <c r="GB11" i="5"/>
  <c r="FZ33" i="2"/>
  <c r="GB33" i="2" l="1"/>
  <c r="GC54" i="8"/>
  <c r="GC55" i="8" s="1"/>
  <c r="GD51" i="8" l="1"/>
  <c r="GC21" i="4"/>
  <c r="GC11" i="5"/>
  <c r="GD54" i="8" l="1"/>
  <c r="GD55" i="8" s="1"/>
  <c r="GC33" i="2"/>
  <c r="GD21" i="4" l="1"/>
  <c r="GE51" i="8"/>
  <c r="GD11" i="5"/>
  <c r="GD33" i="2" l="1"/>
  <c r="GE54" i="8"/>
  <c r="GE55" i="8" s="1"/>
  <c r="GE21" i="4" l="1"/>
  <c r="GH51" i="8"/>
  <c r="GE11" i="5"/>
  <c r="GF54" i="8"/>
  <c r="GE33" i="2" l="1"/>
  <c r="GF11" i="5"/>
  <c r="GL51" i="8"/>
  <c r="GH54" i="8"/>
  <c r="GF21" i="4"/>
  <c r="GF55" i="8"/>
  <c r="GH11" i="5" l="1"/>
  <c r="GH55" i="8"/>
  <c r="GF33" i="2"/>
  <c r="GH21" i="4" l="1"/>
  <c r="GI51" i="8"/>
  <c r="GH33" i="2"/>
  <c r="GI54" i="8" l="1"/>
  <c r="GI55" i="8" s="1"/>
  <c r="GI21" i="4" l="1"/>
  <c r="GJ51" i="8"/>
  <c r="GI11" i="5"/>
  <c r="GI33" i="2" l="1"/>
  <c r="GJ54" i="8"/>
  <c r="GJ55" i="8" s="1"/>
  <c r="GJ21" i="4" l="1"/>
  <c r="GK51" i="8"/>
  <c r="GJ11" i="5"/>
  <c r="GK54" i="8" l="1"/>
  <c r="GK55" i="8" s="1"/>
  <c r="GJ33" i="2"/>
  <c r="GN51" i="8" l="1"/>
  <c r="GK21" i="4"/>
  <c r="GK11" i="5"/>
  <c r="GL54" i="8"/>
  <c r="GL55" i="8" l="1"/>
  <c r="GL21" i="4"/>
  <c r="GK33" i="2"/>
  <c r="GL11" i="5"/>
  <c r="GR51" i="8"/>
  <c r="GN54" i="8"/>
  <c r="GN11" i="5" l="1"/>
  <c r="GN55" i="8"/>
  <c r="GL33" i="2"/>
  <c r="GN33" i="2" l="1"/>
  <c r="GN21" i="4"/>
  <c r="GO51" i="8"/>
  <c r="GO54" i="8" l="1"/>
  <c r="GO55" i="8" s="1"/>
  <c r="GO21" i="4" l="1"/>
  <c r="GP51" i="8"/>
  <c r="GO11" i="5"/>
  <c r="GP54" i="8" l="1"/>
  <c r="GP55" i="8" s="1"/>
  <c r="GO33" i="2"/>
  <c r="GP21" i="4" l="1"/>
  <c r="GQ51" i="8"/>
  <c r="GP11" i="5"/>
  <c r="GP33" i="2" l="1"/>
  <c r="GQ54" i="8"/>
  <c r="GQ55" i="8" s="1"/>
  <c r="GT51" i="8" l="1"/>
  <c r="GQ21" i="4"/>
  <c r="GQ11" i="5"/>
  <c r="GR54" i="8"/>
  <c r="GR55" i="8" l="1"/>
  <c r="GQ33" i="2"/>
  <c r="GR11" i="5"/>
  <c r="GR21" i="4"/>
  <c r="GX51" i="8"/>
  <c r="GT54" i="8"/>
  <c r="GT11" i="5" l="1"/>
  <c r="GT55" i="8"/>
  <c r="GR33" i="2"/>
  <c r="GT21" i="4" l="1"/>
  <c r="GU51" i="8"/>
  <c r="GT33" i="2"/>
  <c r="GU54" i="8" l="1"/>
  <c r="GU55" i="8" s="1"/>
  <c r="GV51" i="8" l="1"/>
  <c r="GU21" i="4"/>
  <c r="GU11" i="5"/>
  <c r="GU33" i="2" l="1"/>
  <c r="GV54" i="8"/>
  <c r="GV55" i="8" s="1"/>
  <c r="GV11" i="5" l="1"/>
  <c r="GV21" i="4"/>
  <c r="GW51" i="8"/>
  <c r="GV33" i="2" l="1"/>
  <c r="GW54" i="8"/>
  <c r="GW11" i="5" l="1"/>
  <c r="GX54" i="8"/>
  <c r="GW55" i="8"/>
  <c r="GW33" i="2" l="1"/>
  <c r="GX11" i="5"/>
  <c r="GZ51" i="8"/>
  <c r="GW21" i="4"/>
  <c r="GX55" i="8"/>
  <c r="GX21" i="4" l="1"/>
  <c r="GX33" i="2"/>
  <c r="HD51" i="8"/>
  <c r="GZ54" i="8"/>
  <c r="GZ55" i="8" s="1"/>
  <c r="GZ21" i="4" l="1"/>
  <c r="HA51" i="8"/>
  <c r="GZ11" i="5"/>
  <c r="GZ33" i="2" l="1"/>
  <c r="HA54" i="8"/>
  <c r="HA11" i="5" l="1"/>
  <c r="HA55" i="8"/>
  <c r="HA21" i="4" l="1"/>
  <c r="HB51" i="8"/>
  <c r="HA33" i="2"/>
  <c r="HB54" i="8" l="1"/>
  <c r="HB55" i="8"/>
  <c r="HC51" i="8" l="1"/>
  <c r="HB21" i="4"/>
  <c r="HB11" i="5"/>
  <c r="HB33" i="2" l="1"/>
  <c r="HC54" i="8"/>
  <c r="HC55" i="8" s="1"/>
  <c r="HC21" i="4" l="1"/>
  <c r="HF51" i="8"/>
  <c r="HD21" i="4"/>
  <c r="HC11" i="5"/>
  <c r="HD54" i="8"/>
  <c r="HF54" i="8" l="1"/>
  <c r="HJ51" i="8"/>
  <c r="HF55" i="8"/>
  <c r="HD55" i="8"/>
  <c r="HC33" i="2"/>
  <c r="HD11" i="5"/>
  <c r="HG51" i="8" l="1"/>
  <c r="HF21" i="4"/>
  <c r="HF11" i="5"/>
  <c r="HD33" i="2"/>
  <c r="HG54" i="8" l="1"/>
  <c r="HG55" i="8"/>
  <c r="EX111" i="4"/>
  <c r="EX112" i="4" s="1"/>
  <c r="EZ122" i="4" s="1"/>
  <c r="HH51" i="8" l="1"/>
  <c r="HH54" i="8" s="1"/>
  <c r="HG21" i="4"/>
  <c r="HG11" i="5"/>
  <c r="EY122" i="4"/>
  <c r="EY120" i="4"/>
  <c r="EY121" i="4" s="1"/>
  <c r="EZ124" i="4" s="1"/>
  <c r="EX42" i="4"/>
  <c r="EX92" i="4" s="1"/>
  <c r="EX93" i="4" s="1"/>
  <c r="HH55" i="8" l="1"/>
  <c r="HH11" i="5"/>
  <c r="EY123" i="4"/>
  <c r="EY124" i="4"/>
  <c r="EX51" i="4"/>
  <c r="HH21" i="4" l="1"/>
  <c r="HI51" i="8"/>
  <c r="EY75" i="5"/>
  <c r="EY77" i="5" s="1"/>
  <c r="EX99" i="4"/>
  <c r="EX114" i="4"/>
  <c r="EX116" i="4" s="1"/>
  <c r="EX118" i="4" s="1"/>
  <c r="EX42" i="8"/>
  <c r="EX41" i="8"/>
  <c r="EY62" i="5" s="1"/>
  <c r="EY64" i="5" s="1"/>
  <c r="EY66" i="5" s="1"/>
  <c r="EY69" i="5" s="1"/>
  <c r="HI54" i="8" l="1"/>
  <c r="HI55" i="8"/>
  <c r="HI21" i="4" s="1"/>
  <c r="EY76" i="5"/>
  <c r="EX43" i="8"/>
  <c r="EX101" i="4"/>
  <c r="EX40" i="8"/>
  <c r="FA40" i="8" s="1"/>
  <c r="HJ21" i="4" l="1"/>
  <c r="HI11" i="5"/>
  <c r="HJ11" i="5" s="1"/>
  <c r="HJ54" i="8"/>
  <c r="EX107" i="4"/>
  <c r="EX64" i="5"/>
  <c r="EX66" i="5" s="1"/>
  <c r="EX69" i="5" s="1"/>
  <c r="EX70" i="5" s="1"/>
  <c r="EY68" i="5" s="1"/>
  <c r="EY70" i="5" s="1"/>
  <c r="FB50" i="5"/>
  <c r="FD40" i="8"/>
  <c r="FE40" i="8" s="1"/>
  <c r="FF40" i="8" s="1"/>
  <c r="FG40" i="8" s="1"/>
  <c r="HJ55" i="8" l="1"/>
  <c r="EX73" i="5"/>
  <c r="FJ40" i="8"/>
  <c r="FK40" i="8" s="1"/>
  <c r="FL40" i="8" s="1"/>
  <c r="FM40" i="8" s="1"/>
  <c r="FP40" i="8" s="1"/>
  <c r="FQ40" i="8" s="1"/>
  <c r="FR40" i="8" s="1"/>
  <c r="FS40" i="8" s="1"/>
  <c r="FV40" i="8" s="1"/>
  <c r="FW40" i="8" s="1"/>
  <c r="FX40" i="8" s="1"/>
  <c r="FY40" i="8" s="1"/>
  <c r="GB40" i="8" s="1"/>
  <c r="GC40" i="8" s="1"/>
  <c r="GD40" i="8" s="1"/>
  <c r="GE40" i="8" s="1"/>
  <c r="GH40" i="8" s="1"/>
  <c r="GI40" i="8" s="1"/>
  <c r="GJ40" i="8" s="1"/>
  <c r="GK40" i="8" s="1"/>
  <c r="GN40" i="8" s="1"/>
  <c r="GO40" i="8" s="1"/>
  <c r="GP40" i="8" s="1"/>
  <c r="GQ40" i="8" s="1"/>
  <c r="GT40" i="8" s="1"/>
  <c r="GU40" i="8" s="1"/>
  <c r="GV40" i="8" s="1"/>
  <c r="GW40" i="8" s="1"/>
  <c r="GZ40" i="8" s="1"/>
  <c r="HA40" i="8" s="1"/>
  <c r="HB40" i="8" s="1"/>
  <c r="HC40" i="8" s="1"/>
  <c r="HF40" i="8" s="1"/>
  <c r="HG40" i="8" s="1"/>
  <c r="HH40" i="8" s="1"/>
  <c r="HI40" i="8" s="1"/>
  <c r="FB61" i="5"/>
  <c r="FA57" i="4" l="1"/>
  <c r="EZ68" i="5"/>
  <c r="EX58" i="4" l="1"/>
  <c r="EX96" i="4" s="1"/>
  <c r="EY19" i="4"/>
  <c r="EY92" i="4" s="1"/>
  <c r="EY93" i="4" s="1"/>
  <c r="EX60" i="4"/>
  <c r="EX95" i="4" s="1"/>
  <c r="EX62" i="4"/>
  <c r="EX65" i="4" s="1"/>
  <c r="EY73" i="5"/>
  <c r="FB57" i="4"/>
  <c r="FD57" i="4"/>
  <c r="FE57" i="4" s="1"/>
  <c r="FF57" i="4" s="1"/>
  <c r="FG57" i="4" s="1"/>
  <c r="EY58" i="4"/>
  <c r="EY96" i="4" l="1"/>
  <c r="EY62" i="4"/>
  <c r="EY60" i="4"/>
  <c r="FJ57" i="4"/>
  <c r="FK57" i="4" s="1"/>
  <c r="FL57" i="4" s="1"/>
  <c r="FM57" i="4" s="1"/>
  <c r="FH57" i="4"/>
  <c r="EY31" i="4"/>
  <c r="EX105" i="4"/>
  <c r="EX103" i="4"/>
  <c r="EX104" i="4"/>
  <c r="EY103" i="4" l="1"/>
  <c r="EY95" i="4"/>
  <c r="EY104" i="4"/>
  <c r="EY105" i="4"/>
  <c r="EY65" i="4"/>
  <c r="FP57" i="4"/>
  <c r="FQ57" i="4" s="1"/>
  <c r="FR57" i="4" s="1"/>
  <c r="FS57" i="4" s="1"/>
  <c r="FN57" i="4"/>
  <c r="FV57" i="4" l="1"/>
  <c r="FW57" i="4" s="1"/>
  <c r="FX57" i="4" s="1"/>
  <c r="FY57" i="4" s="1"/>
  <c r="FT57" i="4"/>
  <c r="GB57" i="4" l="1"/>
  <c r="GC57" i="4" s="1"/>
  <c r="GD57" i="4" s="1"/>
  <c r="GE57" i="4" s="1"/>
  <c r="FZ57" i="4"/>
  <c r="GF57" i="4" l="1"/>
  <c r="GH57" i="4"/>
  <c r="GI57" i="4" s="1"/>
  <c r="GJ57" i="4" s="1"/>
  <c r="GK57" i="4" s="1"/>
  <c r="GL57" i="4" l="1"/>
  <c r="GN57" i="4"/>
  <c r="GO57" i="4" s="1"/>
  <c r="GP57" i="4" s="1"/>
  <c r="GQ57" i="4" s="1"/>
  <c r="GT57" i="4" l="1"/>
  <c r="GU57" i="4" s="1"/>
  <c r="GV57" i="4" s="1"/>
  <c r="GW57" i="4" s="1"/>
  <c r="GR57" i="4"/>
  <c r="GX57" i="4" l="1"/>
  <c r="GZ57" i="4"/>
  <c r="HA57" i="4" s="1"/>
  <c r="HB57" i="4" s="1"/>
  <c r="HC57" i="4" s="1"/>
  <c r="HD57" i="4" l="1"/>
  <c r="HF57" i="4"/>
  <c r="HG57" i="4" s="1"/>
  <c r="HH57" i="4" s="1"/>
  <c r="HI57" i="4" s="1"/>
  <c r="HJ57" i="4" s="1"/>
  <c r="FJ95" i="34"/>
  <c r="FJ92" i="34" s="1"/>
  <c r="FJ91" i="34" s="1"/>
  <c r="FJ49" i="2"/>
  <c r="I24" i="37" l="1"/>
  <c r="FP85" i="2"/>
  <c r="FJ145" i="2"/>
  <c r="FJ85" i="2"/>
  <c r="EY56" i="34" l="1"/>
  <c r="EY57" i="34" l="1"/>
  <c r="EY58" i="34"/>
  <c r="FE35" i="2"/>
  <c r="EY96" i="34"/>
  <c r="EY97" i="34"/>
  <c r="FE94" i="34"/>
  <c r="EY14" i="34"/>
  <c r="FE78" i="34" l="1"/>
  <c r="FE90" i="34" l="1"/>
  <c r="FE82" i="34" s="1"/>
  <c r="FE81" i="34"/>
  <c r="FE80" i="34"/>
  <c r="FK78" i="34"/>
  <c r="FK90" i="34" l="1"/>
  <c r="FQ94" i="34" s="1"/>
  <c r="FQ78" i="34"/>
  <c r="FQ90" i="34" s="1"/>
  <c r="FQ49" i="2" s="1"/>
  <c r="FE49" i="2"/>
  <c r="J20" i="37" s="1"/>
  <c r="FE95" i="34"/>
  <c r="FE92" i="34" s="1"/>
  <c r="FE91" i="34" s="1"/>
  <c r="FE97" i="34"/>
  <c r="FE96" i="34"/>
  <c r="FK94" i="34"/>
  <c r="FQ95" i="34" l="1"/>
  <c r="FQ92" i="34" s="1"/>
  <c r="FQ91" i="34" s="1"/>
  <c r="FQ97" i="34"/>
  <c r="FQ96" i="34"/>
  <c r="FK95" i="34"/>
  <c r="FK92" i="34" s="1"/>
  <c r="FK91" i="34" s="1"/>
  <c r="FK49" i="2"/>
  <c r="J24" i="37" s="1"/>
  <c r="FK96" i="34"/>
  <c r="FK97" i="34"/>
  <c r="FE85" i="2"/>
  <c r="FE145" i="2"/>
  <c r="FQ85" i="2" l="1"/>
  <c r="FK145" i="2"/>
  <c r="FK85" i="2"/>
  <c r="FL35" i="2" l="1"/>
  <c r="FN35" i="2" s="1"/>
  <c r="FF35" i="2"/>
  <c r="FH35" i="2" s="1"/>
  <c r="FG78" i="34"/>
  <c r="FM78" i="34" l="1"/>
  <c r="FG90" i="34"/>
  <c r="FG49" i="2" l="1"/>
  <c r="L20" i="37" s="1"/>
  <c r="FG82" i="34"/>
  <c r="FM90" i="34"/>
  <c r="FM95" i="34" s="1"/>
  <c r="FS78" i="34"/>
  <c r="FJ97" i="34"/>
  <c r="FM94" i="34"/>
  <c r="FJ96" i="34"/>
  <c r="FG145" i="2"/>
  <c r="FS90" i="34" l="1"/>
  <c r="FS49" i="2" s="1"/>
  <c r="FM49" i="2"/>
  <c r="L24" i="37" s="1"/>
  <c r="FS94" i="34"/>
  <c r="FP97" i="34"/>
  <c r="FP96" i="34"/>
  <c r="FM92" i="34"/>
  <c r="FM91" i="34" s="1"/>
  <c r="FD97" i="34"/>
  <c r="FD96" i="34"/>
  <c r="FA14" i="34"/>
  <c r="FA95" i="34"/>
  <c r="FA92" i="34" s="1"/>
  <c r="FA91" i="34" s="1"/>
  <c r="FS85" i="2" l="1"/>
  <c r="FM85" i="2"/>
  <c r="FM145" i="2"/>
  <c r="FS95" i="34"/>
  <c r="FS92" i="34" s="1"/>
  <c r="FS91" i="34" s="1"/>
  <c r="EZ145" i="2"/>
  <c r="L16" i="37"/>
  <c r="FG95" i="34"/>
  <c r="FG94" i="34"/>
  <c r="FG92" i="34" l="1"/>
  <c r="FG91" i="34" s="1"/>
  <c r="FE77" i="4"/>
  <c r="FD77" i="4"/>
  <c r="FA77" i="4"/>
  <c r="FB53" i="2"/>
  <c r="FA145" i="2"/>
  <c r="FB145" i="2" s="1"/>
  <c r="FA85" i="2"/>
  <c r="FG85" i="2"/>
  <c r="FB49" i="2"/>
  <c r="D8" i="36" l="1"/>
  <c r="D23" i="36" s="1"/>
  <c r="M16" i="37"/>
  <c r="EZ82" i="4"/>
  <c r="EZ83" i="4"/>
  <c r="FA83" i="4" s="1"/>
  <c r="EZ78" i="4"/>
  <c r="FA87" i="2"/>
  <c r="FB51" i="2"/>
  <c r="FB50" i="2" s="1"/>
  <c r="FA89" i="2"/>
  <c r="FB54" i="2"/>
  <c r="FE14" i="4"/>
  <c r="FE18" i="4"/>
  <c r="FE41" i="4"/>
  <c r="FE36" i="4"/>
  <c r="FB76" i="2"/>
  <c r="FA18" i="4"/>
  <c r="FA14" i="4"/>
  <c r="FA36" i="4"/>
  <c r="FB77" i="4"/>
  <c r="FA41" i="4"/>
  <c r="FD18" i="4"/>
  <c r="FD36" i="4"/>
  <c r="FD41" i="4"/>
  <c r="FD14" i="4"/>
  <c r="AC11" i="7"/>
  <c r="FB85" i="2"/>
  <c r="FA100" i="2"/>
  <c r="FA88" i="2"/>
  <c r="FB52" i="2"/>
  <c r="D25" i="36" l="1"/>
  <c r="FB83" i="4"/>
  <c r="FD83" i="4"/>
  <c r="FE83" i="4" s="1"/>
  <c r="FF83" i="4" s="1"/>
  <c r="FG83" i="4" s="1"/>
  <c r="EZ84" i="4"/>
  <c r="FA82" i="4"/>
  <c r="FA15" i="4" s="1"/>
  <c r="EZ107" i="4"/>
  <c r="FA122" i="4"/>
  <c r="FD33" i="5"/>
  <c r="FE31" i="5"/>
  <c r="FD35" i="5"/>
  <c r="FB41" i="4"/>
  <c r="FA35" i="5"/>
  <c r="FB35" i="5" s="1"/>
  <c r="FE35" i="5"/>
  <c r="FA78" i="4"/>
  <c r="FA86" i="2"/>
  <c r="FD29" i="5"/>
  <c r="FB14" i="4"/>
  <c r="FA29" i="5"/>
  <c r="FB29" i="5" s="1"/>
  <c r="FB86" i="2"/>
  <c r="FB100" i="2"/>
  <c r="FB102" i="2" s="1"/>
  <c r="FB88" i="2"/>
  <c r="FB75" i="2"/>
  <c r="FD31" i="5"/>
  <c r="FB18" i="4"/>
  <c r="FA31" i="5"/>
  <c r="FB31" i="5" s="1"/>
  <c r="FB89" i="2"/>
  <c r="FB77" i="2"/>
  <c r="FA91" i="2"/>
  <c r="FA101" i="2"/>
  <c r="FA102" i="2"/>
  <c r="AC12" i="7"/>
  <c r="FE29" i="5"/>
  <c r="FB36" i="4"/>
  <c r="FA33" i="5"/>
  <c r="FB33" i="5" s="1"/>
  <c r="FE53" i="2"/>
  <c r="FG53" i="2"/>
  <c r="FD53" i="2"/>
  <c r="FE33" i="5"/>
  <c r="FB56" i="2"/>
  <c r="D14" i="36" s="1"/>
  <c r="FB87" i="2"/>
  <c r="FB74" i="2"/>
  <c r="FA90" i="2" l="1"/>
  <c r="L120" i="37"/>
  <c r="D15" i="36"/>
  <c r="D11" i="36"/>
  <c r="D12" i="36" s="1"/>
  <c r="FE51" i="2"/>
  <c r="FD82" i="4"/>
  <c r="FB82" i="4"/>
  <c r="FB84" i="4" s="1"/>
  <c r="FA84" i="4"/>
  <c r="FH83" i="4"/>
  <c r="FJ83" i="4"/>
  <c r="FK83" i="4" s="1"/>
  <c r="FL83" i="4" s="1"/>
  <c r="FM83" i="4" s="1"/>
  <c r="FA120" i="4"/>
  <c r="FA121" i="4" s="1"/>
  <c r="FA124" i="4" s="1"/>
  <c r="FA35" i="4"/>
  <c r="FB78" i="4"/>
  <c r="FB70" i="2"/>
  <c r="FE54" i="2"/>
  <c r="FE89" i="2" s="1"/>
  <c r="FD54" i="2"/>
  <c r="FG54" i="2"/>
  <c r="FG89" i="2" s="1"/>
  <c r="FB91" i="2"/>
  <c r="FB98" i="2"/>
  <c r="FB79" i="2"/>
  <c r="FB90" i="2" l="1"/>
  <c r="AC32" i="7" s="1"/>
  <c r="M120" i="37"/>
  <c r="FE52" i="2"/>
  <c r="FE88" i="2" s="1"/>
  <c r="FG52" i="2"/>
  <c r="FG88" i="2" s="1"/>
  <c r="FD52" i="2"/>
  <c r="FD100" i="2" s="1"/>
  <c r="FD102" i="2" s="1"/>
  <c r="FG51" i="2"/>
  <c r="FG50" i="2" s="1"/>
  <c r="FD51" i="2"/>
  <c r="FD50" i="2" s="1"/>
  <c r="FD15" i="4" s="1"/>
  <c r="FA104" i="2"/>
  <c r="EY104" i="2"/>
  <c r="EZ104" i="2"/>
  <c r="FA30" i="5"/>
  <c r="FB30" i="5" s="1"/>
  <c r="FB15" i="4"/>
  <c r="FN83" i="4"/>
  <c r="FP83" i="4"/>
  <c r="FQ83" i="4" s="1"/>
  <c r="FR83" i="4" s="1"/>
  <c r="FS83" i="4" s="1"/>
  <c r="FE82" i="4"/>
  <c r="FD84" i="4"/>
  <c r="FA123" i="4"/>
  <c r="EZ75" i="5"/>
  <c r="EZ64" i="5"/>
  <c r="EZ66" i="5" s="1"/>
  <c r="EZ69" i="5" s="1"/>
  <c r="EZ70" i="5" s="1"/>
  <c r="FB35" i="4"/>
  <c r="FB42" i="4" s="1"/>
  <c r="FA42" i="4"/>
  <c r="FA51" i="4" s="1"/>
  <c r="FA32" i="5"/>
  <c r="FB32" i="5" s="1"/>
  <c r="FA111" i="4"/>
  <c r="EX104" i="2"/>
  <c r="AC30" i="7"/>
  <c r="AC48" i="7" s="1"/>
  <c r="FB78" i="2"/>
  <c r="FE50" i="2"/>
  <c r="FE87" i="2"/>
  <c r="FD89" i="2"/>
  <c r="FE56" i="2" l="1"/>
  <c r="FE70" i="2" s="1"/>
  <c r="FE100" i="2"/>
  <c r="FE102" i="2" s="1"/>
  <c r="FG100" i="2"/>
  <c r="FG102" i="2" s="1"/>
  <c r="FE15" i="4"/>
  <c r="FE30" i="5" s="1"/>
  <c r="FD88" i="2"/>
  <c r="FG56" i="2"/>
  <c r="FG70" i="2" s="1"/>
  <c r="FG87" i="2"/>
  <c r="FD56" i="2"/>
  <c r="FD79" i="2" s="1"/>
  <c r="FD87" i="2"/>
  <c r="FD101" i="2"/>
  <c r="FT83" i="4"/>
  <c r="FV83" i="4"/>
  <c r="FW83" i="4" s="1"/>
  <c r="FX83" i="4" s="1"/>
  <c r="FY83" i="4" s="1"/>
  <c r="FF82" i="4"/>
  <c r="FE84" i="4"/>
  <c r="FD30" i="5"/>
  <c r="FG86" i="2"/>
  <c r="FB51" i="4"/>
  <c r="FE78" i="4"/>
  <c r="FE35" i="4" s="1"/>
  <c r="FE86" i="2"/>
  <c r="EZ76" i="5"/>
  <c r="EZ77" i="5"/>
  <c r="FD78" i="4"/>
  <c r="FD35" i="4" s="1"/>
  <c r="FD86" i="2"/>
  <c r="FA68" i="5"/>
  <c r="FE91" i="2" l="1"/>
  <c r="FE79" i="2"/>
  <c r="FE101" i="2"/>
  <c r="FG90" i="2"/>
  <c r="L124" i="37"/>
  <c r="FE90" i="2"/>
  <c r="J124" i="37"/>
  <c r="FG79" i="2"/>
  <c r="FG91" i="2"/>
  <c r="FD70" i="2"/>
  <c r="FD78" i="2" s="1"/>
  <c r="FD91" i="2"/>
  <c r="FZ83" i="4"/>
  <c r="GB83" i="4"/>
  <c r="GC83" i="4" s="1"/>
  <c r="GD83" i="4" s="1"/>
  <c r="GE83" i="4" s="1"/>
  <c r="FG82" i="4"/>
  <c r="FG15" i="4" s="1"/>
  <c r="FF84" i="4"/>
  <c r="FE42" i="4"/>
  <c r="FE51" i="4" s="1"/>
  <c r="FE111" i="4"/>
  <c r="FE32" i="5"/>
  <c r="FE78" i="2"/>
  <c r="FA10" i="8"/>
  <c r="EZ73" i="5"/>
  <c r="FD32" i="5"/>
  <c r="FD111" i="4"/>
  <c r="FD42" i="4"/>
  <c r="FD51" i="4" s="1"/>
  <c r="FG78" i="2"/>
  <c r="FD90" i="2" l="1"/>
  <c r="I124" i="37"/>
  <c r="GF83" i="4"/>
  <c r="GH83" i="4"/>
  <c r="GI83" i="4" s="1"/>
  <c r="GJ83" i="4" s="1"/>
  <c r="GK83" i="4" s="1"/>
  <c r="FH82" i="4"/>
  <c r="FH84" i="4" s="1"/>
  <c r="FJ82" i="4"/>
  <c r="FG84" i="4"/>
  <c r="EZ65" i="4"/>
  <c r="FB58" i="2"/>
  <c r="GL83" i="4" l="1"/>
  <c r="GN83" i="4"/>
  <c r="GO83" i="4" s="1"/>
  <c r="GP83" i="4" s="1"/>
  <c r="GQ83" i="4" s="1"/>
  <c r="FK82" i="4"/>
  <c r="FJ84" i="4"/>
  <c r="FB60" i="2"/>
  <c r="FB61" i="2"/>
  <c r="FL82" i="4" l="1"/>
  <c r="FK84" i="4"/>
  <c r="GR83" i="4"/>
  <c r="GT83" i="4"/>
  <c r="GU83" i="4" s="1"/>
  <c r="GV83" i="4" s="1"/>
  <c r="GW83" i="4" s="1"/>
  <c r="FA9" i="5"/>
  <c r="FB81" i="2"/>
  <c r="FB62" i="2"/>
  <c r="AC39" i="7"/>
  <c r="FB80" i="2"/>
  <c r="D17" i="36" l="1"/>
  <c r="D18" i="36" s="1"/>
  <c r="D19" i="36" s="1"/>
  <c r="GX83" i="4"/>
  <c r="GZ83" i="4"/>
  <c r="HA83" i="4" s="1"/>
  <c r="HB83" i="4" s="1"/>
  <c r="HC83" i="4" s="1"/>
  <c r="FM82" i="4"/>
  <c r="FL84" i="4"/>
  <c r="FA92" i="2"/>
  <c r="FB9" i="5"/>
  <c r="FA56" i="4"/>
  <c r="FB82" i="2"/>
  <c r="FB92" i="2"/>
  <c r="AC41" i="7"/>
  <c r="AC15" i="7"/>
  <c r="D20" i="36" l="1"/>
  <c r="D27" i="36"/>
  <c r="HD83" i="4"/>
  <c r="HF83" i="4"/>
  <c r="FN82" i="4"/>
  <c r="FN84" i="4" s="1"/>
  <c r="FP82" i="4"/>
  <c r="FM84" i="4"/>
  <c r="FB56" i="4"/>
  <c r="HG83" i="4" l="1"/>
  <c r="FQ82" i="4"/>
  <c r="FP84" i="4"/>
  <c r="HH83" i="4" l="1"/>
  <c r="FR82" i="4"/>
  <c r="FQ84" i="4"/>
  <c r="HI83" i="4" l="1"/>
  <c r="FS82" i="4"/>
  <c r="FR84" i="4"/>
  <c r="HJ83" i="4" l="1"/>
  <c r="FT82" i="4"/>
  <c r="FT84" i="4" s="1"/>
  <c r="FV82" i="4"/>
  <c r="FS84" i="4"/>
  <c r="FW82" i="4" l="1"/>
  <c r="FV84" i="4"/>
  <c r="FX82" i="4" l="1"/>
  <c r="FW84" i="4"/>
  <c r="FY82" i="4" l="1"/>
  <c r="FX84" i="4"/>
  <c r="FZ82" i="4" l="1"/>
  <c r="FZ84" i="4" s="1"/>
  <c r="GB82" i="4"/>
  <c r="FY84" i="4"/>
  <c r="GC82" i="4" l="1"/>
  <c r="GB84" i="4"/>
  <c r="GD82" i="4" l="1"/>
  <c r="GC84" i="4"/>
  <c r="GE82" i="4" l="1"/>
  <c r="GD84" i="4"/>
  <c r="GF82" i="4" l="1"/>
  <c r="GF84" i="4" s="1"/>
  <c r="GH82" i="4"/>
  <c r="GE84" i="4"/>
  <c r="GI82" i="4" l="1"/>
  <c r="GH84" i="4"/>
  <c r="GJ82" i="4" l="1"/>
  <c r="GI84" i="4"/>
  <c r="GK82" i="4" l="1"/>
  <c r="GJ84" i="4"/>
  <c r="GL82" i="4" l="1"/>
  <c r="GL84" i="4" s="1"/>
  <c r="GN82" i="4"/>
  <c r="GK84" i="4"/>
  <c r="GO82" i="4" l="1"/>
  <c r="GN84" i="4"/>
  <c r="GP82" i="4" l="1"/>
  <c r="GO84" i="4"/>
  <c r="GQ82" i="4" l="1"/>
  <c r="GP84" i="4"/>
  <c r="GR82" i="4" l="1"/>
  <c r="GR84" i="4" s="1"/>
  <c r="GT82" i="4"/>
  <c r="GQ84" i="4"/>
  <c r="GU82" i="4" l="1"/>
  <c r="GT84" i="4"/>
  <c r="GV82" i="4" l="1"/>
  <c r="GU84" i="4"/>
  <c r="GW82" i="4" l="1"/>
  <c r="GV84" i="4"/>
  <c r="GX82" i="4" l="1"/>
  <c r="GX84" i="4" s="1"/>
  <c r="GZ82" i="4"/>
  <c r="GW84" i="4"/>
  <c r="HA82" i="4" l="1"/>
  <c r="GZ84" i="4"/>
  <c r="HB82" i="4" l="1"/>
  <c r="HA84" i="4"/>
  <c r="HC82" i="4" l="1"/>
  <c r="HF82" i="4" s="1"/>
  <c r="HB84" i="4"/>
  <c r="HG82" i="4" l="1"/>
  <c r="HF84" i="4"/>
  <c r="HD82" i="4"/>
  <c r="HD84" i="4" s="1"/>
  <c r="HC84" i="4"/>
  <c r="HH82" i="4" l="1"/>
  <c r="HG84" i="4"/>
  <c r="FB62" i="8"/>
  <c r="FH61" i="8"/>
  <c r="FN61" i="8" s="1"/>
  <c r="FT61" i="8" s="1"/>
  <c r="FZ61" i="8" s="1"/>
  <c r="GF61" i="8" s="1"/>
  <c r="GL61" i="8" s="1"/>
  <c r="GR61" i="8" s="1"/>
  <c r="GX61" i="8" s="1"/>
  <c r="HD61" i="8" s="1"/>
  <c r="HJ61" i="8" s="1"/>
  <c r="HI82" i="4" l="1"/>
  <c r="HH84" i="4"/>
  <c r="FA58" i="8"/>
  <c r="FA61" i="8"/>
  <c r="FA12" i="5" s="1"/>
  <c r="HJ82" i="4" l="1"/>
  <c r="HJ84" i="4" s="1"/>
  <c r="HI84" i="4"/>
  <c r="FA36" i="5"/>
  <c r="FB12" i="5"/>
  <c r="FA62" i="8"/>
  <c r="FD58" i="8" l="1"/>
  <c r="FD61" i="8"/>
  <c r="FD12" i="5" s="1"/>
  <c r="FA24" i="4"/>
  <c r="FB36" i="5"/>
  <c r="FA75" i="5"/>
  <c r="AC19" i="7" l="1"/>
  <c r="AC21" i="7" s="1"/>
  <c r="FB75" i="5"/>
  <c r="FA110" i="4"/>
  <c r="FA112" i="4" s="1"/>
  <c r="FB24" i="4"/>
  <c r="FA29" i="4"/>
  <c r="FB29" i="4" s="1"/>
  <c r="FD34" i="2"/>
  <c r="FA77" i="5"/>
  <c r="FA76" i="5"/>
  <c r="FH58" i="8"/>
  <c r="FH62" i="8" s="1"/>
  <c r="FD62" i="8"/>
  <c r="FB77" i="5" l="1"/>
  <c r="FB76" i="5"/>
  <c r="AC22" i="7"/>
  <c r="FE61" i="8"/>
  <c r="FE12" i="5" s="1"/>
  <c r="FD24" i="4"/>
  <c r="FE58" i="8"/>
  <c r="FD120" i="4"/>
  <c r="FD121" i="4" s="1"/>
  <c r="FD122" i="4"/>
  <c r="FE34" i="2" l="1"/>
  <c r="FD110" i="4"/>
  <c r="FD112" i="4" s="1"/>
  <c r="FD29" i="4"/>
  <c r="FD123" i="4"/>
  <c r="FD124" i="4"/>
  <c r="FE62" i="8"/>
  <c r="FE24" i="4" l="1"/>
  <c r="FF61" i="8"/>
  <c r="FF12" i="5" s="1"/>
  <c r="FF58" i="8"/>
  <c r="FE122" i="4"/>
  <c r="FE120" i="4"/>
  <c r="FE121" i="4" s="1"/>
  <c r="FF62" i="8" l="1"/>
  <c r="FG58" i="8" s="1"/>
  <c r="FE123" i="4"/>
  <c r="FE124" i="4"/>
  <c r="FF24" i="4"/>
  <c r="FG61" i="8"/>
  <c r="FG12" i="5" s="1"/>
  <c r="FG34" i="2" s="1"/>
  <c r="FF34" i="2"/>
  <c r="FE29" i="4"/>
  <c r="FE110" i="4"/>
  <c r="FE112" i="4" s="1"/>
  <c r="FG62" i="8" l="1"/>
  <c r="FH12" i="5"/>
  <c r="FJ61" i="8"/>
  <c r="FJ12" i="5" s="1"/>
  <c r="FG24" i="4"/>
  <c r="FJ58" i="8"/>
  <c r="FH34" i="2"/>
  <c r="FF122" i="4"/>
  <c r="FF29" i="4"/>
  <c r="FN58" i="8" l="1"/>
  <c r="FN62" i="8" s="1"/>
  <c r="FJ62" i="8"/>
  <c r="FH24" i="4"/>
  <c r="FG29" i="4"/>
  <c r="FH29" i="4" s="1"/>
  <c r="FJ34" i="2"/>
  <c r="FJ24" i="4" l="1"/>
  <c r="FK61" i="8"/>
  <c r="FK12" i="5" s="1"/>
  <c r="FK58" i="8"/>
  <c r="FK34" i="2" l="1"/>
  <c r="FJ29" i="4"/>
  <c r="FK62" i="8"/>
  <c r="FL61" i="8" l="1"/>
  <c r="FL12" i="5" s="1"/>
  <c r="FL58" i="8"/>
  <c r="FK24" i="4"/>
  <c r="FL62" i="8" l="1"/>
  <c r="FK29" i="4"/>
  <c r="FL24" i="4"/>
  <c r="FM58" i="8"/>
  <c r="FM61" i="8"/>
  <c r="FM12" i="5" s="1"/>
  <c r="FM34" i="2" s="1"/>
  <c r="FL34" i="2"/>
  <c r="FN34" i="2" l="1"/>
  <c r="FN12" i="5"/>
  <c r="FL29" i="4"/>
  <c r="FM62" i="8"/>
  <c r="FP61" i="8" l="1"/>
  <c r="FP12" i="5" s="1"/>
  <c r="FM24" i="4"/>
  <c r="FP58" i="8"/>
  <c r="FN24" i="4" l="1"/>
  <c r="FM29" i="4"/>
  <c r="FN29" i="4" s="1"/>
  <c r="FP34" i="2"/>
  <c r="FT58" i="8"/>
  <c r="FT62" i="8" s="1"/>
  <c r="FP62" i="8"/>
  <c r="FQ61" i="8" l="1"/>
  <c r="FQ12" i="5" s="1"/>
  <c r="FP24" i="4"/>
  <c r="FQ58" i="8"/>
  <c r="FQ62" i="8" l="1"/>
  <c r="FP29" i="4"/>
  <c r="FQ34" i="2"/>
  <c r="FQ24" i="4" l="1"/>
  <c r="FR61" i="8"/>
  <c r="FR12" i="5" s="1"/>
  <c r="FR58" i="8"/>
  <c r="FR34" i="2" l="1"/>
  <c r="FQ29" i="4"/>
  <c r="FR62" i="8"/>
  <c r="FS58" i="8" l="1"/>
  <c r="FS61" i="8"/>
  <c r="FS12" i="5" s="1"/>
  <c r="FR24" i="4"/>
  <c r="FS62" i="8" l="1"/>
  <c r="FV58" i="8" s="1"/>
  <c r="FS34" i="2"/>
  <c r="FT34" i="2" s="1"/>
  <c r="FT12" i="5"/>
  <c r="FV61" i="8"/>
  <c r="FV12" i="5" s="1"/>
  <c r="FS24" i="4"/>
  <c r="FR29" i="4"/>
  <c r="FT24" i="4" l="1"/>
  <c r="FS29" i="4"/>
  <c r="FT29" i="4" s="1"/>
  <c r="FV34" i="2"/>
  <c r="FZ58" i="8"/>
  <c r="FZ62" i="8" s="1"/>
  <c r="FV62" i="8"/>
  <c r="FV24" i="4" l="1"/>
  <c r="FW61" i="8"/>
  <c r="FW12" i="5" s="1"/>
  <c r="FW58" i="8"/>
  <c r="FW62" i="8" l="1"/>
  <c r="FX61" i="8"/>
  <c r="FX12" i="5" s="1"/>
  <c r="FX34" i="2" s="1"/>
  <c r="FX58" i="8"/>
  <c r="FW24" i="4"/>
  <c r="FW34" i="2"/>
  <c r="FV29" i="4"/>
  <c r="FX62" i="8" l="1"/>
  <c r="FW29" i="4"/>
  <c r="FX24" i="4"/>
  <c r="FY58" i="8"/>
  <c r="FY61" i="8"/>
  <c r="FY12" i="5" s="1"/>
  <c r="FY62" i="8" l="1"/>
  <c r="GB61" i="8" s="1"/>
  <c r="GB12" i="5" s="1"/>
  <c r="FY24" i="4"/>
  <c r="GB58" i="8"/>
  <c r="FX29" i="4"/>
  <c r="FY34" i="2"/>
  <c r="FZ34" i="2" s="1"/>
  <c r="FZ12" i="5"/>
  <c r="FZ24" i="4" l="1"/>
  <c r="FY29" i="4"/>
  <c r="FZ29" i="4" s="1"/>
  <c r="GF58" i="8"/>
  <c r="GF62" i="8" s="1"/>
  <c r="GB62" i="8"/>
  <c r="GB34" i="2"/>
  <c r="GC61" i="8" l="1"/>
  <c r="GC12" i="5" s="1"/>
  <c r="GB24" i="4"/>
  <c r="GC58" i="8"/>
  <c r="GB29" i="4" l="1"/>
  <c r="GC34" i="2"/>
  <c r="GC62" i="8"/>
  <c r="GC24" i="4" l="1"/>
  <c r="GD61" i="8"/>
  <c r="GD12" i="5" s="1"/>
  <c r="GD58" i="8"/>
  <c r="GD62" i="8" l="1"/>
  <c r="GC29" i="4"/>
  <c r="GD34" i="2"/>
  <c r="GD24" i="4" l="1"/>
  <c r="GE61" i="8"/>
  <c r="GE12" i="5" s="1"/>
  <c r="GE58" i="8"/>
  <c r="GE62" i="8" l="1"/>
  <c r="GE24" i="4"/>
  <c r="GH58" i="8"/>
  <c r="GH61" i="8"/>
  <c r="GH12" i="5" s="1"/>
  <c r="GE34" i="2"/>
  <c r="GF34" i="2" s="1"/>
  <c r="GF12" i="5"/>
  <c r="GD29" i="4"/>
  <c r="GH34" i="2" l="1"/>
  <c r="GL58" i="8"/>
  <c r="GL62" i="8" s="1"/>
  <c r="GH62" i="8"/>
  <c r="GF24" i="4"/>
  <c r="GE29" i="4"/>
  <c r="GF29" i="4" s="1"/>
  <c r="GH24" i="4" l="1"/>
  <c r="GI61" i="8"/>
  <c r="GI12" i="5" s="1"/>
  <c r="GI58" i="8"/>
  <c r="GI62" i="8" l="1"/>
  <c r="GJ61" i="8"/>
  <c r="GJ12" i="5" s="1"/>
  <c r="GJ34" i="2" s="1"/>
  <c r="GJ58" i="8"/>
  <c r="GI24" i="4"/>
  <c r="GH29" i="4"/>
  <c r="GI34" i="2"/>
  <c r="GJ62" i="8" l="1"/>
  <c r="GJ24" i="4"/>
  <c r="GK61" i="8"/>
  <c r="GK12" i="5" s="1"/>
  <c r="GK58" i="8"/>
  <c r="GK62" i="8" s="1"/>
  <c r="GI29" i="4"/>
  <c r="GN58" i="8" l="1"/>
  <c r="GK24" i="4"/>
  <c r="GN61" i="8"/>
  <c r="GN12" i="5" s="1"/>
  <c r="GK34" i="2"/>
  <c r="GL34" i="2" s="1"/>
  <c r="GL12" i="5"/>
  <c r="GJ29" i="4"/>
  <c r="GK29" i="4" l="1"/>
  <c r="GL29" i="4" s="1"/>
  <c r="GL24" i="4"/>
  <c r="GN34" i="2"/>
  <c r="GR58" i="8"/>
  <c r="GR62" i="8" s="1"/>
  <c r="GN62" i="8"/>
  <c r="GO61" i="8" l="1"/>
  <c r="GO12" i="5" s="1"/>
  <c r="GN24" i="4"/>
  <c r="GO58" i="8"/>
  <c r="GO62" i="8" l="1"/>
  <c r="GO24" i="4" s="1"/>
  <c r="GP61" i="8"/>
  <c r="GP12" i="5" s="1"/>
  <c r="GP34" i="2" s="1"/>
  <c r="GP58" i="8"/>
  <c r="GP62" i="8" s="1"/>
  <c r="GN29" i="4"/>
  <c r="GO34" i="2"/>
  <c r="GQ58" i="8" l="1"/>
  <c r="GP24" i="4"/>
  <c r="GQ61" i="8"/>
  <c r="GQ12" i="5" s="1"/>
  <c r="GO29" i="4"/>
  <c r="GQ34" i="2" l="1"/>
  <c r="GR34" i="2" s="1"/>
  <c r="GR12" i="5"/>
  <c r="GP29" i="4"/>
  <c r="GQ62" i="8"/>
  <c r="GT58" i="8" l="1"/>
  <c r="GT61" i="8"/>
  <c r="GT12" i="5" s="1"/>
  <c r="GQ24" i="4"/>
  <c r="GQ29" i="4" l="1"/>
  <c r="GR29" i="4" s="1"/>
  <c r="GR24" i="4"/>
  <c r="GT34" i="2"/>
  <c r="GX58" i="8"/>
  <c r="GX62" i="8" s="1"/>
  <c r="GT62" i="8"/>
  <c r="GT24" i="4" l="1"/>
  <c r="GU61" i="8"/>
  <c r="GU12" i="5" s="1"/>
  <c r="GU58" i="8"/>
  <c r="GU62" i="8" l="1"/>
  <c r="GU34" i="2"/>
  <c r="GT29" i="4"/>
  <c r="GV61" i="8"/>
  <c r="GV12" i="5" s="1"/>
  <c r="GV34" i="2" s="1"/>
  <c r="GV58" i="8"/>
  <c r="GU24" i="4"/>
  <c r="GU29" i="4" l="1"/>
  <c r="GV62" i="8"/>
  <c r="GV24" i="4" l="1"/>
  <c r="GW58" i="8"/>
  <c r="GW61" i="8"/>
  <c r="GW12" i="5" s="1"/>
  <c r="GW34" i="2" l="1"/>
  <c r="GX34" i="2" s="1"/>
  <c r="GX12" i="5"/>
  <c r="GV29" i="4"/>
  <c r="GW62" i="8"/>
  <c r="GZ58" i="8" l="1"/>
  <c r="GZ61" i="8"/>
  <c r="GZ12" i="5" s="1"/>
  <c r="GW24" i="4"/>
  <c r="GW29" i="4" l="1"/>
  <c r="GX29" i="4" s="1"/>
  <c r="GX24" i="4"/>
  <c r="GZ34" i="2"/>
  <c r="HD58" i="8"/>
  <c r="HD62" i="8" s="1"/>
  <c r="GZ62" i="8"/>
  <c r="HA61" i="8" l="1"/>
  <c r="HA12" i="5" s="1"/>
  <c r="GZ24" i="4"/>
  <c r="HA58" i="8"/>
  <c r="HA34" i="2" l="1"/>
  <c r="HA62" i="8"/>
  <c r="GZ29" i="4"/>
  <c r="HA24" i="4" l="1"/>
  <c r="HB61" i="8"/>
  <c r="HB12" i="5" s="1"/>
  <c r="HB58" i="8"/>
  <c r="HB62" i="8" l="1"/>
  <c r="HC58" i="8"/>
  <c r="HB24" i="4"/>
  <c r="HC61" i="8"/>
  <c r="HC12" i="5" s="1"/>
  <c r="HC34" i="2" s="1"/>
  <c r="HB34" i="2"/>
  <c r="HA29" i="4"/>
  <c r="HD12" i="5" l="1"/>
  <c r="HD34" i="2"/>
  <c r="HB29" i="4"/>
  <c r="HC62" i="8"/>
  <c r="HC24" i="4" l="1"/>
  <c r="HF58" i="8"/>
  <c r="HF61" i="8"/>
  <c r="HF12" i="5" s="1"/>
  <c r="HC29" i="4"/>
  <c r="HD29" i="4" s="1"/>
  <c r="HD24" i="4"/>
  <c r="HF62" i="8" l="1"/>
  <c r="HJ58" i="8"/>
  <c r="HJ62" i="8" s="1"/>
  <c r="FA13" i="34"/>
  <c r="FA12" i="34"/>
  <c r="FB10" i="34"/>
  <c r="FF19" i="34"/>
  <c r="FF10" i="34" s="1"/>
  <c r="FF56" i="34" s="1"/>
  <c r="FB19" i="34"/>
  <c r="HG58" i="8" l="1"/>
  <c r="HF24" i="4"/>
  <c r="HF29" i="4" s="1"/>
  <c r="HG61" i="8"/>
  <c r="HG12" i="5" s="1"/>
  <c r="FH19" i="34"/>
  <c r="FL19" i="34"/>
  <c r="FR19" i="34" s="1"/>
  <c r="FF69" i="34"/>
  <c r="FF70" i="34" s="1"/>
  <c r="FB20" i="34"/>
  <c r="FB11" i="34"/>
  <c r="FB65" i="34"/>
  <c r="FB25" i="34"/>
  <c r="FB26" i="34" s="1"/>
  <c r="FB33" i="34"/>
  <c r="FR69" i="34" l="1"/>
  <c r="FR10" i="34"/>
  <c r="FT19" i="34"/>
  <c r="HG62" i="8"/>
  <c r="FH53" i="34"/>
  <c r="FH45" i="34"/>
  <c r="FH54" i="34"/>
  <c r="FH46" i="34"/>
  <c r="FB56" i="34"/>
  <c r="FL69" i="34"/>
  <c r="FL70" i="34" s="1"/>
  <c r="FN19" i="34"/>
  <c r="FL10" i="34"/>
  <c r="FL35" i="34" s="1"/>
  <c r="FB35" i="34"/>
  <c r="FB34" i="34"/>
  <c r="FH10" i="34"/>
  <c r="FF65" i="34"/>
  <c r="FF11" i="34"/>
  <c r="FB73" i="34"/>
  <c r="FB74" i="34" s="1"/>
  <c r="FB66" i="34"/>
  <c r="FH69" i="34"/>
  <c r="FH70" i="34" s="1"/>
  <c r="FH20" i="34"/>
  <c r="FR70" i="34" l="1"/>
  <c r="FT20" i="34"/>
  <c r="FT69" i="34"/>
  <c r="HH61" i="8"/>
  <c r="HH12" i="5" s="1"/>
  <c r="HH58" i="8"/>
  <c r="HH62" i="8" s="1"/>
  <c r="HG24" i="4"/>
  <c r="HG29" i="4" s="1"/>
  <c r="FR11" i="34"/>
  <c r="FR56" i="34"/>
  <c r="FR35" i="34"/>
  <c r="FR65" i="34"/>
  <c r="FT10" i="34"/>
  <c r="FB57" i="34"/>
  <c r="FB58" i="34"/>
  <c r="FL46" i="34"/>
  <c r="FL54" i="34"/>
  <c r="FH25" i="34"/>
  <c r="FH26" i="34" s="1"/>
  <c r="FH11" i="34"/>
  <c r="FH65" i="34"/>
  <c r="FL11" i="34"/>
  <c r="FL56" i="34"/>
  <c r="FL58" i="34" s="1"/>
  <c r="FN10" i="34"/>
  <c r="FN35" i="34" s="1"/>
  <c r="FL65" i="34"/>
  <c r="FN20" i="34"/>
  <c r="FN69" i="34"/>
  <c r="FN70" i="34" s="1"/>
  <c r="FF66" i="34"/>
  <c r="FF73" i="34"/>
  <c r="FF74" i="34" s="1"/>
  <c r="FT70" i="34" l="1"/>
  <c r="HI58" i="8"/>
  <c r="HH24" i="4"/>
  <c r="HH29" i="4" s="1"/>
  <c r="HI61" i="8"/>
  <c r="HI12" i="5" s="1"/>
  <c r="HJ12" i="5" s="1"/>
  <c r="FR54" i="34"/>
  <c r="FR46" i="34"/>
  <c r="FR58" i="34"/>
  <c r="FR57" i="34"/>
  <c r="FT65" i="34"/>
  <c r="FT11" i="34"/>
  <c r="FT25" i="34"/>
  <c r="FT56" i="34"/>
  <c r="FT35" i="34"/>
  <c r="FR73" i="34"/>
  <c r="FR66" i="34"/>
  <c r="FN46" i="34"/>
  <c r="FN54" i="34"/>
  <c r="FH73" i="34"/>
  <c r="FH74" i="34" s="1"/>
  <c r="FH66" i="34"/>
  <c r="FN65" i="34"/>
  <c r="FN25" i="34"/>
  <c r="FN26" i="34" s="1"/>
  <c r="FN11" i="34"/>
  <c r="FL66" i="34"/>
  <c r="FL73" i="34"/>
  <c r="FL74" i="34" s="1"/>
  <c r="FR74" i="34" l="1"/>
  <c r="FT26" i="34"/>
  <c r="FT54" i="34"/>
  <c r="FT46" i="34"/>
  <c r="FT66" i="34"/>
  <c r="FT73" i="34"/>
  <c r="FT58" i="34"/>
  <c r="HI62" i="8"/>
  <c r="HI24" i="4" s="1"/>
  <c r="FN56" i="34"/>
  <c r="FN58" i="34" s="1"/>
  <c r="FN66" i="34"/>
  <c r="FN73" i="34"/>
  <c r="FN74" i="34" s="1"/>
  <c r="FA97" i="34"/>
  <c r="FT74" i="34" l="1"/>
  <c r="FT57" i="34"/>
  <c r="HJ24" i="4"/>
  <c r="HI29" i="4"/>
  <c r="HJ29" i="4" s="1"/>
  <c r="FA96" i="34"/>
  <c r="FF94" i="34"/>
  <c r="FB91" i="34"/>
  <c r="FB92" i="34" s="1"/>
  <c r="FF78" i="34"/>
  <c r="EZ82" i="34"/>
  <c r="EZ81" i="34"/>
  <c r="EZ80" i="34"/>
  <c r="FL78" i="34" l="1"/>
  <c r="FR78" i="34" s="1"/>
  <c r="FF81" i="34"/>
  <c r="FF80" i="34"/>
  <c r="FG81" i="34"/>
  <c r="FG80" i="34"/>
  <c r="FT78" i="34"/>
  <c r="FT90" i="34" s="1"/>
  <c r="FR90" i="34"/>
  <c r="FR49" i="2" s="1"/>
  <c r="FF90" i="34"/>
  <c r="FF96" i="34" s="1"/>
  <c r="FH78" i="34"/>
  <c r="FH90" i="34" s="1"/>
  <c r="FN78" i="34"/>
  <c r="FL90" i="34"/>
  <c r="FR94" i="34" s="1"/>
  <c r="FB78" i="34"/>
  <c r="FT79" i="34" l="1"/>
  <c r="FF95" i="34"/>
  <c r="FF92" i="34" s="1"/>
  <c r="FF91" i="34" s="1"/>
  <c r="FH91" i="34" s="1"/>
  <c r="FF82" i="34"/>
  <c r="FN94" i="34"/>
  <c r="FH82" i="34"/>
  <c r="FT49" i="2"/>
  <c r="FR97" i="34"/>
  <c r="FR95" i="34"/>
  <c r="FR92" i="34" s="1"/>
  <c r="FR91" i="34" s="1"/>
  <c r="FT91" i="34" s="1"/>
  <c r="FR96" i="34"/>
  <c r="FS96" i="34"/>
  <c r="FS97" i="34"/>
  <c r="FF49" i="2"/>
  <c r="FF97" i="34"/>
  <c r="FG96" i="34"/>
  <c r="FG97" i="34"/>
  <c r="FL94" i="34"/>
  <c r="FB90" i="34"/>
  <c r="FB82" i="34" s="1"/>
  <c r="FB79" i="34"/>
  <c r="FL95" i="34"/>
  <c r="FL97" i="34"/>
  <c r="FM96" i="34"/>
  <c r="FM97" i="34"/>
  <c r="FL49" i="2"/>
  <c r="K24" i="37" s="1"/>
  <c r="FL96" i="34"/>
  <c r="FH79" i="34"/>
  <c r="FN79" i="34"/>
  <c r="FN90" i="34"/>
  <c r="FR85" i="2" l="1"/>
  <c r="FF51" i="2"/>
  <c r="FF50" i="2" s="1"/>
  <c r="FF15" i="4" s="1"/>
  <c r="K20" i="37"/>
  <c r="FN95" i="34"/>
  <c r="FT94" i="34"/>
  <c r="FT92" i="34"/>
  <c r="FT95" i="34"/>
  <c r="FF52" i="2"/>
  <c r="FH52" i="2" s="1"/>
  <c r="FF53" i="2"/>
  <c r="FH53" i="2" s="1"/>
  <c r="FF85" i="2"/>
  <c r="FF77" i="4"/>
  <c r="FF14" i="4" s="1"/>
  <c r="FJ77" i="4"/>
  <c r="FJ14" i="4" s="1"/>
  <c r="FL92" i="34"/>
  <c r="FL91" i="34" s="1"/>
  <c r="FN91" i="34" s="1"/>
  <c r="FN92" i="34" s="1"/>
  <c r="FF145" i="2"/>
  <c r="FH145" i="2" s="1"/>
  <c r="FH49" i="2"/>
  <c r="M20" i="37" s="1"/>
  <c r="FG77" i="4"/>
  <c r="FG18" i="4" s="1"/>
  <c r="FF54" i="2"/>
  <c r="FH54" i="2" s="1"/>
  <c r="FF120" i="4"/>
  <c r="FF121" i="4" s="1"/>
  <c r="FF124" i="4" s="1"/>
  <c r="FK77" i="4"/>
  <c r="FK41" i="4" s="1"/>
  <c r="FL77" i="4"/>
  <c r="FN49" i="2"/>
  <c r="FT85" i="2" s="1"/>
  <c r="FM77" i="4"/>
  <c r="FL145" i="2"/>
  <c r="FN145" i="2" s="1"/>
  <c r="FL85" i="2"/>
  <c r="FB95" i="34"/>
  <c r="FH94" i="34"/>
  <c r="FH92" i="34"/>
  <c r="FH95" i="34"/>
  <c r="FH75" i="2" l="1"/>
  <c r="FN75" i="2" s="1"/>
  <c r="FJ75" i="2" s="1"/>
  <c r="FJ52" i="2" s="1"/>
  <c r="FH76" i="2"/>
  <c r="FH89" i="2"/>
  <c r="FH77" i="2"/>
  <c r="FN77" i="2" s="1"/>
  <c r="FT75" i="2"/>
  <c r="FF87" i="2"/>
  <c r="FF86" i="2"/>
  <c r="FH51" i="2"/>
  <c r="FH74" i="2" s="1"/>
  <c r="FN74" i="2" s="1"/>
  <c r="FT74" i="2" s="1"/>
  <c r="FZ74" i="2" s="1"/>
  <c r="GF74" i="2" s="1"/>
  <c r="GL74" i="2" s="1"/>
  <c r="GR74" i="2" s="1"/>
  <c r="GX74" i="2" s="1"/>
  <c r="HD74" i="2" s="1"/>
  <c r="HJ74" i="2" s="1"/>
  <c r="FG78" i="4"/>
  <c r="FH78" i="4" s="1"/>
  <c r="FF78" i="4"/>
  <c r="FF35" i="4" s="1"/>
  <c r="FF32" i="5" s="1"/>
  <c r="M24" i="37"/>
  <c r="FJ36" i="4"/>
  <c r="AE11" i="7"/>
  <c r="FF88" i="2"/>
  <c r="FF36" i="4"/>
  <c r="FF33" i="5" s="1"/>
  <c r="FJ41" i="4"/>
  <c r="FK35" i="5" s="1"/>
  <c r="FF18" i="4"/>
  <c r="FG31" i="5" s="1"/>
  <c r="FF41" i="4"/>
  <c r="FF35" i="5" s="1"/>
  <c r="FJ18" i="4"/>
  <c r="FH85" i="2"/>
  <c r="FG14" i="4"/>
  <c r="FG110" i="4" s="1"/>
  <c r="FG36" i="4"/>
  <c r="FH36" i="4" s="1"/>
  <c r="FG41" i="4"/>
  <c r="FF100" i="2"/>
  <c r="FG101" i="2" s="1"/>
  <c r="FH77" i="4"/>
  <c r="FF56" i="2"/>
  <c r="FF79" i="2" s="1"/>
  <c r="FF89" i="2"/>
  <c r="FK36" i="4"/>
  <c r="FK14" i="4"/>
  <c r="FK29" i="5" s="1"/>
  <c r="FK18" i="4"/>
  <c r="FF123" i="4"/>
  <c r="FH100" i="2"/>
  <c r="FH102" i="2" s="1"/>
  <c r="FH88" i="2"/>
  <c r="AF11" i="7"/>
  <c r="FN85" i="2"/>
  <c r="FM18" i="4"/>
  <c r="FM41" i="4"/>
  <c r="FM14" i="4"/>
  <c r="FM36" i="4"/>
  <c r="FN77" i="4"/>
  <c r="FF29" i="5"/>
  <c r="FH18" i="4"/>
  <c r="FH15" i="4"/>
  <c r="FL41" i="4"/>
  <c r="FL35" i="5" s="1"/>
  <c r="FL14" i="4"/>
  <c r="FL18" i="4"/>
  <c r="FL36" i="4"/>
  <c r="FF30" i="5"/>
  <c r="FG30" i="5"/>
  <c r="FL75" i="2" l="1"/>
  <c r="FL52" i="2" s="1"/>
  <c r="FL88" i="2" s="1"/>
  <c r="FM75" i="2"/>
  <c r="FM52" i="2" s="1"/>
  <c r="FM88" i="2" s="1"/>
  <c r="FK75" i="2"/>
  <c r="FK52" i="2" s="1"/>
  <c r="FK88" i="2" s="1"/>
  <c r="FH87" i="2"/>
  <c r="FN76" i="2"/>
  <c r="FJ76" i="2" s="1"/>
  <c r="FJ53" i="2" s="1"/>
  <c r="FH56" i="2"/>
  <c r="FH50" i="2"/>
  <c r="FH86" i="2" s="1"/>
  <c r="FL74" i="2"/>
  <c r="FL51" i="2" s="1"/>
  <c r="FK74" i="2"/>
  <c r="FK51" i="2" s="1"/>
  <c r="FJ74" i="2"/>
  <c r="FJ51" i="2" s="1"/>
  <c r="FM74" i="2"/>
  <c r="FM51" i="2" s="1"/>
  <c r="FM77" i="2"/>
  <c r="FM54" i="2" s="1"/>
  <c r="FM89" i="2" s="1"/>
  <c r="FL77" i="2"/>
  <c r="FL54" i="2" s="1"/>
  <c r="FK77" i="2"/>
  <c r="FK54" i="2" s="1"/>
  <c r="FK89" i="2" s="1"/>
  <c r="FT77" i="2"/>
  <c r="FJ77" i="2"/>
  <c r="FJ54" i="2" s="1"/>
  <c r="FJ88" i="2"/>
  <c r="FZ75" i="2"/>
  <c r="FQ75" i="2"/>
  <c r="FP75" i="2"/>
  <c r="FR75" i="2"/>
  <c r="FR52" i="2" s="1"/>
  <c r="FS75" i="2"/>
  <c r="FG35" i="4"/>
  <c r="FG111" i="4" s="1"/>
  <c r="FG112" i="4" s="1"/>
  <c r="FF110" i="4"/>
  <c r="FK33" i="5"/>
  <c r="FG29" i="5"/>
  <c r="FH29" i="5" s="1"/>
  <c r="FJ35" i="5"/>
  <c r="FF111" i="4"/>
  <c r="FF31" i="5"/>
  <c r="FH31" i="5" s="1"/>
  <c r="FF42" i="4"/>
  <c r="FF51" i="4" s="1"/>
  <c r="FJ31" i="5"/>
  <c r="FH14" i="4"/>
  <c r="FJ29" i="5"/>
  <c r="FK31" i="5"/>
  <c r="FJ33" i="5"/>
  <c r="FG33" i="5"/>
  <c r="FH33" i="5" s="1"/>
  <c r="FH41" i="4"/>
  <c r="FG35" i="5"/>
  <c r="FH35" i="5" s="1"/>
  <c r="FF101" i="2"/>
  <c r="FL33" i="5"/>
  <c r="FF102" i="2"/>
  <c r="FF91" i="2"/>
  <c r="FF70" i="2"/>
  <c r="FH30" i="5"/>
  <c r="FM31" i="5"/>
  <c r="FM35" i="5"/>
  <c r="FN41" i="4"/>
  <c r="FZ85" i="2"/>
  <c r="FL31" i="5"/>
  <c r="FN18" i="4"/>
  <c r="FN36" i="4"/>
  <c r="FM33" i="5"/>
  <c r="FM29" i="5"/>
  <c r="FL29" i="5"/>
  <c r="FN14" i="4"/>
  <c r="FN52" i="2" l="1"/>
  <c r="FN88" i="2" s="1"/>
  <c r="FH91" i="2"/>
  <c r="FH98" i="2"/>
  <c r="FH79" i="2"/>
  <c r="FG42" i="4"/>
  <c r="FG51" i="4" s="1"/>
  <c r="FH51" i="4" s="1"/>
  <c r="FH35" i="4"/>
  <c r="FH42" i="4" s="1"/>
  <c r="FT76" i="2"/>
  <c r="FS76" i="2" s="1"/>
  <c r="FS53" i="2" s="1"/>
  <c r="FJ100" i="2"/>
  <c r="FJ101" i="2" s="1"/>
  <c r="FG32" i="5"/>
  <c r="FH32" i="5" s="1"/>
  <c r="FK76" i="2"/>
  <c r="FK53" i="2" s="1"/>
  <c r="FK56" i="2" s="1"/>
  <c r="FM76" i="2"/>
  <c r="FM53" i="2" s="1"/>
  <c r="FM56" i="2" s="1"/>
  <c r="FL76" i="2"/>
  <c r="FL53" i="2" s="1"/>
  <c r="FL56" i="2" s="1"/>
  <c r="FF112" i="4"/>
  <c r="FJ122" i="4" s="1"/>
  <c r="FJ50" i="2"/>
  <c r="FJ87" i="2"/>
  <c r="FN51" i="2"/>
  <c r="FK50" i="2"/>
  <c r="FK87" i="2"/>
  <c r="FL50" i="2"/>
  <c r="FL87" i="2"/>
  <c r="FJ56" i="2"/>
  <c r="FJ79" i="2" s="1"/>
  <c r="FM50" i="2"/>
  <c r="FM87" i="2"/>
  <c r="FP74" i="2"/>
  <c r="FP51" i="2" s="1"/>
  <c r="FP50" i="2" s="1"/>
  <c r="FP15" i="4" s="1"/>
  <c r="FR74" i="2"/>
  <c r="FR51" i="2" s="1"/>
  <c r="FR50" i="2" s="1"/>
  <c r="FR15" i="4" s="1"/>
  <c r="FQ74" i="2"/>
  <c r="FQ51" i="2" s="1"/>
  <c r="FS74" i="2"/>
  <c r="FS51" i="2" s="1"/>
  <c r="FS50" i="2" s="1"/>
  <c r="FS15" i="4" s="1"/>
  <c r="FL89" i="2"/>
  <c r="FR77" i="2"/>
  <c r="FR54" i="2" s="1"/>
  <c r="FR89" i="2" s="1"/>
  <c r="FQ77" i="2"/>
  <c r="FQ54" i="2" s="1"/>
  <c r="FQ89" i="2" s="1"/>
  <c r="FZ77" i="2"/>
  <c r="FP77" i="2"/>
  <c r="FP54" i="2" s="1"/>
  <c r="FS77" i="2"/>
  <c r="FS54" i="2" s="1"/>
  <c r="FS89" i="2" s="1"/>
  <c r="FJ89" i="2"/>
  <c r="FN54" i="2"/>
  <c r="GF75" i="2"/>
  <c r="FV75" i="2"/>
  <c r="FW75" i="2"/>
  <c r="FX75" i="2"/>
  <c r="FY75" i="2"/>
  <c r="FJ91" i="2"/>
  <c r="FF90" i="2"/>
  <c r="K124" i="37"/>
  <c r="FF78" i="2"/>
  <c r="FN35" i="5"/>
  <c r="FH70" i="2"/>
  <c r="FN33" i="5"/>
  <c r="FN31" i="5"/>
  <c r="FN29" i="5"/>
  <c r="FJ120" i="4"/>
  <c r="FJ121" i="4" s="1"/>
  <c r="FS77" i="4"/>
  <c r="FS52" i="2"/>
  <c r="FS145" i="2"/>
  <c r="FR77" i="4"/>
  <c r="FR145" i="2"/>
  <c r="GF85" i="2"/>
  <c r="FW85" i="2"/>
  <c r="FW49" i="2" s="1"/>
  <c r="FX85" i="2"/>
  <c r="FX49" i="2" s="1"/>
  <c r="FV85" i="2"/>
  <c r="FV49" i="2" s="1"/>
  <c r="FY85" i="2"/>
  <c r="FY49" i="2" s="1"/>
  <c r="FQ77" i="4"/>
  <c r="FQ52" i="2"/>
  <c r="FQ145" i="2"/>
  <c r="FP77" i="4"/>
  <c r="FP52" i="2"/>
  <c r="FP145" i="2"/>
  <c r="FM100" i="2" l="1"/>
  <c r="FM102" i="2" s="1"/>
  <c r="FP76" i="2"/>
  <c r="FP53" i="2" s="1"/>
  <c r="FP100" i="2" s="1"/>
  <c r="FZ76" i="2"/>
  <c r="FY76" i="2" s="1"/>
  <c r="FY53" i="2" s="1"/>
  <c r="FQ76" i="2"/>
  <c r="FQ53" i="2" s="1"/>
  <c r="FQ100" i="2" s="1"/>
  <c r="FR76" i="2"/>
  <c r="FR53" i="2" s="1"/>
  <c r="FR56" i="2" s="1"/>
  <c r="FG120" i="4"/>
  <c r="FG121" i="4" s="1"/>
  <c r="FG123" i="4" s="1"/>
  <c r="FG122" i="4"/>
  <c r="FJ102" i="2"/>
  <c r="FK100" i="2"/>
  <c r="FK101" i="2" s="1"/>
  <c r="FK70" i="2"/>
  <c r="FK78" i="2" s="1"/>
  <c r="FK91" i="2"/>
  <c r="FN53" i="2"/>
  <c r="FN100" i="2" s="1"/>
  <c r="FN102" i="2" s="1"/>
  <c r="FJ70" i="2"/>
  <c r="I128" i="37" s="1"/>
  <c r="FM70" i="2"/>
  <c r="FM78" i="2" s="1"/>
  <c r="FM91" i="2"/>
  <c r="FM79" i="2"/>
  <c r="FL100" i="2"/>
  <c r="FL102" i="2" s="1"/>
  <c r="FK79" i="2"/>
  <c r="FK86" i="2"/>
  <c r="FK15" i="4"/>
  <c r="FK78" i="4"/>
  <c r="FK35" i="4" s="1"/>
  <c r="FW74" i="2"/>
  <c r="FW51" i="2" s="1"/>
  <c r="FX74" i="2"/>
  <c r="FX51" i="2" s="1"/>
  <c r="FX50" i="2" s="1"/>
  <c r="FX15" i="4" s="1"/>
  <c r="FY74" i="2"/>
  <c r="FY51" i="2" s="1"/>
  <c r="FY50" i="2" s="1"/>
  <c r="FY15" i="4" s="1"/>
  <c r="FV74" i="2"/>
  <c r="FV51" i="2" s="1"/>
  <c r="FV50" i="2" s="1"/>
  <c r="FV15" i="4" s="1"/>
  <c r="FN50" i="2"/>
  <c r="FN86" i="2" s="1"/>
  <c r="FN87" i="2"/>
  <c r="FL15" i="4"/>
  <c r="FL86" i="2"/>
  <c r="FL78" i="4"/>
  <c r="FL35" i="4" s="1"/>
  <c r="FM86" i="2"/>
  <c r="FM15" i="4"/>
  <c r="FM78" i="4"/>
  <c r="FJ86" i="2"/>
  <c r="FJ15" i="4"/>
  <c r="FJ78" i="4"/>
  <c r="FJ35" i="4" s="1"/>
  <c r="FX77" i="2"/>
  <c r="FX54" i="2" s="1"/>
  <c r="FX89" i="2" s="1"/>
  <c r="FW77" i="2"/>
  <c r="FW54" i="2" s="1"/>
  <c r="FW89" i="2" s="1"/>
  <c r="GF77" i="2"/>
  <c r="FV77" i="2"/>
  <c r="FV54" i="2" s="1"/>
  <c r="FY77" i="2"/>
  <c r="FY54" i="2" s="1"/>
  <c r="FY89" i="2" s="1"/>
  <c r="FN89" i="2"/>
  <c r="FL79" i="2"/>
  <c r="FL91" i="2"/>
  <c r="FL70" i="2"/>
  <c r="GL75" i="2"/>
  <c r="GE75" i="2"/>
  <c r="GD75" i="2"/>
  <c r="GB75" i="2"/>
  <c r="GC75" i="2"/>
  <c r="FH90" i="2"/>
  <c r="AE32" i="7" s="1"/>
  <c r="M124" i="37"/>
  <c r="M28" i="37"/>
  <c r="FH78" i="2"/>
  <c r="AE30" i="7"/>
  <c r="AE48" i="7" s="1"/>
  <c r="FW77" i="4"/>
  <c r="FW52" i="2"/>
  <c r="FW145" i="2"/>
  <c r="FX77" i="4"/>
  <c r="FX52" i="2"/>
  <c r="FX145" i="2"/>
  <c r="FY52" i="2"/>
  <c r="FY77" i="4"/>
  <c r="FY145" i="2"/>
  <c r="FP78" i="4"/>
  <c r="FP35" i="4" s="1"/>
  <c r="FP86" i="2"/>
  <c r="FQ14" i="4"/>
  <c r="FQ18" i="4"/>
  <c r="FQ36" i="4"/>
  <c r="FQ41" i="4"/>
  <c r="FQ88" i="2"/>
  <c r="FR87" i="2"/>
  <c r="FS86" i="2"/>
  <c r="FT52" i="2"/>
  <c r="FP88" i="2"/>
  <c r="FT54" i="2"/>
  <c r="FT89" i="2" s="1"/>
  <c r="FP89" i="2"/>
  <c r="GL85" i="2"/>
  <c r="GD85" i="2"/>
  <c r="GD49" i="2" s="1"/>
  <c r="GC85" i="2"/>
  <c r="GC49" i="2" s="1"/>
  <c r="GB85" i="2"/>
  <c r="GB49" i="2" s="1"/>
  <c r="GE85" i="2"/>
  <c r="GE49" i="2" s="1"/>
  <c r="FR86" i="2"/>
  <c r="FS100" i="2"/>
  <c r="FS88" i="2"/>
  <c r="FJ123" i="4"/>
  <c r="FZ49" i="2"/>
  <c r="FV52" i="2"/>
  <c r="FV77" i="4"/>
  <c r="FV145" i="2"/>
  <c r="FQ87" i="2"/>
  <c r="FR36" i="4"/>
  <c r="FR14" i="4"/>
  <c r="FR41" i="4"/>
  <c r="FR18" i="4"/>
  <c r="FS36" i="4"/>
  <c r="FS41" i="4"/>
  <c r="FS18" i="4"/>
  <c r="FS14" i="4"/>
  <c r="FT77" i="4"/>
  <c r="FT51" i="2"/>
  <c r="FT50" i="2" s="1"/>
  <c r="FP87" i="2"/>
  <c r="FQ50" i="2"/>
  <c r="FT145" i="2"/>
  <c r="FP41" i="4"/>
  <c r="FP35" i="5" s="1"/>
  <c r="FP18" i="4"/>
  <c r="FP36" i="4"/>
  <c r="FP33" i="5" s="1"/>
  <c r="FP14" i="4"/>
  <c r="FR88" i="2"/>
  <c r="FS56" i="2"/>
  <c r="FS87" i="2"/>
  <c r="FP56" i="2" l="1"/>
  <c r="FP70" i="2" s="1"/>
  <c r="FV76" i="2"/>
  <c r="FV53" i="2" s="1"/>
  <c r="GF76" i="2"/>
  <c r="GE76" i="2" s="1"/>
  <c r="FX76" i="2"/>
  <c r="FX53" i="2" s="1"/>
  <c r="FX56" i="2" s="1"/>
  <c r="FW76" i="2"/>
  <c r="FW53" i="2" s="1"/>
  <c r="FW56" i="2" s="1"/>
  <c r="FQ56" i="2"/>
  <c r="FQ91" i="2" s="1"/>
  <c r="FG124" i="4"/>
  <c r="FT53" i="2"/>
  <c r="FT100" i="2" s="1"/>
  <c r="FT102" i="2" s="1"/>
  <c r="J128" i="37"/>
  <c r="FR100" i="2"/>
  <c r="FR101" i="2" s="1"/>
  <c r="FJ124" i="4"/>
  <c r="FM90" i="2"/>
  <c r="FJ90" i="2"/>
  <c r="FT86" i="2"/>
  <c r="FK102" i="2"/>
  <c r="FJ78" i="2"/>
  <c r="FM101" i="2"/>
  <c r="FN56" i="2"/>
  <c r="FK90" i="2"/>
  <c r="L128" i="37"/>
  <c r="FL101" i="2"/>
  <c r="FJ32" i="5"/>
  <c r="FJ42" i="4"/>
  <c r="FJ51" i="4" s="1"/>
  <c r="FJ111" i="4"/>
  <c r="FN15" i="4"/>
  <c r="FM110" i="4"/>
  <c r="FL110" i="4"/>
  <c r="FM30" i="5"/>
  <c r="GD74" i="2"/>
  <c r="GD51" i="2" s="1"/>
  <c r="GB74" i="2"/>
  <c r="GB51" i="2" s="1"/>
  <c r="GE74" i="2"/>
  <c r="GE51" i="2" s="1"/>
  <c r="GE50" i="2" s="1"/>
  <c r="GE15" i="4" s="1"/>
  <c r="GC74" i="2"/>
  <c r="GC51" i="2" s="1"/>
  <c r="FJ30" i="5"/>
  <c r="FJ110" i="4"/>
  <c r="FK30" i="5"/>
  <c r="FK32" i="5"/>
  <c r="FK42" i="4"/>
  <c r="FK51" i="4" s="1"/>
  <c r="FK111" i="4"/>
  <c r="FL32" i="5"/>
  <c r="FL111" i="4"/>
  <c r="FL42" i="4"/>
  <c r="FL51" i="4" s="1"/>
  <c r="FL30" i="5"/>
  <c r="FK110" i="4"/>
  <c r="FN78" i="4"/>
  <c r="FM35" i="4"/>
  <c r="FP32" i="5" s="1"/>
  <c r="GB77" i="2"/>
  <c r="GB54" i="2" s="1"/>
  <c r="GD77" i="2"/>
  <c r="GD54" i="2" s="1"/>
  <c r="GD89" i="2" s="1"/>
  <c r="GL77" i="2"/>
  <c r="GC77" i="2"/>
  <c r="GC54" i="2" s="1"/>
  <c r="GC89" i="2" s="1"/>
  <c r="GE77" i="2"/>
  <c r="GE54" i="2" s="1"/>
  <c r="GE89" i="2" s="1"/>
  <c r="K128" i="37"/>
  <c r="FL78" i="2"/>
  <c r="FL90" i="2"/>
  <c r="FN70" i="2"/>
  <c r="GK75" i="2"/>
  <c r="GH75" i="2"/>
  <c r="GR75" i="2"/>
  <c r="GJ75" i="2"/>
  <c r="GI75" i="2"/>
  <c r="FR78" i="4"/>
  <c r="FR35" i="4" s="1"/>
  <c r="FR42" i="4" s="1"/>
  <c r="FR51" i="4" s="1"/>
  <c r="FQ15" i="4"/>
  <c r="FQ30" i="5" s="1"/>
  <c r="FR35" i="5"/>
  <c r="FR33" i="5"/>
  <c r="FZ145" i="2"/>
  <c r="GC52" i="2"/>
  <c r="GC77" i="4"/>
  <c r="GC145" i="2"/>
  <c r="GD77" i="4"/>
  <c r="GD52" i="2"/>
  <c r="GD145" i="2"/>
  <c r="FX86" i="2"/>
  <c r="GE52" i="2"/>
  <c r="GE77" i="4"/>
  <c r="GE53" i="2"/>
  <c r="GE145" i="2"/>
  <c r="FP110" i="4"/>
  <c r="FQ29" i="5"/>
  <c r="FP29" i="5"/>
  <c r="FP91" i="2"/>
  <c r="FT18" i="4"/>
  <c r="FV78" i="4"/>
  <c r="FV35" i="4" s="1"/>
  <c r="FV86" i="2"/>
  <c r="FT41" i="4"/>
  <c r="FS35" i="5"/>
  <c r="FV30" i="5"/>
  <c r="FV36" i="4"/>
  <c r="FV33" i="5" s="1"/>
  <c r="FV14" i="4"/>
  <c r="FV29" i="5" s="1"/>
  <c r="FV41" i="4"/>
  <c r="FV35" i="5" s="1"/>
  <c r="FV18" i="4"/>
  <c r="FV31" i="5" s="1"/>
  <c r="FQ31" i="5"/>
  <c r="FP31" i="5"/>
  <c r="FQ78" i="4"/>
  <c r="FQ35" i="4" s="1"/>
  <c r="FQ86" i="2"/>
  <c r="FS110" i="4"/>
  <c r="FT14" i="4"/>
  <c r="FT36" i="4"/>
  <c r="FS33" i="5"/>
  <c r="FV89" i="2"/>
  <c r="FZ54" i="2"/>
  <c r="FZ89" i="2" s="1"/>
  <c r="GF49" i="2"/>
  <c r="GB77" i="4"/>
  <c r="GB145" i="2"/>
  <c r="GB52" i="2"/>
  <c r="FS102" i="2"/>
  <c r="FS101" i="2"/>
  <c r="FQ33" i="5"/>
  <c r="FY41" i="4"/>
  <c r="FY18" i="4"/>
  <c r="FY14" i="4"/>
  <c r="FY36" i="4"/>
  <c r="FZ77" i="4"/>
  <c r="FY56" i="2"/>
  <c r="FY87" i="2"/>
  <c r="FP30" i="5"/>
  <c r="FS79" i="2"/>
  <c r="FS91" i="2"/>
  <c r="FS70" i="2"/>
  <c r="L132" i="37" s="1"/>
  <c r="FT15" i="4"/>
  <c r="FS31" i="5"/>
  <c r="FS30" i="5"/>
  <c r="FV100" i="2"/>
  <c r="FZ52" i="2"/>
  <c r="FV88" i="2"/>
  <c r="FR70" i="2"/>
  <c r="K132" i="37" s="1"/>
  <c r="FR79" i="2"/>
  <c r="FR91" i="2"/>
  <c r="FY100" i="2"/>
  <c r="FY88" i="2"/>
  <c r="FX88" i="2"/>
  <c r="FW41" i="4"/>
  <c r="FW14" i="4"/>
  <c r="FW18" i="4"/>
  <c r="FW36" i="4"/>
  <c r="FP102" i="2"/>
  <c r="FP101" i="2"/>
  <c r="FR31" i="5"/>
  <c r="FY86" i="2"/>
  <c r="FX18" i="4"/>
  <c r="FX36" i="4"/>
  <c r="FX14" i="4"/>
  <c r="FX41" i="4"/>
  <c r="FW87" i="2"/>
  <c r="FW50" i="2"/>
  <c r="FW15" i="4" s="1"/>
  <c r="FT87" i="2"/>
  <c r="FR110" i="4"/>
  <c r="FS29" i="5"/>
  <c r="FV56" i="2"/>
  <c r="FZ51" i="2"/>
  <c r="FV87" i="2"/>
  <c r="GR85" i="2"/>
  <c r="GH85" i="2"/>
  <c r="GH49" i="2" s="1"/>
  <c r="GK85" i="2"/>
  <c r="GK49" i="2" s="1"/>
  <c r="GJ85" i="2"/>
  <c r="GJ49" i="2" s="1"/>
  <c r="GI85" i="2"/>
  <c r="GI49" i="2" s="1"/>
  <c r="FT88" i="2"/>
  <c r="FS78" i="4"/>
  <c r="FQ102" i="2"/>
  <c r="FQ101" i="2"/>
  <c r="FQ35" i="5"/>
  <c r="FR29" i="5"/>
  <c r="FP42" i="4"/>
  <c r="FP51" i="4" s="1"/>
  <c r="FP111" i="4"/>
  <c r="FX87" i="2"/>
  <c r="FW88" i="2"/>
  <c r="FP79" i="2" l="1"/>
  <c r="FQ70" i="2"/>
  <c r="J132" i="37" s="1"/>
  <c r="FX100" i="2"/>
  <c r="FQ79" i="2"/>
  <c r="FW100" i="2"/>
  <c r="FW101" i="2" s="1"/>
  <c r="FZ53" i="2"/>
  <c r="FZ56" i="2" s="1"/>
  <c r="GL76" i="2"/>
  <c r="GJ76" i="2" s="1"/>
  <c r="GJ53" i="2" s="1"/>
  <c r="GB76" i="2"/>
  <c r="GB53" i="2" s="1"/>
  <c r="GB56" i="2" s="1"/>
  <c r="GD76" i="2"/>
  <c r="GD53" i="2" s="1"/>
  <c r="GD56" i="2" s="1"/>
  <c r="GC76" i="2"/>
  <c r="GC53" i="2" s="1"/>
  <c r="FT56" i="2"/>
  <c r="FR102" i="2"/>
  <c r="FN98" i="2"/>
  <c r="FN79" i="2"/>
  <c r="FN91" i="2"/>
  <c r="FK112" i="4"/>
  <c r="FL120" i="4" s="1"/>
  <c r="FL121" i="4" s="1"/>
  <c r="FN30" i="5"/>
  <c r="GK74" i="2"/>
  <c r="GK51" i="2" s="1"/>
  <c r="GK50" i="2" s="1"/>
  <c r="GK15" i="4" s="1"/>
  <c r="GI74" i="2"/>
  <c r="GI51" i="2" s="1"/>
  <c r="GJ74" i="2"/>
  <c r="GJ51" i="2" s="1"/>
  <c r="GJ50" i="2" s="1"/>
  <c r="GJ15" i="4" s="1"/>
  <c r="GH74" i="2"/>
  <c r="GH51" i="2" s="1"/>
  <c r="FJ112" i="4"/>
  <c r="FL112" i="4"/>
  <c r="FM42" i="4"/>
  <c r="FM51" i="4" s="1"/>
  <c r="FN51" i="4" s="1"/>
  <c r="FM111" i="4"/>
  <c r="FM112" i="4" s="1"/>
  <c r="FN35" i="4"/>
  <c r="FN42" i="4" s="1"/>
  <c r="FM32" i="5"/>
  <c r="FN32" i="5" s="1"/>
  <c r="M128" i="37"/>
  <c r="AF30" i="7"/>
  <c r="AF48" i="7" s="1"/>
  <c r="FN78" i="2"/>
  <c r="FN90" i="2"/>
  <c r="AF32" i="7" s="1"/>
  <c r="GK77" i="2"/>
  <c r="GK54" i="2" s="1"/>
  <c r="GK89" i="2" s="1"/>
  <c r="GH77" i="2"/>
  <c r="GH54" i="2" s="1"/>
  <c r="GI77" i="2"/>
  <c r="GI54" i="2" s="1"/>
  <c r="GI89" i="2" s="1"/>
  <c r="GR77" i="2"/>
  <c r="GJ77" i="2"/>
  <c r="GJ54" i="2" s="1"/>
  <c r="GJ89" i="2" s="1"/>
  <c r="GX75" i="2"/>
  <c r="GN75" i="2"/>
  <c r="GO75" i="2"/>
  <c r="GP75" i="2"/>
  <c r="GQ75" i="2"/>
  <c r="FP90" i="2"/>
  <c r="I132" i="37"/>
  <c r="FR111" i="4"/>
  <c r="FR112" i="4" s="1"/>
  <c r="FS120" i="4" s="1"/>
  <c r="FS121" i="4" s="1"/>
  <c r="FR32" i="5"/>
  <c r="FQ110" i="4"/>
  <c r="FR30" i="5"/>
  <c r="FT30" i="5" s="1"/>
  <c r="FW35" i="5"/>
  <c r="FS78" i="2"/>
  <c r="FS90" i="2"/>
  <c r="FR78" i="2"/>
  <c r="FR90" i="2"/>
  <c r="FT33" i="5"/>
  <c r="FW33" i="5"/>
  <c r="FT35" i="5"/>
  <c r="FY31" i="5"/>
  <c r="FX35" i="5"/>
  <c r="FX31" i="5"/>
  <c r="FW30" i="5"/>
  <c r="GI77" i="4"/>
  <c r="GI52" i="2"/>
  <c r="GI145" i="2"/>
  <c r="GH145" i="2"/>
  <c r="GH77" i="4"/>
  <c r="GL49" i="2"/>
  <c r="GH52" i="2"/>
  <c r="FW78" i="4"/>
  <c r="FW35" i="4" s="1"/>
  <c r="FW86" i="2"/>
  <c r="FY101" i="2"/>
  <c r="FY102" i="2"/>
  <c r="FV102" i="2"/>
  <c r="FV101" i="2"/>
  <c r="GF51" i="2"/>
  <c r="GF50" i="2" s="1"/>
  <c r="GB87" i="2"/>
  <c r="GK77" i="4"/>
  <c r="GK52" i="2"/>
  <c r="GK145" i="2"/>
  <c r="GE86" i="2"/>
  <c r="GJ77" i="4"/>
  <c r="GJ52" i="2"/>
  <c r="GJ145" i="2"/>
  <c r="GD87" i="2"/>
  <c r="FV70" i="2"/>
  <c r="FV90" i="2" s="1"/>
  <c r="FV91" i="2"/>
  <c r="FV79" i="2"/>
  <c r="GB50" i="2"/>
  <c r="GB15" i="4" s="1"/>
  <c r="GX85" i="2"/>
  <c r="GO85" i="2"/>
  <c r="GO49" i="2" s="1"/>
  <c r="GP85" i="2"/>
  <c r="GP49" i="2" s="1"/>
  <c r="GQ85" i="2"/>
  <c r="GQ49" i="2" s="1"/>
  <c r="GN85" i="2"/>
  <c r="GN49" i="2" s="1"/>
  <c r="FY78" i="4"/>
  <c r="FZ36" i="4"/>
  <c r="FY33" i="5"/>
  <c r="FZ41" i="4"/>
  <c r="FY35" i="5"/>
  <c r="FT31" i="5"/>
  <c r="FW31" i="5"/>
  <c r="FT29" i="5"/>
  <c r="GE14" i="4"/>
  <c r="GE18" i="4"/>
  <c r="GE36" i="4"/>
  <c r="GE41" i="4"/>
  <c r="GF77" i="4"/>
  <c r="GD88" i="2"/>
  <c r="GC88" i="2"/>
  <c r="FW110" i="4"/>
  <c r="FX29" i="5"/>
  <c r="GF54" i="2"/>
  <c r="GF89" i="2" s="1"/>
  <c r="GB89" i="2"/>
  <c r="FV42" i="4"/>
  <c r="FV51" i="4" s="1"/>
  <c r="FV111" i="4"/>
  <c r="GE56" i="2"/>
  <c r="GE87" i="2"/>
  <c r="GD50" i="2"/>
  <c r="GD15" i="4" s="1"/>
  <c r="GC14" i="4"/>
  <c r="GC41" i="4"/>
  <c r="GC36" i="4"/>
  <c r="GC18" i="4"/>
  <c r="GC87" i="2"/>
  <c r="FS35" i="4"/>
  <c r="FV32" i="5" s="1"/>
  <c r="FT78" i="4"/>
  <c r="FZ15" i="4"/>
  <c r="FQ42" i="4"/>
  <c r="FQ51" i="4" s="1"/>
  <c r="FQ32" i="5"/>
  <c r="FQ111" i="4"/>
  <c r="FX110" i="4"/>
  <c r="FY29" i="5"/>
  <c r="FW79" i="2"/>
  <c r="FW70" i="2"/>
  <c r="FW91" i="2"/>
  <c r="FX33" i="5"/>
  <c r="FX102" i="2"/>
  <c r="FY110" i="4"/>
  <c r="FZ14" i="4"/>
  <c r="GF145" i="2"/>
  <c r="FX79" i="2"/>
  <c r="FX70" i="2"/>
  <c r="FX91" i="2"/>
  <c r="FZ87" i="2"/>
  <c r="FY30" i="5"/>
  <c r="FX30" i="5"/>
  <c r="FZ100" i="2"/>
  <c r="FZ102" i="2" s="1"/>
  <c r="FZ88" i="2"/>
  <c r="FY79" i="2"/>
  <c r="FY70" i="2"/>
  <c r="FY91" i="2"/>
  <c r="FZ18" i="4"/>
  <c r="GF52" i="2"/>
  <c r="GB88" i="2"/>
  <c r="GB18" i="4"/>
  <c r="GB14" i="4"/>
  <c r="GB29" i="5" s="1"/>
  <c r="GB41" i="4"/>
  <c r="GB35" i="5" s="1"/>
  <c r="GB36" i="4"/>
  <c r="GB33" i="5" s="1"/>
  <c r="FZ50" i="2"/>
  <c r="FZ86" i="2" s="1"/>
  <c r="FV110" i="4"/>
  <c r="FW29" i="5"/>
  <c r="FP78" i="2"/>
  <c r="FP112" i="4"/>
  <c r="GE88" i="2"/>
  <c r="GE100" i="2"/>
  <c r="FX78" i="4"/>
  <c r="FX35" i="4" s="1"/>
  <c r="GD18" i="4"/>
  <c r="GD14" i="4"/>
  <c r="GD41" i="4"/>
  <c r="GD36" i="4"/>
  <c r="GC50" i="2"/>
  <c r="GC15" i="4" s="1"/>
  <c r="FT70" i="2" l="1"/>
  <c r="M132" i="37" s="1"/>
  <c r="FQ90" i="2"/>
  <c r="FQ78" i="2"/>
  <c r="FX101" i="2"/>
  <c r="FW102" i="2"/>
  <c r="GD100" i="2"/>
  <c r="GH76" i="2"/>
  <c r="GH53" i="2" s="1"/>
  <c r="GH100" i="2" s="1"/>
  <c r="GR76" i="2"/>
  <c r="GN76" i="2" s="1"/>
  <c r="GN53" i="2" s="1"/>
  <c r="GI76" i="2"/>
  <c r="GI53" i="2" s="1"/>
  <c r="GI56" i="2" s="1"/>
  <c r="GK76" i="2"/>
  <c r="GK53" i="2" s="1"/>
  <c r="GK100" i="2" s="1"/>
  <c r="GB100" i="2"/>
  <c r="GB102" i="2" s="1"/>
  <c r="GF53" i="2"/>
  <c r="GF56" i="2" s="1"/>
  <c r="GC100" i="2"/>
  <c r="GC102" i="2" s="1"/>
  <c r="GC56" i="2"/>
  <c r="GC91" i="2" s="1"/>
  <c r="FT79" i="2"/>
  <c r="FT91" i="2"/>
  <c r="FT98" i="2"/>
  <c r="FK120" i="4"/>
  <c r="FK121" i="4" s="1"/>
  <c r="FL124" i="4" s="1"/>
  <c r="FK122" i="4"/>
  <c r="FP120" i="4"/>
  <c r="FP121" i="4" s="1"/>
  <c r="FP122" i="4"/>
  <c r="FL122" i="4"/>
  <c r="FL123" i="4"/>
  <c r="FM120" i="4"/>
  <c r="FM121" i="4" s="1"/>
  <c r="FM122" i="4"/>
  <c r="GQ74" i="2"/>
  <c r="GQ51" i="2" s="1"/>
  <c r="GQ50" i="2" s="1"/>
  <c r="GQ15" i="4" s="1"/>
  <c r="GP74" i="2"/>
  <c r="GP51" i="2" s="1"/>
  <c r="GP50" i="2" s="1"/>
  <c r="GP15" i="4" s="1"/>
  <c r="GO74" i="2"/>
  <c r="GO51" i="2" s="1"/>
  <c r="GN74" i="2"/>
  <c r="GN51" i="2" s="1"/>
  <c r="GN50" i="2" s="1"/>
  <c r="GN15" i="4" s="1"/>
  <c r="GN77" i="2"/>
  <c r="GN54" i="2" s="1"/>
  <c r="GX77" i="2"/>
  <c r="GO77" i="2"/>
  <c r="GO54" i="2" s="1"/>
  <c r="GO89" i="2" s="1"/>
  <c r="GP77" i="2"/>
  <c r="GP54" i="2" s="1"/>
  <c r="GP89" i="2" s="1"/>
  <c r="GQ77" i="2"/>
  <c r="GQ54" i="2" s="1"/>
  <c r="GQ89" i="2" s="1"/>
  <c r="HD75" i="2"/>
  <c r="GV75" i="2"/>
  <c r="GU75" i="2"/>
  <c r="GW75" i="2"/>
  <c r="GT75" i="2"/>
  <c r="FQ112" i="4"/>
  <c r="FR122" i="4" s="1"/>
  <c r="FY78" i="2"/>
  <c r="FY90" i="2"/>
  <c r="FW78" i="2"/>
  <c r="FW90" i="2"/>
  <c r="FX78" i="2"/>
  <c r="FX90" i="2"/>
  <c r="FT78" i="2"/>
  <c r="GE30" i="5"/>
  <c r="GC31" i="5"/>
  <c r="GD35" i="5"/>
  <c r="GE31" i="5"/>
  <c r="FZ33" i="5"/>
  <c r="FZ35" i="5"/>
  <c r="FZ31" i="5"/>
  <c r="FZ29" i="5"/>
  <c r="GC30" i="5"/>
  <c r="GE78" i="4"/>
  <c r="GE35" i="4" s="1"/>
  <c r="GF86" i="2"/>
  <c r="FZ30" i="5"/>
  <c r="GD31" i="5"/>
  <c r="GP145" i="2"/>
  <c r="GP52" i="2"/>
  <c r="GP77" i="4"/>
  <c r="GO77" i="4"/>
  <c r="GO52" i="2"/>
  <c r="GO145" i="2"/>
  <c r="GN52" i="2"/>
  <c r="GR49" i="2"/>
  <c r="GN145" i="2"/>
  <c r="GN77" i="4"/>
  <c r="GE110" i="4"/>
  <c r="GF14" i="4"/>
  <c r="GD91" i="2"/>
  <c r="GD70" i="2"/>
  <c r="GD79" i="2"/>
  <c r="GJ18" i="4"/>
  <c r="GJ41" i="4"/>
  <c r="GJ14" i="4"/>
  <c r="GJ36" i="4"/>
  <c r="GK18" i="4"/>
  <c r="GL77" i="4"/>
  <c r="GK36" i="4"/>
  <c r="GK41" i="4"/>
  <c r="GK14" i="4"/>
  <c r="FW42" i="4"/>
  <c r="FW51" i="4" s="1"/>
  <c r="FW32" i="5"/>
  <c r="FW111" i="4"/>
  <c r="FW112" i="4" s="1"/>
  <c r="GH88" i="2"/>
  <c r="GL52" i="2"/>
  <c r="GL51" i="2"/>
  <c r="GL50" i="2" s="1"/>
  <c r="GL86" i="2" s="1"/>
  <c r="GH87" i="2"/>
  <c r="GI87" i="2"/>
  <c r="GE101" i="2"/>
  <c r="GE102" i="2"/>
  <c r="GC78" i="4"/>
  <c r="GC35" i="4" s="1"/>
  <c r="GC86" i="2"/>
  <c r="GD110" i="4"/>
  <c r="GE29" i="5"/>
  <c r="FS123" i="4"/>
  <c r="FT35" i="4"/>
  <c r="FT42" i="4" s="1"/>
  <c r="FS42" i="4"/>
  <c r="FS51" i="4" s="1"/>
  <c r="FS32" i="5"/>
  <c r="FT32" i="5" s="1"/>
  <c r="FS111" i="4"/>
  <c r="FS112" i="4" s="1"/>
  <c r="GC33" i="5"/>
  <c r="GD78" i="4"/>
  <c r="GD35" i="4" s="1"/>
  <c r="GD86" i="2"/>
  <c r="GF36" i="4"/>
  <c r="GE33" i="5"/>
  <c r="FY35" i="4"/>
  <c r="FZ78" i="4"/>
  <c r="GK86" i="2"/>
  <c r="GC110" i="4"/>
  <c r="GD29" i="5"/>
  <c r="GF41" i="4"/>
  <c r="GE35" i="5"/>
  <c r="GB31" i="5"/>
  <c r="FQ122" i="4"/>
  <c r="FQ120" i="4"/>
  <c r="FQ121" i="4" s="1"/>
  <c r="FV112" i="4"/>
  <c r="GV85" i="2"/>
  <c r="GV49" i="2" s="1"/>
  <c r="HD85" i="2"/>
  <c r="HJ85" i="2" s="1"/>
  <c r="GU85" i="2"/>
  <c r="GU49" i="2" s="1"/>
  <c r="GT85" i="2"/>
  <c r="GT49" i="2" s="1"/>
  <c r="GW85" i="2"/>
  <c r="GW49" i="2" s="1"/>
  <c r="GB78" i="4"/>
  <c r="GB35" i="4" s="1"/>
  <c r="GB86" i="2"/>
  <c r="FZ70" i="2"/>
  <c r="FV78" i="2"/>
  <c r="GJ88" i="2"/>
  <c r="GJ100" i="2"/>
  <c r="GJ86" i="2"/>
  <c r="GQ52" i="2"/>
  <c r="GQ77" i="4"/>
  <c r="GQ145" i="2"/>
  <c r="GK87" i="2"/>
  <c r="GB70" i="2"/>
  <c r="GB90" i="2" s="1"/>
  <c r="GB79" i="2"/>
  <c r="GB91" i="2"/>
  <c r="GH18" i="4"/>
  <c r="GH31" i="5" s="1"/>
  <c r="GH14" i="4"/>
  <c r="GH41" i="4"/>
  <c r="GH35" i="5" s="1"/>
  <c r="GH36" i="4"/>
  <c r="GH33" i="5" s="1"/>
  <c r="GH50" i="2"/>
  <c r="GH15" i="4" s="1"/>
  <c r="GH30" i="5" s="1"/>
  <c r="GI50" i="2"/>
  <c r="GI15" i="4" s="1"/>
  <c r="GI41" i="4"/>
  <c r="GI14" i="4"/>
  <c r="GI36" i="4"/>
  <c r="GI18" i="4"/>
  <c r="GB101" i="2"/>
  <c r="FZ79" i="2"/>
  <c r="FZ91" i="2"/>
  <c r="FZ98" i="2"/>
  <c r="GC35" i="5"/>
  <c r="GD102" i="2"/>
  <c r="GF18" i="4"/>
  <c r="GD33" i="5"/>
  <c r="FX42" i="4"/>
  <c r="FX51" i="4" s="1"/>
  <c r="FX32" i="5"/>
  <c r="FX111" i="4"/>
  <c r="FX112" i="4" s="1"/>
  <c r="GB110" i="4"/>
  <c r="GC29" i="5"/>
  <c r="GF88" i="2"/>
  <c r="GB30" i="5"/>
  <c r="GD30" i="5"/>
  <c r="GE70" i="2"/>
  <c r="GE91" i="2"/>
  <c r="GE79" i="2"/>
  <c r="GF15" i="4"/>
  <c r="GJ56" i="2"/>
  <c r="GJ87" i="2"/>
  <c r="GK88" i="2"/>
  <c r="GF87" i="2"/>
  <c r="GH89" i="2"/>
  <c r="GL54" i="2"/>
  <c r="GL89" i="2" s="1"/>
  <c r="GL145" i="2"/>
  <c r="GI88" i="2"/>
  <c r="FT90" i="2" l="1"/>
  <c r="GF100" i="2"/>
  <c r="GF102" i="2" s="1"/>
  <c r="GK56" i="2"/>
  <c r="GK70" i="2" s="1"/>
  <c r="GD101" i="2"/>
  <c r="GC79" i="2"/>
  <c r="GH56" i="2"/>
  <c r="GH79" i="2" s="1"/>
  <c r="GL53" i="2"/>
  <c r="GL56" i="2" s="1"/>
  <c r="GI100" i="2"/>
  <c r="GJ101" i="2" s="1"/>
  <c r="GQ76" i="2"/>
  <c r="GQ53" i="2" s="1"/>
  <c r="GQ56" i="2" s="1"/>
  <c r="GP76" i="2"/>
  <c r="GP53" i="2" s="1"/>
  <c r="GP56" i="2" s="1"/>
  <c r="GX76" i="2"/>
  <c r="GO76" i="2"/>
  <c r="GO53" i="2" s="1"/>
  <c r="GO56" i="2" s="1"/>
  <c r="GC70" i="2"/>
  <c r="GC90" i="2" s="1"/>
  <c r="GC101" i="2"/>
  <c r="FM124" i="4"/>
  <c r="FM123" i="4"/>
  <c r="FP124" i="4"/>
  <c r="FP123" i="4"/>
  <c r="GW74" i="2"/>
  <c r="GW51" i="2" s="1"/>
  <c r="GW50" i="2" s="1"/>
  <c r="GW15" i="4" s="1"/>
  <c r="GT74" i="2"/>
  <c r="GT51" i="2" s="1"/>
  <c r="GT50" i="2" s="1"/>
  <c r="GT15" i="4" s="1"/>
  <c r="GV74" i="2"/>
  <c r="GV51" i="2" s="1"/>
  <c r="GU74" i="2"/>
  <c r="GU51" i="2" s="1"/>
  <c r="GU50" i="2" s="1"/>
  <c r="GU15" i="4" s="1"/>
  <c r="FK123" i="4"/>
  <c r="FK124" i="4"/>
  <c r="GW77" i="2"/>
  <c r="GW54" i="2" s="1"/>
  <c r="GW89" i="2" s="1"/>
  <c r="GU77" i="2"/>
  <c r="GU54" i="2" s="1"/>
  <c r="GU89" i="2" s="1"/>
  <c r="GT77" i="2"/>
  <c r="GT54" i="2" s="1"/>
  <c r="HD77" i="2"/>
  <c r="GV77" i="2"/>
  <c r="GV54" i="2" s="1"/>
  <c r="GV89" i="2" s="1"/>
  <c r="HJ75" i="2"/>
  <c r="HA75" i="2"/>
  <c r="HC75" i="2"/>
  <c r="GZ75" i="2"/>
  <c r="HB75" i="2"/>
  <c r="FS122" i="4"/>
  <c r="FR120" i="4"/>
  <c r="FR121" i="4" s="1"/>
  <c r="FS124" i="4" s="1"/>
  <c r="HG85" i="2"/>
  <c r="HF85" i="2"/>
  <c r="HI85" i="2"/>
  <c r="HH85" i="2"/>
  <c r="GD78" i="2"/>
  <c r="GD90" i="2"/>
  <c r="GE78" i="2"/>
  <c r="GE90" i="2"/>
  <c r="FZ78" i="2"/>
  <c r="FZ90" i="2"/>
  <c r="GI35" i="5"/>
  <c r="GJ31" i="5"/>
  <c r="GF78" i="4"/>
  <c r="GF29" i="5"/>
  <c r="GF31" i="5"/>
  <c r="GJ30" i="5"/>
  <c r="GF35" i="5"/>
  <c r="GF33" i="5"/>
  <c r="GK31" i="5"/>
  <c r="GN78" i="4"/>
  <c r="GN35" i="4" s="1"/>
  <c r="GN86" i="2"/>
  <c r="GQ86" i="2"/>
  <c r="GX49" i="2"/>
  <c r="GT145" i="2"/>
  <c r="GT52" i="2"/>
  <c r="GT77" i="4"/>
  <c r="GU52" i="2"/>
  <c r="GU77" i="4"/>
  <c r="GU145" i="2"/>
  <c r="GV52" i="2"/>
  <c r="GV77" i="4"/>
  <c r="GV145" i="2"/>
  <c r="FY122" i="4"/>
  <c r="FY120" i="4"/>
  <c r="FY121" i="4" s="1"/>
  <c r="GF79" i="2"/>
  <c r="GF91" i="2"/>
  <c r="GF98" i="2"/>
  <c r="GJ91" i="2"/>
  <c r="GJ70" i="2"/>
  <c r="GJ79" i="2"/>
  <c r="GF30" i="5"/>
  <c r="GB42" i="4"/>
  <c r="GB51" i="4" s="1"/>
  <c r="GB32" i="5"/>
  <c r="GB111" i="4"/>
  <c r="GB112" i="4" s="1"/>
  <c r="HA85" i="2"/>
  <c r="HA49" i="2" s="1"/>
  <c r="HC85" i="2"/>
  <c r="HC49" i="2" s="1"/>
  <c r="GZ85" i="2"/>
  <c r="GZ49" i="2" s="1"/>
  <c r="HB85" i="2"/>
  <c r="HB49" i="2" s="1"/>
  <c r="GL15" i="4"/>
  <c r="GJ35" i="5"/>
  <c r="GR54" i="2"/>
  <c r="GR89" i="2" s="1"/>
  <c r="GN89" i="2"/>
  <c r="GO87" i="2"/>
  <c r="GP88" i="2"/>
  <c r="GK101" i="2"/>
  <c r="GK102" i="2"/>
  <c r="FX122" i="4"/>
  <c r="FX120" i="4"/>
  <c r="FX121" i="4" s="1"/>
  <c r="GI33" i="5"/>
  <c r="GI78" i="4"/>
  <c r="GI35" i="4" s="1"/>
  <c r="GI86" i="2"/>
  <c r="GH110" i="4"/>
  <c r="GI29" i="5"/>
  <c r="GW52" i="2"/>
  <c r="GW77" i="4"/>
  <c r="GW145" i="2"/>
  <c r="FY42" i="4"/>
  <c r="FY51" i="4" s="1"/>
  <c r="FY32" i="5"/>
  <c r="FZ32" i="5" s="1"/>
  <c r="FY111" i="4"/>
  <c r="FY112" i="4" s="1"/>
  <c r="FZ35" i="4"/>
  <c r="FZ42" i="4" s="1"/>
  <c r="GD42" i="4"/>
  <c r="GD51" i="4" s="1"/>
  <c r="GD111" i="4"/>
  <c r="GD112" i="4" s="1"/>
  <c r="GD32" i="5"/>
  <c r="FT51" i="4"/>
  <c r="GL87" i="2"/>
  <c r="GK110" i="4"/>
  <c r="GL14" i="4"/>
  <c r="GL18" i="4"/>
  <c r="GK30" i="5"/>
  <c r="GN14" i="4"/>
  <c r="GN29" i="5" s="1"/>
  <c r="GN30" i="5"/>
  <c r="GN36" i="4"/>
  <c r="GN33" i="5" s="1"/>
  <c r="GN41" i="4"/>
  <c r="GN35" i="5" s="1"/>
  <c r="GN18" i="4"/>
  <c r="GR52" i="2"/>
  <c r="GN100" i="2"/>
  <c r="GN88" i="2"/>
  <c r="GO88" i="2"/>
  <c r="GO14" i="4"/>
  <c r="GO18" i="4"/>
  <c r="GO41" i="4"/>
  <c r="GO36" i="4"/>
  <c r="GP87" i="2"/>
  <c r="GI110" i="4"/>
  <c r="GJ29" i="5"/>
  <c r="GH78" i="4"/>
  <c r="GH35" i="4" s="1"/>
  <c r="GH86" i="2"/>
  <c r="GI31" i="5"/>
  <c r="GK79" i="2"/>
  <c r="GK91" i="2"/>
  <c r="GQ36" i="4"/>
  <c r="GQ14" i="4"/>
  <c r="GQ18" i="4"/>
  <c r="GQ41" i="4"/>
  <c r="GR77" i="4"/>
  <c r="GJ78" i="4"/>
  <c r="GJ35" i="4" s="1"/>
  <c r="FW122" i="4"/>
  <c r="FW120" i="4"/>
  <c r="FW121" i="4" s="1"/>
  <c r="GC42" i="4"/>
  <c r="GC51" i="4" s="1"/>
  <c r="GC32" i="5"/>
  <c r="GC111" i="4"/>
  <c r="GC112" i="4" s="1"/>
  <c r="GI79" i="2"/>
  <c r="GI70" i="2"/>
  <c r="GI91" i="2"/>
  <c r="GH101" i="2"/>
  <c r="GH102" i="2"/>
  <c r="GL41" i="4"/>
  <c r="GK35" i="5"/>
  <c r="GJ33" i="5"/>
  <c r="GR145" i="2"/>
  <c r="GP18" i="4"/>
  <c r="GP14" i="4"/>
  <c r="GP41" i="4"/>
  <c r="GP36" i="4"/>
  <c r="GI30" i="5"/>
  <c r="GB78" i="2"/>
  <c r="GQ87" i="2"/>
  <c r="GQ88" i="2"/>
  <c r="GJ102" i="2"/>
  <c r="FQ123" i="4"/>
  <c r="FQ124" i="4"/>
  <c r="GK78" i="4"/>
  <c r="FV122" i="4"/>
  <c r="FV120" i="4"/>
  <c r="FV121" i="4" s="1"/>
  <c r="GL88" i="2"/>
  <c r="GL100" i="2"/>
  <c r="GL102" i="2" s="1"/>
  <c r="GK33" i="5"/>
  <c r="GL36" i="4"/>
  <c r="GJ110" i="4"/>
  <c r="GK29" i="5"/>
  <c r="GH29" i="5"/>
  <c r="GE111" i="4"/>
  <c r="GE112" i="4" s="1"/>
  <c r="GE42" i="4"/>
  <c r="GE51" i="4" s="1"/>
  <c r="GE32" i="5"/>
  <c r="GF35" i="4"/>
  <c r="GF42" i="4" s="1"/>
  <c r="GR51" i="2"/>
  <c r="GR50" i="2" s="1"/>
  <c r="GR86" i="2" s="1"/>
  <c r="GN56" i="2"/>
  <c r="GN87" i="2"/>
  <c r="GO50" i="2"/>
  <c r="GP86" i="2"/>
  <c r="GH70" i="2" l="1"/>
  <c r="GH90" i="2" s="1"/>
  <c r="GI102" i="2"/>
  <c r="GI101" i="2"/>
  <c r="GF70" i="2"/>
  <c r="GF78" i="2" s="1"/>
  <c r="GQ100" i="2"/>
  <c r="GQ102" i="2" s="1"/>
  <c r="GP100" i="2"/>
  <c r="GP102" i="2" s="1"/>
  <c r="GH91" i="2"/>
  <c r="GC78" i="2"/>
  <c r="GO100" i="2"/>
  <c r="GO101" i="2" s="1"/>
  <c r="GT76" i="2"/>
  <c r="GT53" i="2" s="1"/>
  <c r="GT56" i="2" s="1"/>
  <c r="GU76" i="2"/>
  <c r="GU53" i="2" s="1"/>
  <c r="GU100" i="2" s="1"/>
  <c r="HD76" i="2"/>
  <c r="GV76" i="2"/>
  <c r="GV53" i="2" s="1"/>
  <c r="GV100" i="2" s="1"/>
  <c r="GW76" i="2"/>
  <c r="GW53" i="2" s="1"/>
  <c r="GW100" i="2" s="1"/>
  <c r="GR53" i="2"/>
  <c r="GR56" i="2" s="1"/>
  <c r="HF49" i="2"/>
  <c r="HF77" i="4" s="1"/>
  <c r="HC74" i="2"/>
  <c r="HC51" i="2" s="1"/>
  <c r="HC50" i="2" s="1"/>
  <c r="HC15" i="4" s="1"/>
  <c r="GZ74" i="2"/>
  <c r="GZ51" i="2" s="1"/>
  <c r="HB74" i="2"/>
  <c r="HB51" i="2" s="1"/>
  <c r="HB50" i="2" s="1"/>
  <c r="HB15" i="4" s="1"/>
  <c r="HA74" i="2"/>
  <c r="HA51" i="2" s="1"/>
  <c r="HJ77" i="2"/>
  <c r="HA77" i="2"/>
  <c r="HA54" i="2" s="1"/>
  <c r="HA89" i="2" s="1"/>
  <c r="GZ77" i="2"/>
  <c r="GZ54" i="2" s="1"/>
  <c r="HC77" i="2"/>
  <c r="HC54" i="2" s="1"/>
  <c r="HC89" i="2" s="1"/>
  <c r="HB77" i="2"/>
  <c r="HB54" i="2" s="1"/>
  <c r="HB89" i="2" s="1"/>
  <c r="HI75" i="2"/>
  <c r="HF75" i="2"/>
  <c r="HH75" i="2"/>
  <c r="HG75" i="2"/>
  <c r="FR124" i="4"/>
  <c r="FR123" i="4"/>
  <c r="HH49" i="2"/>
  <c r="HI49" i="2"/>
  <c r="HG49" i="2"/>
  <c r="GJ78" i="2"/>
  <c r="GJ90" i="2"/>
  <c r="GO33" i="5"/>
  <c r="GI78" i="2"/>
  <c r="GI90" i="2"/>
  <c r="GP78" i="4"/>
  <c r="GP35" i="4" s="1"/>
  <c r="GP111" i="4" s="1"/>
  <c r="GO15" i="4"/>
  <c r="GO30" i="5" s="1"/>
  <c r="GK78" i="2"/>
  <c r="GK90" i="2"/>
  <c r="GL31" i="5"/>
  <c r="GQ30" i="5"/>
  <c r="GP31" i="5"/>
  <c r="GP33" i="5"/>
  <c r="GL30" i="5"/>
  <c r="GP35" i="5"/>
  <c r="GL29" i="5"/>
  <c r="GO35" i="5"/>
  <c r="GO31" i="5"/>
  <c r="GL33" i="5"/>
  <c r="GL35" i="5"/>
  <c r="GZ145" i="2"/>
  <c r="GZ77" i="4"/>
  <c r="HD49" i="2"/>
  <c r="GZ52" i="2"/>
  <c r="GH122" i="4"/>
  <c r="GH120" i="4"/>
  <c r="GH121" i="4" s="1"/>
  <c r="HA52" i="2"/>
  <c r="HA77" i="4"/>
  <c r="HA145" i="2"/>
  <c r="GW86" i="2"/>
  <c r="HB52" i="2"/>
  <c r="HB145" i="2"/>
  <c r="HB77" i="4"/>
  <c r="GC122" i="4"/>
  <c r="GC120" i="4"/>
  <c r="GC121" i="4" s="1"/>
  <c r="GF51" i="4"/>
  <c r="GK35" i="4"/>
  <c r="GN32" i="5" s="1"/>
  <c r="GL78" i="4"/>
  <c r="GP110" i="4"/>
  <c r="GQ29" i="5"/>
  <c r="GD122" i="4"/>
  <c r="GD120" i="4"/>
  <c r="GD121" i="4" s="1"/>
  <c r="FV123" i="4"/>
  <c r="FV124" i="4"/>
  <c r="GL98" i="2"/>
  <c r="GL79" i="2"/>
  <c r="GL91" i="2"/>
  <c r="GW88" i="2"/>
  <c r="GL70" i="2"/>
  <c r="FY123" i="4"/>
  <c r="FY124" i="4"/>
  <c r="GT86" i="2"/>
  <c r="GT78" i="4"/>
  <c r="GT35" i="4" s="1"/>
  <c r="GQ78" i="4"/>
  <c r="GJ42" i="4"/>
  <c r="GJ51" i="4" s="1"/>
  <c r="GJ111" i="4"/>
  <c r="GJ112" i="4" s="1"/>
  <c r="GJ32" i="5"/>
  <c r="GR18" i="4"/>
  <c r="GN70" i="2"/>
  <c r="GN90" i="2" s="1"/>
  <c r="GN79" i="2"/>
  <c r="GN91" i="2"/>
  <c r="FW123" i="4"/>
  <c r="FW124" i="4"/>
  <c r="GR15" i="4"/>
  <c r="GQ110" i="4"/>
  <c r="GR14" i="4"/>
  <c r="GH42" i="4"/>
  <c r="GH51" i="4" s="1"/>
  <c r="GH32" i="5"/>
  <c r="GH111" i="4"/>
  <c r="GH112" i="4" s="1"/>
  <c r="GR87" i="2"/>
  <c r="GQ70" i="2"/>
  <c r="GQ79" i="2"/>
  <c r="GQ91" i="2"/>
  <c r="GQ31" i="5"/>
  <c r="GQ33" i="5"/>
  <c r="GR36" i="4"/>
  <c r="GP29" i="5"/>
  <c r="GN102" i="2"/>
  <c r="GN101" i="2"/>
  <c r="FZ51" i="4"/>
  <c r="GI42" i="4"/>
  <c r="GI51" i="4" s="1"/>
  <c r="GI32" i="5"/>
  <c r="GI111" i="4"/>
  <c r="GI112" i="4" s="1"/>
  <c r="GF32" i="5"/>
  <c r="GV87" i="2"/>
  <c r="GU86" i="2"/>
  <c r="GU78" i="4"/>
  <c r="GU35" i="4" s="1"/>
  <c r="GT36" i="4"/>
  <c r="GT33" i="5" s="1"/>
  <c r="GT18" i="4"/>
  <c r="GT31" i="5" s="1"/>
  <c r="GT41" i="4"/>
  <c r="GT35" i="5" s="1"/>
  <c r="GT14" i="4"/>
  <c r="GT87" i="2"/>
  <c r="GX51" i="2"/>
  <c r="GX50" i="2" s="1"/>
  <c r="GX86" i="2" s="1"/>
  <c r="GX54" i="2"/>
  <c r="GX89" i="2" s="1"/>
  <c r="GT89" i="2"/>
  <c r="GO86" i="2"/>
  <c r="GO78" i="4"/>
  <c r="GO35" i="4" s="1"/>
  <c r="GQ35" i="5"/>
  <c r="GR41" i="4"/>
  <c r="GR88" i="2"/>
  <c r="HC77" i="4"/>
  <c r="HC52" i="2"/>
  <c r="HC145" i="2"/>
  <c r="GO91" i="2"/>
  <c r="GO79" i="2"/>
  <c r="GO70" i="2"/>
  <c r="GE122" i="4"/>
  <c r="GE120" i="4"/>
  <c r="GE121" i="4" s="1"/>
  <c r="GV14" i="4"/>
  <c r="GV41" i="4"/>
  <c r="GV36" i="4"/>
  <c r="GV18" i="4"/>
  <c r="GU14" i="4"/>
  <c r="GU18" i="4"/>
  <c r="GU36" i="4"/>
  <c r="GU41" i="4"/>
  <c r="GU87" i="2"/>
  <c r="GT88" i="2"/>
  <c r="GX52" i="2"/>
  <c r="GP79" i="2"/>
  <c r="GP91" i="2"/>
  <c r="GP70" i="2"/>
  <c r="GN110" i="4"/>
  <c r="GO29" i="5"/>
  <c r="GN31" i="5"/>
  <c r="GB122" i="4"/>
  <c r="GB120" i="4"/>
  <c r="GB121" i="4" s="1"/>
  <c r="GW56" i="2"/>
  <c r="GW87" i="2"/>
  <c r="GW41" i="4"/>
  <c r="GW14" i="4"/>
  <c r="GW18" i="4"/>
  <c r="GW36" i="4"/>
  <c r="GX77" i="4"/>
  <c r="FX123" i="4"/>
  <c r="FX124" i="4"/>
  <c r="GV50" i="2"/>
  <c r="GV15" i="4" s="1"/>
  <c r="GV88" i="2"/>
  <c r="GU88" i="2"/>
  <c r="GX145" i="2"/>
  <c r="GN42" i="4"/>
  <c r="GN51" i="4" s="1"/>
  <c r="GN111" i="4"/>
  <c r="GH78" i="2" l="1"/>
  <c r="GO102" i="2"/>
  <c r="GF90" i="2"/>
  <c r="GQ101" i="2"/>
  <c r="GT100" i="2"/>
  <c r="GT101" i="2" s="1"/>
  <c r="GP101" i="2"/>
  <c r="GU56" i="2"/>
  <c r="GU79" i="2" s="1"/>
  <c r="GR100" i="2"/>
  <c r="GR102" i="2" s="1"/>
  <c r="GV56" i="2"/>
  <c r="GV79" i="2" s="1"/>
  <c r="GZ76" i="2"/>
  <c r="GZ53" i="2" s="1"/>
  <c r="GZ100" i="2" s="1"/>
  <c r="HJ76" i="2"/>
  <c r="HB76" i="2"/>
  <c r="HB53" i="2" s="1"/>
  <c r="HB100" i="2" s="1"/>
  <c r="HA76" i="2"/>
  <c r="HA53" i="2" s="1"/>
  <c r="HA100" i="2" s="1"/>
  <c r="HC76" i="2"/>
  <c r="HC53" i="2" s="1"/>
  <c r="HC56" i="2" s="1"/>
  <c r="GX53" i="2"/>
  <c r="GX56" i="2" s="1"/>
  <c r="HF52" i="2"/>
  <c r="HF88" i="2" s="1"/>
  <c r="HF74" i="2"/>
  <c r="HF51" i="2" s="1"/>
  <c r="HF50" i="2" s="1"/>
  <c r="HF15" i="4" s="1"/>
  <c r="HG74" i="2"/>
  <c r="HG51" i="2" s="1"/>
  <c r="HI74" i="2"/>
  <c r="HI51" i="2" s="1"/>
  <c r="HI50" i="2" s="1"/>
  <c r="HH74" i="2"/>
  <c r="HH51" i="2" s="1"/>
  <c r="HH50" i="2" s="1"/>
  <c r="HH86" i="2" s="1"/>
  <c r="HH77" i="2"/>
  <c r="HH54" i="2" s="1"/>
  <c r="HH89" i="2" s="1"/>
  <c r="HI77" i="2"/>
  <c r="HI54" i="2" s="1"/>
  <c r="HI89" i="2" s="1"/>
  <c r="HG77" i="2"/>
  <c r="HG54" i="2" s="1"/>
  <c r="HF77" i="2"/>
  <c r="HF54" i="2" s="1"/>
  <c r="GP42" i="4"/>
  <c r="GP51" i="4" s="1"/>
  <c r="HH52" i="2"/>
  <c r="HH77" i="4"/>
  <c r="HH18" i="4" s="1"/>
  <c r="HI52" i="2"/>
  <c r="HI88" i="2" s="1"/>
  <c r="HG52" i="2"/>
  <c r="HG88" i="2" s="1"/>
  <c r="HJ49" i="2"/>
  <c r="HG77" i="4"/>
  <c r="HG36" i="4" s="1"/>
  <c r="HI77" i="4"/>
  <c r="HI14" i="4" s="1"/>
  <c r="HF18" i="4"/>
  <c r="HF14" i="4"/>
  <c r="HF41" i="4"/>
  <c r="HF36" i="4"/>
  <c r="HF87" i="2"/>
  <c r="GP30" i="5"/>
  <c r="GR30" i="5" s="1"/>
  <c r="GO78" i="2"/>
  <c r="GO90" i="2"/>
  <c r="GQ78" i="2"/>
  <c r="GQ90" i="2"/>
  <c r="GL78" i="2"/>
  <c r="GL90" i="2"/>
  <c r="GO110" i="4"/>
  <c r="GP78" i="2"/>
  <c r="GP90" i="2"/>
  <c r="GR29" i="5"/>
  <c r="GR31" i="5"/>
  <c r="GR33" i="5"/>
  <c r="GR35" i="5"/>
  <c r="GU35" i="5"/>
  <c r="GV33" i="5"/>
  <c r="GP112" i="4"/>
  <c r="GQ120" i="4" s="1"/>
  <c r="GQ121" i="4" s="1"/>
  <c r="GV31" i="5"/>
  <c r="GW30" i="5"/>
  <c r="GJ122" i="4"/>
  <c r="GJ120" i="4"/>
  <c r="GJ121" i="4" s="1"/>
  <c r="GV101" i="2"/>
  <c r="GV102" i="2"/>
  <c r="GX18" i="4"/>
  <c r="GW70" i="2"/>
  <c r="GW79" i="2"/>
  <c r="GW91" i="2"/>
  <c r="GX88" i="2"/>
  <c r="GX100" i="2"/>
  <c r="GU102" i="2"/>
  <c r="GX15" i="4"/>
  <c r="GW35" i="5"/>
  <c r="GX41" i="4"/>
  <c r="GN112" i="4"/>
  <c r="GT102" i="2"/>
  <c r="GV35" i="5"/>
  <c r="HC87" i="2"/>
  <c r="GN78" i="2"/>
  <c r="GR70" i="2"/>
  <c r="GD123" i="4"/>
  <c r="GD124" i="4"/>
  <c r="HB86" i="2"/>
  <c r="HA18" i="4"/>
  <c r="HA36" i="4"/>
  <c r="HA14" i="4"/>
  <c r="HA41" i="4"/>
  <c r="GZ87" i="2"/>
  <c r="HD51" i="2"/>
  <c r="HD50" i="2" s="1"/>
  <c r="HD86" i="2" s="1"/>
  <c r="GZ50" i="2"/>
  <c r="GZ15" i="4" s="1"/>
  <c r="GI122" i="4"/>
  <c r="GI120" i="4"/>
  <c r="GI121" i="4" s="1"/>
  <c r="GU91" i="2"/>
  <c r="GV78" i="4"/>
  <c r="GV35" i="4" s="1"/>
  <c r="GV86" i="2"/>
  <c r="GW110" i="4"/>
  <c r="GX14" i="4"/>
  <c r="GV30" i="5"/>
  <c r="HC88" i="2"/>
  <c r="GU30" i="5"/>
  <c r="GR78" i="4"/>
  <c r="GQ35" i="4"/>
  <c r="GT32" i="5" s="1"/>
  <c r="HB14" i="4"/>
  <c r="HB18" i="4"/>
  <c r="HB41" i="4"/>
  <c r="HB36" i="4"/>
  <c r="GX36" i="4"/>
  <c r="GW33" i="5"/>
  <c r="GU33" i="5"/>
  <c r="GW31" i="5"/>
  <c r="GV110" i="4"/>
  <c r="GW29" i="5"/>
  <c r="GO42" i="4"/>
  <c r="GO51" i="4" s="1"/>
  <c r="GO111" i="4"/>
  <c r="GO32" i="5"/>
  <c r="GX87" i="2"/>
  <c r="GT110" i="4"/>
  <c r="GU29" i="5"/>
  <c r="GU42" i="4"/>
  <c r="GU51" i="4" s="1"/>
  <c r="GU32" i="5"/>
  <c r="GU111" i="4"/>
  <c r="GT29" i="5"/>
  <c r="GK122" i="4"/>
  <c r="GK120" i="4"/>
  <c r="GK121" i="4" s="1"/>
  <c r="GT42" i="4"/>
  <c r="GT51" i="4" s="1"/>
  <c r="GT111" i="4"/>
  <c r="GC123" i="4"/>
  <c r="GC124" i="4"/>
  <c r="HB88" i="2"/>
  <c r="HA87" i="2"/>
  <c r="GZ41" i="4"/>
  <c r="GZ35" i="5" s="1"/>
  <c r="GZ14" i="4"/>
  <c r="GZ29" i="5" s="1"/>
  <c r="GZ36" i="4"/>
  <c r="GZ33" i="5" s="1"/>
  <c r="GZ18" i="4"/>
  <c r="HC86" i="2"/>
  <c r="GR79" i="2"/>
  <c r="GR91" i="2"/>
  <c r="GR98" i="2"/>
  <c r="GK111" i="4"/>
  <c r="GK112" i="4" s="1"/>
  <c r="GK32" i="5"/>
  <c r="GL32" i="5" s="1"/>
  <c r="GK42" i="4"/>
  <c r="GK51" i="4" s="1"/>
  <c r="GL35" i="4"/>
  <c r="GL42" i="4" s="1"/>
  <c r="GW78" i="4"/>
  <c r="HA50" i="2"/>
  <c r="HA15" i="4" s="1"/>
  <c r="GH123" i="4"/>
  <c r="GH124" i="4"/>
  <c r="HD52" i="2"/>
  <c r="GZ88" i="2"/>
  <c r="GZ89" i="2"/>
  <c r="HD54" i="2"/>
  <c r="HD89" i="2" s="1"/>
  <c r="GB123" i="4"/>
  <c r="GB124" i="4"/>
  <c r="GU110" i="4"/>
  <c r="GV29" i="5"/>
  <c r="GE123" i="4"/>
  <c r="GE124" i="4"/>
  <c r="HD77" i="4"/>
  <c r="HC41" i="4"/>
  <c r="HC36" i="4"/>
  <c r="HC14" i="4"/>
  <c r="HD15" i="4"/>
  <c r="HC18" i="4"/>
  <c r="GT70" i="2"/>
  <c r="GT90" i="2" s="1"/>
  <c r="GT91" i="2"/>
  <c r="GT79" i="2"/>
  <c r="GU31" i="5"/>
  <c r="GT30" i="5"/>
  <c r="GW101" i="2"/>
  <c r="GW102" i="2"/>
  <c r="HB87" i="2"/>
  <c r="HA88" i="2"/>
  <c r="GP32" i="5"/>
  <c r="HD145" i="2"/>
  <c r="GU101" i="2" l="1"/>
  <c r="GV70" i="2"/>
  <c r="GV90" i="2" s="1"/>
  <c r="GU70" i="2"/>
  <c r="GU78" i="2" s="1"/>
  <c r="HA56" i="2"/>
  <c r="HA79" i="2" s="1"/>
  <c r="GX102" i="2"/>
  <c r="GV91" i="2"/>
  <c r="HB35" i="5"/>
  <c r="GZ56" i="2"/>
  <c r="GZ79" i="2" s="1"/>
  <c r="HC100" i="2"/>
  <c r="HC101" i="2" s="1"/>
  <c r="HD53" i="2"/>
  <c r="HD100" i="2" s="1"/>
  <c r="HD102" i="2" s="1"/>
  <c r="HB56" i="2"/>
  <c r="HB79" i="2" s="1"/>
  <c r="HI76" i="2"/>
  <c r="HI53" i="2" s="1"/>
  <c r="HI100" i="2" s="1"/>
  <c r="HH76" i="2"/>
  <c r="HH53" i="2" s="1"/>
  <c r="HH100" i="2" s="1"/>
  <c r="HH102" i="2" s="1"/>
  <c r="HF76" i="2"/>
  <c r="HF53" i="2" s="1"/>
  <c r="HF100" i="2" s="1"/>
  <c r="HG76" i="2"/>
  <c r="HG53" i="2" s="1"/>
  <c r="HG56" i="2" s="1"/>
  <c r="HG79" i="2" s="1"/>
  <c r="HF89" i="2"/>
  <c r="HH15" i="4"/>
  <c r="HH87" i="2"/>
  <c r="HH36" i="4"/>
  <c r="HH33" i="5" s="1"/>
  <c r="HJ54" i="2"/>
  <c r="HJ89" i="2" s="1"/>
  <c r="HH56" i="2"/>
  <c r="HH79" i="2" s="1"/>
  <c r="HH88" i="2"/>
  <c r="HJ77" i="4"/>
  <c r="HJ52" i="2"/>
  <c r="HJ88" i="2" s="1"/>
  <c r="HH41" i="4"/>
  <c r="HH14" i="4"/>
  <c r="HI41" i="4"/>
  <c r="HJ41" i="4" s="1"/>
  <c r="HI18" i="4"/>
  <c r="HJ18" i="4" s="1"/>
  <c r="HI87" i="2"/>
  <c r="HG14" i="4"/>
  <c r="HG50" i="2"/>
  <c r="HH78" i="4" s="1"/>
  <c r="HH35" i="4" s="1"/>
  <c r="HG18" i="4"/>
  <c r="HG31" i="5" s="1"/>
  <c r="HI86" i="2"/>
  <c r="HI15" i="4"/>
  <c r="HJ15" i="4" s="1"/>
  <c r="HG87" i="2"/>
  <c r="HG89" i="2"/>
  <c r="HI36" i="4"/>
  <c r="HJ36" i="4" s="1"/>
  <c r="HG41" i="4"/>
  <c r="HF29" i="5"/>
  <c r="HJ51" i="2"/>
  <c r="HJ50" i="2" s="1"/>
  <c r="HJ86" i="2" s="1"/>
  <c r="HF33" i="5"/>
  <c r="HJ14" i="4"/>
  <c r="HD18" i="4"/>
  <c r="HF31" i="5"/>
  <c r="HF35" i="5"/>
  <c r="HG33" i="5"/>
  <c r="HF78" i="4"/>
  <c r="HF35" i="4" s="1"/>
  <c r="HF110" i="4"/>
  <c r="HF30" i="5"/>
  <c r="HF86" i="2"/>
  <c r="GV78" i="2"/>
  <c r="GR78" i="2"/>
  <c r="GR90" i="2"/>
  <c r="GO112" i="4"/>
  <c r="GP120" i="4" s="1"/>
  <c r="GP121" i="4" s="1"/>
  <c r="GW78" i="2"/>
  <c r="GW90" i="2"/>
  <c r="HA30" i="5"/>
  <c r="GX31" i="5"/>
  <c r="GU112" i="4"/>
  <c r="GV120" i="4" s="1"/>
  <c r="GV121" i="4" s="1"/>
  <c r="HC78" i="4"/>
  <c r="HD78" i="4" s="1"/>
  <c r="GX35" i="5"/>
  <c r="HA31" i="5"/>
  <c r="GX30" i="5"/>
  <c r="GZ30" i="5"/>
  <c r="GX33" i="5"/>
  <c r="GX29" i="5"/>
  <c r="GN122" i="4"/>
  <c r="GN120" i="4"/>
  <c r="GN121" i="4" s="1"/>
  <c r="GR35" i="4"/>
  <c r="GR42" i="4" s="1"/>
  <c r="GQ42" i="4"/>
  <c r="GQ51" i="4" s="1"/>
  <c r="GQ32" i="5"/>
  <c r="GR32" i="5" s="1"/>
  <c r="GQ111" i="4"/>
  <c r="GQ112" i="4" s="1"/>
  <c r="HA33" i="5"/>
  <c r="GX79" i="2"/>
  <c r="GX98" i="2"/>
  <c r="GX91" i="2"/>
  <c r="HB31" i="5"/>
  <c r="GQ123" i="4"/>
  <c r="HC79" i="2"/>
  <c r="HC91" i="2"/>
  <c r="HC70" i="2"/>
  <c r="GO122" i="4"/>
  <c r="GO120" i="4"/>
  <c r="GO121" i="4" s="1"/>
  <c r="GJ123" i="4"/>
  <c r="GJ124" i="4"/>
  <c r="HA102" i="2"/>
  <c r="HA101" i="2"/>
  <c r="GX78" i="4"/>
  <c r="GW35" i="4"/>
  <c r="HC30" i="5"/>
  <c r="HD87" i="2"/>
  <c r="GZ110" i="4"/>
  <c r="HA29" i="5"/>
  <c r="HD36" i="4"/>
  <c r="HC33" i="5"/>
  <c r="GK123" i="4"/>
  <c r="GK124" i="4"/>
  <c r="HC31" i="5"/>
  <c r="GZ78" i="4"/>
  <c r="GZ35" i="4" s="1"/>
  <c r="GZ86" i="2"/>
  <c r="HA35" i="5"/>
  <c r="HB30" i="5"/>
  <c r="HD88" i="2"/>
  <c r="GT78" i="2"/>
  <c r="HC110" i="4"/>
  <c r="HD14" i="4"/>
  <c r="GZ101" i="2"/>
  <c r="GZ102" i="2"/>
  <c r="GL51" i="4"/>
  <c r="HD41" i="4"/>
  <c r="HC35" i="5"/>
  <c r="HA78" i="4"/>
  <c r="HA35" i="4" s="1"/>
  <c r="HA86" i="2"/>
  <c r="HB102" i="2"/>
  <c r="HB101" i="2"/>
  <c r="GT112" i="4"/>
  <c r="HB33" i="5"/>
  <c r="HB110" i="4"/>
  <c r="HC29" i="5"/>
  <c r="GV42" i="4"/>
  <c r="GV51" i="4" s="1"/>
  <c r="GV111" i="4"/>
  <c r="GV112" i="4" s="1"/>
  <c r="GV32" i="5"/>
  <c r="GI123" i="4"/>
  <c r="GI124" i="4"/>
  <c r="HA110" i="4"/>
  <c r="HB29" i="5"/>
  <c r="HB78" i="4"/>
  <c r="HB35" i="4" s="1"/>
  <c r="GZ31" i="5"/>
  <c r="GU90" i="2" l="1"/>
  <c r="GZ91" i="2"/>
  <c r="HA91" i="2"/>
  <c r="GZ70" i="2"/>
  <c r="GZ90" i="2" s="1"/>
  <c r="HA70" i="2"/>
  <c r="HA90" i="2" s="1"/>
  <c r="GX70" i="2"/>
  <c r="HB91" i="2"/>
  <c r="HC102" i="2"/>
  <c r="HD56" i="2"/>
  <c r="HI102" i="2"/>
  <c r="HB70" i="2"/>
  <c r="HI56" i="2"/>
  <c r="HI91" i="2" s="1"/>
  <c r="HF56" i="2"/>
  <c r="HF70" i="2" s="1"/>
  <c r="HF101" i="2"/>
  <c r="HF102" i="2"/>
  <c r="HJ53" i="2"/>
  <c r="HJ100" i="2" s="1"/>
  <c r="HJ102" i="2" s="1"/>
  <c r="HG100" i="2"/>
  <c r="HG102" i="2" s="1"/>
  <c r="HH110" i="4"/>
  <c r="HI29" i="5"/>
  <c r="HH70" i="2"/>
  <c r="HH78" i="2" s="1"/>
  <c r="HH91" i="2"/>
  <c r="HI101" i="2"/>
  <c r="HG91" i="2"/>
  <c r="HH29" i="5"/>
  <c r="HG29" i="5"/>
  <c r="HG86" i="2"/>
  <c r="HI31" i="5"/>
  <c r="HI35" i="5"/>
  <c r="HG78" i="4"/>
  <c r="HG35" i="4" s="1"/>
  <c r="HG32" i="5" s="1"/>
  <c r="HH35" i="5"/>
  <c r="HI78" i="4"/>
  <c r="HI35" i="4" s="1"/>
  <c r="HI42" i="4" s="1"/>
  <c r="HI51" i="4" s="1"/>
  <c r="HJ51" i="4" s="1"/>
  <c r="GP122" i="4"/>
  <c r="HH31" i="5"/>
  <c r="HG15" i="4"/>
  <c r="HG30" i="5" s="1"/>
  <c r="HG70" i="2"/>
  <c r="HI33" i="5"/>
  <c r="HJ33" i="5" s="1"/>
  <c r="HI110" i="4"/>
  <c r="HG35" i="5"/>
  <c r="HJ87" i="2"/>
  <c r="HI30" i="5"/>
  <c r="GQ122" i="4"/>
  <c r="HF111" i="4"/>
  <c r="HF112" i="4" s="1"/>
  <c r="HG120" i="4" s="1"/>
  <c r="HG121" i="4" s="1"/>
  <c r="HG123" i="4" s="1"/>
  <c r="HF42" i="4"/>
  <c r="HF51" i="4" s="1"/>
  <c r="HH111" i="4"/>
  <c r="HH42" i="4"/>
  <c r="HH51" i="4" s="1"/>
  <c r="GX78" i="2"/>
  <c r="GX90" i="2"/>
  <c r="HC78" i="2"/>
  <c r="HC90" i="2"/>
  <c r="HD30" i="5"/>
  <c r="HC35" i="4"/>
  <c r="HD35" i="4" s="1"/>
  <c r="HD42" i="4" s="1"/>
  <c r="GV122" i="4"/>
  <c r="HD33" i="5"/>
  <c r="HD35" i="5"/>
  <c r="HD29" i="5"/>
  <c r="GW122" i="4"/>
  <c r="GW120" i="4"/>
  <c r="GW121" i="4" s="1"/>
  <c r="HD31" i="5"/>
  <c r="GZ42" i="4"/>
  <c r="GZ51" i="4" s="1"/>
  <c r="GZ32" i="5"/>
  <c r="GZ111" i="4"/>
  <c r="GZ112" i="4" s="1"/>
  <c r="GO123" i="4"/>
  <c r="GO124" i="4"/>
  <c r="GR51" i="4"/>
  <c r="GV123" i="4"/>
  <c r="GN123" i="4"/>
  <c r="GN124" i="4"/>
  <c r="HB42" i="4"/>
  <c r="HB51" i="4" s="1"/>
  <c r="HB111" i="4"/>
  <c r="HB112" i="4" s="1"/>
  <c r="HB32" i="5"/>
  <c r="GP123" i="4"/>
  <c r="GP124" i="4"/>
  <c r="GW42" i="4"/>
  <c r="GW51" i="4" s="1"/>
  <c r="GX35" i="4"/>
  <c r="GX42" i="4" s="1"/>
  <c r="GW32" i="5"/>
  <c r="GX32" i="5" s="1"/>
  <c r="GW111" i="4"/>
  <c r="GW112" i="4" s="1"/>
  <c r="GQ124" i="4"/>
  <c r="GT122" i="4"/>
  <c r="GT120" i="4"/>
  <c r="GT121" i="4" s="1"/>
  <c r="GU122" i="4"/>
  <c r="GU120" i="4"/>
  <c r="GU121" i="4" s="1"/>
  <c r="HA42" i="4"/>
  <c r="HA51" i="4" s="1"/>
  <c r="HA32" i="5"/>
  <c r="HA111" i="4"/>
  <c r="HA112" i="4" s="1"/>
  <c r="GZ78" i="2" l="1"/>
  <c r="HA78" i="2"/>
  <c r="HJ56" i="2"/>
  <c r="HJ79" i="2" s="1"/>
  <c r="HG90" i="2"/>
  <c r="HD70" i="2"/>
  <c r="HD90" i="2" s="1"/>
  <c r="HI70" i="2"/>
  <c r="HI78" i="2" s="1"/>
  <c r="HI79" i="2"/>
  <c r="HD91" i="2"/>
  <c r="HD79" i="2"/>
  <c r="HB90" i="2"/>
  <c r="HB78" i="2"/>
  <c r="HD98" i="2"/>
  <c r="HF90" i="2"/>
  <c r="HF78" i="2"/>
  <c r="HH112" i="4"/>
  <c r="HI120" i="4" s="1"/>
  <c r="HI121" i="4" s="1"/>
  <c r="HF91" i="2"/>
  <c r="HF79" i="2"/>
  <c r="HG101" i="2"/>
  <c r="HH101" i="2"/>
  <c r="HH90" i="2"/>
  <c r="HG111" i="4"/>
  <c r="HJ29" i="5"/>
  <c r="HI32" i="5"/>
  <c r="HI111" i="4"/>
  <c r="HI112" i="4" s="1"/>
  <c r="HJ35" i="4"/>
  <c r="HJ42" i="4" s="1"/>
  <c r="HJ78" i="4"/>
  <c r="HJ31" i="5"/>
  <c r="HJ35" i="5"/>
  <c r="HG42" i="4"/>
  <c r="HG51" i="4" s="1"/>
  <c r="HH32" i="5"/>
  <c r="HH30" i="5"/>
  <c r="HJ30" i="5" s="1"/>
  <c r="HG110" i="4"/>
  <c r="HG78" i="2"/>
  <c r="HJ91" i="2"/>
  <c r="HF32" i="5"/>
  <c r="HC111" i="4"/>
  <c r="HC112" i="4" s="1"/>
  <c r="HC32" i="5"/>
  <c r="HD32" i="5" s="1"/>
  <c r="HC42" i="4"/>
  <c r="HC51" i="4" s="1"/>
  <c r="HD51" i="4" s="1"/>
  <c r="HB122" i="4"/>
  <c r="HB120" i="4"/>
  <c r="HB121" i="4" s="1"/>
  <c r="HC122" i="4"/>
  <c r="HC120" i="4"/>
  <c r="HC121" i="4" s="1"/>
  <c r="GX51" i="4"/>
  <c r="GW123" i="4"/>
  <c r="GW124" i="4"/>
  <c r="GT123" i="4"/>
  <c r="GT124" i="4"/>
  <c r="GZ122" i="4"/>
  <c r="GZ120" i="4"/>
  <c r="GZ121" i="4" s="1"/>
  <c r="HA122" i="4"/>
  <c r="HA120" i="4"/>
  <c r="HA121" i="4" s="1"/>
  <c r="GU123" i="4"/>
  <c r="GU124" i="4"/>
  <c r="GV124" i="4"/>
  <c r="HJ70" i="2" l="1"/>
  <c r="HJ90" i="2" s="1"/>
  <c r="HD78" i="2"/>
  <c r="HJ98" i="2"/>
  <c r="HI90" i="2"/>
  <c r="HG112" i="4"/>
  <c r="HH122" i="4" s="1"/>
  <c r="HJ32" i="5"/>
  <c r="HI123" i="4"/>
  <c r="HF122" i="4"/>
  <c r="HF120" i="4"/>
  <c r="HF121" i="4" s="1"/>
  <c r="HG122" i="4"/>
  <c r="HB123" i="4"/>
  <c r="HB124" i="4"/>
  <c r="HC123" i="4"/>
  <c r="HC124" i="4"/>
  <c r="HA123" i="4"/>
  <c r="HA124" i="4"/>
  <c r="GZ123" i="4"/>
  <c r="GZ124" i="4"/>
  <c r="FA67" i="4"/>
  <c r="HJ78" i="2" l="1"/>
  <c r="HI122" i="4"/>
  <c r="HH120" i="4"/>
  <c r="HH121" i="4" s="1"/>
  <c r="HH123" i="4" s="1"/>
  <c r="HF123" i="4"/>
  <c r="HF124" i="4"/>
  <c r="HG124" i="4"/>
  <c r="FA68" i="4"/>
  <c r="FB68" i="4" s="1"/>
  <c r="HH124" i="4" l="1"/>
  <c r="HI124" i="4"/>
  <c r="FH68" i="4"/>
  <c r="FA57" i="5"/>
  <c r="FA55" i="4" l="1"/>
  <c r="FA62" i="5"/>
  <c r="FA64" i="5" s="1"/>
  <c r="FA66" i="5" s="1"/>
  <c r="FA69" i="5" s="1"/>
  <c r="FA70" i="5" s="1"/>
  <c r="FB57" i="5"/>
  <c r="FA69" i="4"/>
  <c r="FD68" i="4"/>
  <c r="FD57" i="5" s="1"/>
  <c r="FN68" i="4"/>
  <c r="FE68" i="4" l="1"/>
  <c r="FE57" i="5" s="1"/>
  <c r="FE62" i="5" s="1"/>
  <c r="FD62" i="5"/>
  <c r="FD69" i="4"/>
  <c r="FD68" i="5"/>
  <c r="FA11" i="4"/>
  <c r="FB69" i="4"/>
  <c r="FB70" i="4" s="1"/>
  <c r="FA70" i="4"/>
  <c r="FB62" i="5"/>
  <c r="FF68" i="4"/>
  <c r="FF57" i="5" s="1"/>
  <c r="FJ68" i="4"/>
  <c r="FJ57" i="5" s="1"/>
  <c r="FT68" i="4"/>
  <c r="FD55" i="4"/>
  <c r="FA58" i="4"/>
  <c r="FB55" i="4"/>
  <c r="FB58" i="4" s="1"/>
  <c r="FE69" i="4" l="1"/>
  <c r="FA60" i="4"/>
  <c r="FA62" i="4"/>
  <c r="FB62" i="4" s="1"/>
  <c r="FF62" i="5"/>
  <c r="FF69" i="4"/>
  <c r="FJ69" i="4"/>
  <c r="FJ62" i="5"/>
  <c r="FG68" i="4"/>
  <c r="FG57" i="5" s="1"/>
  <c r="FH57" i="5" s="1"/>
  <c r="FH62" i="5" s="1"/>
  <c r="FK68" i="4"/>
  <c r="FB64" i="5"/>
  <c r="FE55" i="4"/>
  <c r="AC46" i="7"/>
  <c r="FB60" i="4"/>
  <c r="FP68" i="4"/>
  <c r="FP57" i="5" s="1"/>
  <c r="FZ68" i="4"/>
  <c r="FD67" i="4"/>
  <c r="FA19" i="4"/>
  <c r="FA100" i="4"/>
  <c r="FA115" i="4"/>
  <c r="FA116" i="4" s="1"/>
  <c r="FA118" i="4" s="1"/>
  <c r="FA9" i="8"/>
  <c r="FD10" i="8" s="1"/>
  <c r="FD58" i="2" s="1"/>
  <c r="FB11" i="4"/>
  <c r="FA73" i="5"/>
  <c r="FA101" i="4" l="1"/>
  <c r="B24" i="37" s="1"/>
  <c r="C38" i="36"/>
  <c r="FQ68" i="4"/>
  <c r="FQ57" i="5" s="1"/>
  <c r="FQ69" i="4" s="1"/>
  <c r="FB66" i="5"/>
  <c r="FA92" i="4"/>
  <c r="FA93" i="4" s="1"/>
  <c r="FA31" i="4"/>
  <c r="FF55" i="4"/>
  <c r="FK57" i="5"/>
  <c r="FL68" i="4"/>
  <c r="FB19" i="4"/>
  <c r="AC26" i="7"/>
  <c r="FD60" i="2"/>
  <c r="FD70" i="4"/>
  <c r="FH67" i="4"/>
  <c r="FV68" i="4"/>
  <c r="FV57" i="5" s="1"/>
  <c r="GF68" i="4"/>
  <c r="FP62" i="5"/>
  <c r="FP69" i="4"/>
  <c r="AC51" i="7"/>
  <c r="AC52" i="7" s="1"/>
  <c r="AC47" i="7"/>
  <c r="FG69" i="4"/>
  <c r="FH69" i="4" s="1"/>
  <c r="FG62" i="5"/>
  <c r="FA103" i="4"/>
  <c r="FA105" i="4"/>
  <c r="FA95" i="4"/>
  <c r="B13" i="37" s="1"/>
  <c r="C24" i="37"/>
  <c r="FA107" i="4" l="1"/>
  <c r="FA104" i="4"/>
  <c r="FQ62" i="5"/>
  <c r="FR68" i="4"/>
  <c r="FR57" i="5" s="1"/>
  <c r="FH70" i="4"/>
  <c r="FW68" i="4"/>
  <c r="FW57" i="5" s="1"/>
  <c r="FW69" i="4" s="1"/>
  <c r="FK62" i="5"/>
  <c r="FK69" i="4"/>
  <c r="GL68" i="4"/>
  <c r="GB68" i="4"/>
  <c r="GB57" i="5" s="1"/>
  <c r="FG55" i="4"/>
  <c r="FV62" i="5"/>
  <c r="FV69" i="4"/>
  <c r="FE67" i="4"/>
  <c r="FE70" i="4" s="1"/>
  <c r="FD61" i="2"/>
  <c r="FD62" i="2" s="1"/>
  <c r="FD80" i="2"/>
  <c r="AC49" i="7"/>
  <c r="AC29" i="7"/>
  <c r="FL57" i="5"/>
  <c r="FM68" i="4"/>
  <c r="FM57" i="5" s="1"/>
  <c r="FB31" i="4"/>
  <c r="FA65" i="4"/>
  <c r="FB69" i="5"/>
  <c r="FB70" i="5" s="1"/>
  <c r="FW62" i="5" l="1"/>
  <c r="FN57" i="5"/>
  <c r="FN62" i="5" s="1"/>
  <c r="FX68" i="4"/>
  <c r="FR62" i="5"/>
  <c r="FR69" i="4"/>
  <c r="FS68" i="4"/>
  <c r="FS57" i="5" s="1"/>
  <c r="FT57" i="5" s="1"/>
  <c r="FT62" i="5" s="1"/>
  <c r="GB62" i="5"/>
  <c r="GB69" i="4"/>
  <c r="AC36" i="7"/>
  <c r="AC40" i="7"/>
  <c r="FB65" i="4"/>
  <c r="FJ55" i="4"/>
  <c r="FH55" i="4"/>
  <c r="GH68" i="4"/>
  <c r="GH57" i="5" s="1"/>
  <c r="GR68" i="4"/>
  <c r="FF67" i="4"/>
  <c r="FF70" i="4" s="1"/>
  <c r="FM62" i="5"/>
  <c r="FM69" i="4"/>
  <c r="FH68" i="5"/>
  <c r="FB73" i="5"/>
  <c r="FL69" i="4"/>
  <c r="FL62" i="5"/>
  <c r="FD9" i="5"/>
  <c r="FD92" i="2"/>
  <c r="FD82" i="2"/>
  <c r="AC13" i="7"/>
  <c r="AC31" i="7"/>
  <c r="AC33" i="7" s="1"/>
  <c r="GC68" i="4"/>
  <c r="FN69" i="4" l="1"/>
  <c r="FX57" i="5"/>
  <c r="FY68" i="4"/>
  <c r="FY57" i="5" s="1"/>
  <c r="FS62" i="5"/>
  <c r="FS69" i="4"/>
  <c r="FT69" i="4" s="1"/>
  <c r="GI68" i="4"/>
  <c r="FG67" i="4"/>
  <c r="FG70" i="4" s="1"/>
  <c r="AC42" i="7"/>
  <c r="AC37" i="7"/>
  <c r="GC57" i="5"/>
  <c r="GD68" i="4"/>
  <c r="GD57" i="5" s="1"/>
  <c r="FD56" i="4"/>
  <c r="FD36" i="5"/>
  <c r="GN68" i="4"/>
  <c r="GN57" i="5" s="1"/>
  <c r="GH69" i="4"/>
  <c r="GH62" i="5"/>
  <c r="FK55" i="4"/>
  <c r="GE68" i="4" l="1"/>
  <c r="GE57" i="5" s="1"/>
  <c r="GE69" i="4" s="1"/>
  <c r="FY62" i="5"/>
  <c r="FY69" i="4"/>
  <c r="FZ57" i="5"/>
  <c r="FZ62" i="5" s="1"/>
  <c r="FX69" i="4"/>
  <c r="FX62" i="5"/>
  <c r="GI57" i="5"/>
  <c r="GJ68" i="4"/>
  <c r="GJ57" i="5" s="1"/>
  <c r="GE62" i="5"/>
  <c r="GN62" i="5"/>
  <c r="GN69" i="4"/>
  <c r="GD62" i="5"/>
  <c r="GD69" i="4"/>
  <c r="FJ67" i="4"/>
  <c r="FL55" i="4"/>
  <c r="GO68" i="4"/>
  <c r="FD64" i="5"/>
  <c r="FD66" i="5" s="1"/>
  <c r="FD69" i="5" s="1"/>
  <c r="FD70" i="5" s="1"/>
  <c r="FD75" i="5"/>
  <c r="GC62" i="5"/>
  <c r="GC69" i="4"/>
  <c r="GF57" i="5"/>
  <c r="GF62" i="5" s="1"/>
  <c r="FD58" i="4"/>
  <c r="FZ69" i="4" l="1"/>
  <c r="GJ62" i="5"/>
  <c r="GJ69" i="4"/>
  <c r="GK68" i="4"/>
  <c r="GK57" i="5" s="1"/>
  <c r="GL57" i="5" s="1"/>
  <c r="GL62" i="5" s="1"/>
  <c r="GI62" i="5"/>
  <c r="GI69" i="4"/>
  <c r="FD60" i="4"/>
  <c r="FD62" i="4"/>
  <c r="GF69" i="4"/>
  <c r="GO57" i="5"/>
  <c r="GP68" i="4"/>
  <c r="FJ70" i="4"/>
  <c r="FN67" i="4"/>
  <c r="FN70" i="4" s="1"/>
  <c r="FD77" i="5"/>
  <c r="FD76" i="5"/>
  <c r="FM55" i="4"/>
  <c r="FE68" i="5"/>
  <c r="FD11" i="4"/>
  <c r="FD73" i="5" s="1"/>
  <c r="GK69" i="4" l="1"/>
  <c r="GL69" i="4" s="1"/>
  <c r="GK62" i="5"/>
  <c r="FD9" i="8"/>
  <c r="FE10" i="8" s="1"/>
  <c r="FE58" i="2" s="1"/>
  <c r="FD19" i="4"/>
  <c r="FD100" i="4"/>
  <c r="FD101" i="4" s="1"/>
  <c r="FD115" i="4"/>
  <c r="FD116" i="4" s="1"/>
  <c r="FD118" i="4" s="1"/>
  <c r="FN55" i="4"/>
  <c r="FP55" i="4"/>
  <c r="FK67" i="4"/>
  <c r="FK70" i="4" s="1"/>
  <c r="GP57" i="5"/>
  <c r="GQ68" i="4"/>
  <c r="GQ57" i="5" s="1"/>
  <c r="GO69" i="4"/>
  <c r="GO62" i="5"/>
  <c r="FD105" i="4"/>
  <c r="FD95" i="4"/>
  <c r="FD103" i="4"/>
  <c r="FQ55" i="4" l="1"/>
  <c r="FD107" i="4"/>
  <c r="FD104" i="4"/>
  <c r="GQ62" i="5"/>
  <c r="GQ69" i="4"/>
  <c r="FD92" i="4"/>
  <c r="FD93" i="4" s="1"/>
  <c r="FD31" i="4"/>
  <c r="FD65" i="4" s="1"/>
  <c r="GR57" i="5"/>
  <c r="GR62" i="5" s="1"/>
  <c r="FL67" i="4"/>
  <c r="FL70" i="4" s="1"/>
  <c r="GP69" i="4"/>
  <c r="GP62" i="5"/>
  <c r="FE60" i="2"/>
  <c r="GR69" i="4" l="1"/>
  <c r="FR55" i="4"/>
  <c r="FE80" i="2"/>
  <c r="FE61" i="2"/>
  <c r="FE62" i="2" s="1"/>
  <c r="FM67" i="4"/>
  <c r="FM70" i="4" s="1"/>
  <c r="FE9" i="5" l="1"/>
  <c r="FE82" i="2"/>
  <c r="FE92" i="2"/>
  <c r="FP67" i="4"/>
  <c r="FS55" i="4"/>
  <c r="FP70" i="4" l="1"/>
  <c r="FT67" i="4"/>
  <c r="FT70" i="4" s="1"/>
  <c r="FE36" i="5"/>
  <c r="FE56" i="4"/>
  <c r="FV55" i="4"/>
  <c r="FT55" i="4"/>
  <c r="FW55" i="4" l="1"/>
  <c r="FE58" i="4"/>
  <c r="FE64" i="5"/>
  <c r="FE66" i="5" s="1"/>
  <c r="FE69" i="5" s="1"/>
  <c r="FE70" i="5" s="1"/>
  <c r="FE75" i="5"/>
  <c r="FQ67" i="4"/>
  <c r="FQ70" i="4" s="1"/>
  <c r="FR67" i="4" l="1"/>
  <c r="FR70" i="4" s="1"/>
  <c r="FE60" i="4"/>
  <c r="FE62" i="4"/>
  <c r="FE77" i="5"/>
  <c r="FE76" i="5"/>
  <c r="FF68" i="5"/>
  <c r="FE11" i="4"/>
  <c r="FX55" i="4"/>
  <c r="FE103" i="4" l="1"/>
  <c r="FE95" i="4"/>
  <c r="FE105" i="4"/>
  <c r="FE9" i="8"/>
  <c r="FF10" i="8" s="1"/>
  <c r="FF58" i="2" s="1"/>
  <c r="FE19" i="4"/>
  <c r="FE115" i="4"/>
  <c r="FE116" i="4" s="1"/>
  <c r="FE118" i="4" s="1"/>
  <c r="FE100" i="4"/>
  <c r="FE101" i="4" s="1"/>
  <c r="FY55" i="4"/>
  <c r="FE73" i="5"/>
  <c r="FS67" i="4"/>
  <c r="FS70" i="4" s="1"/>
  <c r="FE104" i="4" l="1"/>
  <c r="FE107" i="4"/>
  <c r="FV67" i="4"/>
  <c r="GB55" i="4"/>
  <c r="FZ55" i="4"/>
  <c r="FE92" i="4"/>
  <c r="FE93" i="4" s="1"/>
  <c r="FE31" i="4"/>
  <c r="FE65" i="4" s="1"/>
  <c r="FF60" i="2"/>
  <c r="FF61" i="2" l="1"/>
  <c r="FF62" i="2" s="1"/>
  <c r="FF80" i="2"/>
  <c r="GC55" i="4"/>
  <c r="FZ67" i="4"/>
  <c r="FZ70" i="4" s="1"/>
  <c r="FV70" i="4"/>
  <c r="FF9" i="5" l="1"/>
  <c r="FF82" i="2"/>
  <c r="FF92" i="2"/>
  <c r="FW67" i="4"/>
  <c r="FW70" i="4" s="1"/>
  <c r="GD55" i="4"/>
  <c r="FX67" i="4" l="1"/>
  <c r="FX70" i="4" s="1"/>
  <c r="GE55" i="4"/>
  <c r="FF36" i="5"/>
  <c r="FF56" i="4"/>
  <c r="GH55" i="4" l="1"/>
  <c r="GF55" i="4"/>
  <c r="FF58" i="4"/>
  <c r="FF75" i="5"/>
  <c r="FF64" i="5"/>
  <c r="FF66" i="5" s="1"/>
  <c r="FF69" i="5" s="1"/>
  <c r="FF70" i="5" s="1"/>
  <c r="FY67" i="4"/>
  <c r="FY70" i="4" s="1"/>
  <c r="FG68" i="5" l="1"/>
  <c r="FF11" i="4"/>
  <c r="FF73" i="5" s="1"/>
  <c r="FF77" i="5"/>
  <c r="FF76" i="5"/>
  <c r="GB67" i="4"/>
  <c r="FF60" i="4"/>
  <c r="FF62" i="4"/>
  <c r="GI55" i="4"/>
  <c r="GB70" i="4" l="1"/>
  <c r="GF67" i="4"/>
  <c r="GF70" i="4" s="1"/>
  <c r="FF100" i="4"/>
  <c r="FF101" i="4" s="1"/>
  <c r="FF115" i="4"/>
  <c r="FF116" i="4" s="1"/>
  <c r="FF118" i="4" s="1"/>
  <c r="FF9" i="8"/>
  <c r="FG10" i="8" s="1"/>
  <c r="FG58" i="2" s="1"/>
  <c r="FF19" i="4"/>
  <c r="GJ55" i="4"/>
  <c r="FF105" i="4"/>
  <c r="FF95" i="4"/>
  <c r="FF103" i="4"/>
  <c r="FF31" i="4" l="1"/>
  <c r="FF65" i="4" s="1"/>
  <c r="FF92" i="4"/>
  <c r="FF93" i="4" s="1"/>
  <c r="FG60" i="2"/>
  <c r="FH58" i="2"/>
  <c r="FH60" i="2" s="1"/>
  <c r="GC67" i="4"/>
  <c r="GC70" i="4" s="1"/>
  <c r="GK55" i="4"/>
  <c r="FF107" i="4"/>
  <c r="FF104" i="4"/>
  <c r="GN55" i="4" l="1"/>
  <c r="GL55" i="4"/>
  <c r="FG61" i="2"/>
  <c r="FH61" i="2" s="1"/>
  <c r="FH62" i="2" s="1"/>
  <c r="FG80" i="2"/>
  <c r="AE39" i="7"/>
  <c r="FH80" i="2"/>
  <c r="GD67" i="4"/>
  <c r="GD70" i="4" s="1"/>
  <c r="AE41" i="7" l="1"/>
  <c r="FH92" i="2"/>
  <c r="FH82" i="2"/>
  <c r="AE15" i="7"/>
  <c r="GE67" i="4"/>
  <c r="GE70" i="4" s="1"/>
  <c r="FG62" i="2"/>
  <c r="GO55" i="4"/>
  <c r="GP55" i="4" l="1"/>
  <c r="FG9" i="5"/>
  <c r="FG92" i="2"/>
  <c r="FG82" i="2"/>
  <c r="GH67" i="4"/>
  <c r="GH70" i="4" l="1"/>
  <c r="GL67" i="4"/>
  <c r="GL70" i="4" s="1"/>
  <c r="FG36" i="5"/>
  <c r="FH9" i="5"/>
  <c r="FH36" i="5" s="1"/>
  <c r="FG56" i="4"/>
  <c r="GQ55" i="4"/>
  <c r="FH56" i="4" l="1"/>
  <c r="FH58" i="4" s="1"/>
  <c r="FG58" i="4"/>
  <c r="GI67" i="4"/>
  <c r="GI70" i="4" s="1"/>
  <c r="FH75" i="5"/>
  <c r="AE19" i="7"/>
  <c r="AE21" i="7" s="1"/>
  <c r="FH64" i="5"/>
  <c r="FH66" i="5" s="1"/>
  <c r="FH69" i="5" s="1"/>
  <c r="FH70" i="5" s="1"/>
  <c r="GT55" i="4"/>
  <c r="GR55" i="4"/>
  <c r="FG75" i="5"/>
  <c r="FG64" i="5"/>
  <c r="FG66" i="5" s="1"/>
  <c r="FG69" i="5" s="1"/>
  <c r="FG70" i="5" s="1"/>
  <c r="FG77" i="5" l="1"/>
  <c r="FG76" i="5"/>
  <c r="FN68" i="5"/>
  <c r="FG60" i="4"/>
  <c r="FG62" i="4"/>
  <c r="FH62" i="4" s="1"/>
  <c r="FH77" i="5"/>
  <c r="FH76" i="5"/>
  <c r="AE46" i="7"/>
  <c r="FH60" i="4"/>
  <c r="FJ68" i="5"/>
  <c r="FG11" i="4"/>
  <c r="FG73" i="5" s="1"/>
  <c r="GU55" i="4"/>
  <c r="GJ67" i="4"/>
  <c r="GJ70" i="4" s="1"/>
  <c r="FG95" i="4" l="1"/>
  <c r="FG105" i="4"/>
  <c r="FG103" i="4"/>
  <c r="GK67" i="4"/>
  <c r="GK70" i="4" s="1"/>
  <c r="FG115" i="4"/>
  <c r="FG116" i="4" s="1"/>
  <c r="FG118" i="4" s="1"/>
  <c r="FG9" i="8"/>
  <c r="FJ10" i="8" s="1"/>
  <c r="FJ58" i="2" s="1"/>
  <c r="FG19" i="4"/>
  <c r="FH11" i="4"/>
  <c r="FG100" i="4"/>
  <c r="FG101" i="4" s="1"/>
  <c r="GV55" i="4"/>
  <c r="AE47" i="7"/>
  <c r="FJ60" i="2" l="1"/>
  <c r="GW55" i="4"/>
  <c r="FG104" i="4"/>
  <c r="FG107" i="4"/>
  <c r="FH19" i="4"/>
  <c r="FH73" i="5"/>
  <c r="FG92" i="4"/>
  <c r="FG93" i="4" s="1"/>
  <c r="FG31" i="4"/>
  <c r="GN67" i="4"/>
  <c r="AE49" i="7" l="1"/>
  <c r="GZ55" i="4"/>
  <c r="GX55" i="4"/>
  <c r="GN70" i="4"/>
  <c r="GR67" i="4"/>
  <c r="GR70" i="4" s="1"/>
  <c r="FG65" i="4"/>
  <c r="FH31" i="4"/>
  <c r="FJ80" i="2"/>
  <c r="FJ61" i="2"/>
  <c r="FJ62" i="2" s="1"/>
  <c r="FJ9" i="5" l="1"/>
  <c r="FJ92" i="2"/>
  <c r="FJ82" i="2"/>
  <c r="GO67" i="4"/>
  <c r="GO70" i="4" s="1"/>
  <c r="AE40" i="7"/>
  <c r="AE36" i="7"/>
  <c r="FH65" i="4"/>
  <c r="HA55" i="4"/>
  <c r="GP67" i="4" l="1"/>
  <c r="GP70" i="4" s="1"/>
  <c r="HB55" i="4"/>
  <c r="AE42" i="7"/>
  <c r="AE37" i="7"/>
  <c r="FJ36" i="5"/>
  <c r="FJ56" i="4"/>
  <c r="GQ67" i="4" l="1"/>
  <c r="GQ70" i="4" s="1"/>
  <c r="FJ75" i="5"/>
  <c r="FJ64" i="5"/>
  <c r="FJ66" i="5" s="1"/>
  <c r="FJ69" i="5" s="1"/>
  <c r="FJ70" i="5" s="1"/>
  <c r="FJ58" i="4"/>
  <c r="HC55" i="4"/>
  <c r="HF55" i="4" s="1"/>
  <c r="HG55" i="4" l="1"/>
  <c r="HD55" i="4"/>
  <c r="FK68" i="5"/>
  <c r="FJ11" i="4"/>
  <c r="FJ73" i="5" s="1"/>
  <c r="FJ60" i="4"/>
  <c r="FJ62" i="4"/>
  <c r="FJ77" i="5"/>
  <c r="FJ76" i="5"/>
  <c r="GT67" i="4"/>
  <c r="HH55" i="4" l="1"/>
  <c r="GX67" i="4"/>
  <c r="GX70" i="4" s="1"/>
  <c r="GT70" i="4"/>
  <c r="FJ95" i="4"/>
  <c r="FJ103" i="4"/>
  <c r="FJ105" i="4"/>
  <c r="FJ9" i="8"/>
  <c r="FK10" i="8" s="1"/>
  <c r="FK58" i="2" s="1"/>
  <c r="FJ19" i="4"/>
  <c r="FJ100" i="4"/>
  <c r="FJ101" i="4" s="1"/>
  <c r="FJ115" i="4"/>
  <c r="FJ116" i="4" s="1"/>
  <c r="FJ118" i="4" s="1"/>
  <c r="HI55" i="4" l="1"/>
  <c r="FJ31" i="4"/>
  <c r="FJ65" i="4" s="1"/>
  <c r="FJ92" i="4"/>
  <c r="FJ93" i="4" s="1"/>
  <c r="GU67" i="4"/>
  <c r="GU70" i="4" s="1"/>
  <c r="FK60" i="2"/>
  <c r="FJ104" i="4"/>
  <c r="FJ107" i="4"/>
  <c r="HJ55" i="4" l="1"/>
  <c r="GV67" i="4"/>
  <c r="GV70" i="4" s="1"/>
  <c r="FK61" i="2"/>
  <c r="FK62" i="2" s="1"/>
  <c r="FK80" i="2"/>
  <c r="GW67" i="4" l="1"/>
  <c r="GW70" i="4" s="1"/>
  <c r="FK9" i="5"/>
  <c r="FK92" i="2"/>
  <c r="FK82" i="2"/>
  <c r="FK36" i="5" l="1"/>
  <c r="FK56" i="4"/>
  <c r="GZ67" i="4"/>
  <c r="FK58" i="4" l="1"/>
  <c r="GZ70" i="4"/>
  <c r="HD67" i="4"/>
  <c r="HD70" i="4" s="1"/>
  <c r="FK75" i="5"/>
  <c r="FK64" i="5"/>
  <c r="FK66" i="5" s="1"/>
  <c r="FK69" i="5" s="1"/>
  <c r="FK70" i="5" s="1"/>
  <c r="FK77" i="5" l="1"/>
  <c r="FK76" i="5"/>
  <c r="FK62" i="4"/>
  <c r="FK60" i="4"/>
  <c r="FL68" i="5"/>
  <c r="FK11" i="4"/>
  <c r="FK73" i="5" s="1"/>
  <c r="HA67" i="4"/>
  <c r="HA70" i="4" s="1"/>
  <c r="FK9" i="8" l="1"/>
  <c r="FL10" i="8" s="1"/>
  <c r="FL58" i="2" s="1"/>
  <c r="FK19" i="4"/>
  <c r="FK100" i="4"/>
  <c r="FK101" i="4" s="1"/>
  <c r="FK115" i="4"/>
  <c r="FK116" i="4" s="1"/>
  <c r="FK118" i="4" s="1"/>
  <c r="HB67" i="4"/>
  <c r="HB70" i="4" s="1"/>
  <c r="FK103" i="4"/>
  <c r="FK95" i="4"/>
  <c r="FK105" i="4"/>
  <c r="FL60" i="2" l="1"/>
  <c r="FK31" i="4"/>
  <c r="FK65" i="4" s="1"/>
  <c r="FK92" i="4"/>
  <c r="FK93" i="4" s="1"/>
  <c r="HC67" i="4"/>
  <c r="HC70" i="4" s="1"/>
  <c r="HF67" i="4" s="1"/>
  <c r="FK107" i="4"/>
  <c r="FK104" i="4"/>
  <c r="HJ67" i="4" l="1"/>
  <c r="HJ70" i="4" s="1"/>
  <c r="HF70" i="4"/>
  <c r="FL61" i="2"/>
  <c r="FL62" i="2" s="1"/>
  <c r="FL80" i="2"/>
  <c r="HG67" i="4" l="1"/>
  <c r="HG70" i="4" s="1"/>
  <c r="FL9" i="5"/>
  <c r="FL82" i="2"/>
  <c r="FL92" i="2"/>
  <c r="HH67" i="4" l="1"/>
  <c r="HH70" i="4" s="1"/>
  <c r="FL36" i="5"/>
  <c r="FL56" i="4"/>
  <c r="HI67" i="4" l="1"/>
  <c r="HI70" i="4" s="1"/>
  <c r="FL58" i="4"/>
  <c r="FL64" i="5"/>
  <c r="FL66" i="5" s="1"/>
  <c r="FL69" i="5" s="1"/>
  <c r="FL70" i="5" s="1"/>
  <c r="FL75" i="5"/>
  <c r="FM68" i="5" l="1"/>
  <c r="FL11" i="4"/>
  <c r="FL73" i="5" s="1"/>
  <c r="FL60" i="4"/>
  <c r="FL62" i="4"/>
  <c r="FL77" i="5"/>
  <c r="FL76" i="5"/>
  <c r="FL95" i="4" l="1"/>
  <c r="FL105" i="4"/>
  <c r="FL103" i="4"/>
  <c r="FL9" i="8"/>
  <c r="FM10" i="8" s="1"/>
  <c r="FM58" i="2" s="1"/>
  <c r="FL19" i="4"/>
  <c r="FL100" i="4"/>
  <c r="FL101" i="4" s="1"/>
  <c r="FL115" i="4"/>
  <c r="FL116" i="4" s="1"/>
  <c r="FL118" i="4" s="1"/>
  <c r="FM60" i="2" l="1"/>
  <c r="FN58" i="2"/>
  <c r="FN60" i="2" s="1"/>
  <c r="FL104" i="4"/>
  <c r="FL107" i="4"/>
  <c r="FL31" i="4"/>
  <c r="FL65" i="4" s="1"/>
  <c r="FL92" i="4"/>
  <c r="FL93" i="4" s="1"/>
  <c r="AF39" i="7" l="1"/>
  <c r="FN80" i="2"/>
  <c r="FM61" i="2"/>
  <c r="FN61" i="2" s="1"/>
  <c r="FN62" i="2" s="1"/>
  <c r="FM80" i="2"/>
  <c r="AF41" i="7" l="1"/>
  <c r="AF15" i="7"/>
  <c r="FN92" i="2"/>
  <c r="FN82" i="2"/>
  <c r="FM62" i="2"/>
  <c r="FM9" i="5" l="1"/>
  <c r="FM82" i="2"/>
  <c r="FM92" i="2"/>
  <c r="FM36" i="5" l="1"/>
  <c r="FN9" i="5"/>
  <c r="FN36" i="5" s="1"/>
  <c r="FM56" i="4"/>
  <c r="FN56" i="4" l="1"/>
  <c r="FN58" i="4" s="1"/>
  <c r="FM58" i="4"/>
  <c r="AF19" i="7"/>
  <c r="AF21" i="7" s="1"/>
  <c r="FN75" i="5"/>
  <c r="FN64" i="5"/>
  <c r="FN66" i="5" s="1"/>
  <c r="FN69" i="5" s="1"/>
  <c r="FN70" i="5" s="1"/>
  <c r="FM64" i="5"/>
  <c r="FM66" i="5" s="1"/>
  <c r="FM69" i="5" s="1"/>
  <c r="FM70" i="5" s="1"/>
  <c r="FM75" i="5"/>
  <c r="FM76" i="5" l="1"/>
  <c r="FM77" i="5"/>
  <c r="FP68" i="5"/>
  <c r="FM11" i="4"/>
  <c r="FM73" i="5" s="1"/>
  <c r="FM62" i="4"/>
  <c r="FN62" i="4" s="1"/>
  <c r="FM60" i="4"/>
  <c r="FT68" i="5"/>
  <c r="AF46" i="7"/>
  <c r="FN60" i="4"/>
  <c r="FN77" i="5"/>
  <c r="FN76" i="5"/>
  <c r="FN11" i="4" l="1"/>
  <c r="FM9" i="8"/>
  <c r="FP10" i="8" s="1"/>
  <c r="FP58" i="2" s="1"/>
  <c r="FM19" i="4"/>
  <c r="FM115" i="4"/>
  <c r="FM116" i="4" s="1"/>
  <c r="FM118" i="4" s="1"/>
  <c r="FM100" i="4"/>
  <c r="FM101" i="4" s="1"/>
  <c r="AF47" i="7"/>
  <c r="FM95" i="4"/>
  <c r="FM105" i="4"/>
  <c r="FM103" i="4"/>
  <c r="FM92" i="4" l="1"/>
  <c r="FM93" i="4" s="1"/>
  <c r="FM31" i="4"/>
  <c r="FP60" i="2"/>
  <c r="FM104" i="4"/>
  <c r="FM107" i="4"/>
  <c r="AF26" i="7"/>
  <c r="FN19" i="4"/>
  <c r="FN73" i="5"/>
  <c r="FP61" i="2" l="1"/>
  <c r="FP62" i="2" s="1"/>
  <c r="FP80" i="2"/>
  <c r="AF49" i="7"/>
  <c r="FN31" i="4"/>
  <c r="FM65" i="4"/>
  <c r="FP82" i="2" l="1"/>
  <c r="FP92" i="2"/>
  <c r="FP9" i="5"/>
  <c r="AF36" i="7"/>
  <c r="AF40" i="7"/>
  <c r="FN65" i="4"/>
  <c r="AF42" i="7" l="1"/>
  <c r="AF37" i="7"/>
  <c r="FP36" i="5"/>
  <c r="FP56" i="4"/>
  <c r="FP75" i="5" l="1"/>
  <c r="FP64" i="5"/>
  <c r="FP66" i="5" s="1"/>
  <c r="FP69" i="5" s="1"/>
  <c r="FP70" i="5" s="1"/>
  <c r="FP58" i="4"/>
  <c r="FP60" i="4" l="1"/>
  <c r="FP62" i="4"/>
  <c r="FQ68" i="5"/>
  <c r="FP11" i="4"/>
  <c r="FP73" i="5" s="1"/>
  <c r="FP77" i="5"/>
  <c r="FP76" i="5"/>
  <c r="FP105" i="4" l="1"/>
  <c r="FP95" i="4"/>
  <c r="FP103" i="4"/>
  <c r="FP100" i="4"/>
  <c r="FP101" i="4" s="1"/>
  <c r="FP115" i="4"/>
  <c r="FP116" i="4" s="1"/>
  <c r="FP118" i="4" s="1"/>
  <c r="FP9" i="8"/>
  <c r="FQ10" i="8" s="1"/>
  <c r="FQ58" i="2" s="1"/>
  <c r="FP19" i="4"/>
  <c r="FQ60" i="2" l="1"/>
  <c r="FP92" i="4"/>
  <c r="FP93" i="4" s="1"/>
  <c r="FP31" i="4"/>
  <c r="FP65" i="4" s="1"/>
  <c r="FP107" i="4"/>
  <c r="FP104" i="4"/>
  <c r="FQ80" i="2" l="1"/>
  <c r="FQ61" i="2"/>
  <c r="FQ62" i="2" l="1"/>
  <c r="FQ9" i="5" l="1"/>
  <c r="FQ92" i="2"/>
  <c r="FQ82" i="2"/>
  <c r="FQ36" i="5" l="1"/>
  <c r="FQ56" i="4"/>
  <c r="FQ58" i="4" l="1"/>
  <c r="FQ75" i="5"/>
  <c r="FQ64" i="5"/>
  <c r="FQ66" i="5" s="1"/>
  <c r="FQ69" i="5" s="1"/>
  <c r="FQ70" i="5" s="1"/>
  <c r="FR68" i="5" l="1"/>
  <c r="FQ11" i="4"/>
  <c r="FQ73" i="5" s="1"/>
  <c r="FQ62" i="4"/>
  <c r="FQ60" i="4"/>
  <c r="FQ76" i="5"/>
  <c r="FQ77" i="5"/>
  <c r="FQ100" i="4" l="1"/>
  <c r="FQ101" i="4" s="1"/>
  <c r="FQ9" i="8"/>
  <c r="FR10" i="8" s="1"/>
  <c r="FR58" i="2" s="1"/>
  <c r="FR60" i="2" s="1"/>
  <c r="FQ19" i="4"/>
  <c r="FQ115" i="4"/>
  <c r="FQ116" i="4" s="1"/>
  <c r="FQ118" i="4" s="1"/>
  <c r="FQ105" i="4"/>
  <c r="FQ95" i="4"/>
  <c r="FQ103" i="4"/>
  <c r="FQ92" i="4" l="1"/>
  <c r="FQ93" i="4" s="1"/>
  <c r="FQ31" i="4"/>
  <c r="FQ65" i="4" s="1"/>
  <c r="FQ107" i="4"/>
  <c r="FQ104" i="4"/>
  <c r="FR80" i="2" l="1"/>
  <c r="FR61" i="2"/>
  <c r="FR62" i="2" s="1"/>
  <c r="FR92" i="2" l="1"/>
  <c r="FR82" i="2"/>
  <c r="FR9" i="5"/>
  <c r="FR36" i="5" l="1"/>
  <c r="FR56" i="4"/>
  <c r="FR58" i="4" l="1"/>
  <c r="FR75" i="5"/>
  <c r="FR64" i="5"/>
  <c r="FR66" i="5" s="1"/>
  <c r="FR69" i="5" s="1"/>
  <c r="FR70" i="5" s="1"/>
  <c r="FR77" i="5" l="1"/>
  <c r="FR76" i="5"/>
  <c r="FR11" i="4"/>
  <c r="FS68" i="5"/>
  <c r="FR62" i="4"/>
  <c r="FR60" i="4"/>
  <c r="FR95" i="4" l="1"/>
  <c r="FR103" i="4"/>
  <c r="FR105" i="4"/>
  <c r="FR9" i="8"/>
  <c r="FS10" i="8" s="1"/>
  <c r="FS58" i="2" s="1"/>
  <c r="FR19" i="4"/>
  <c r="FR115" i="4"/>
  <c r="FR116" i="4" s="1"/>
  <c r="FR118" i="4" s="1"/>
  <c r="FR100" i="4"/>
  <c r="FR101" i="4" s="1"/>
  <c r="FR73" i="5"/>
  <c r="FS60" i="2" l="1"/>
  <c r="FT58" i="2"/>
  <c r="FT60" i="2" s="1"/>
  <c r="FR104" i="4"/>
  <c r="FR107" i="4"/>
  <c r="FR31" i="4"/>
  <c r="FR65" i="4" s="1"/>
  <c r="FR92" i="4"/>
  <c r="FR93" i="4" s="1"/>
  <c r="FT80" i="2" l="1"/>
  <c r="FS61" i="2"/>
  <c r="FT61" i="2" s="1"/>
  <c r="FT62" i="2" s="1"/>
  <c r="FS80" i="2"/>
  <c r="FT82" i="2" l="1"/>
  <c r="FT92" i="2"/>
  <c r="FS62" i="2"/>
  <c r="FS82" i="2" l="1"/>
  <c r="FS92" i="2"/>
  <c r="FS9" i="5"/>
  <c r="FS36" i="5" l="1"/>
  <c r="FT9" i="5"/>
  <c r="FT36" i="5" s="1"/>
  <c r="FS56" i="4"/>
  <c r="FT56" i="4" l="1"/>
  <c r="FT58" i="4" s="1"/>
  <c r="FT60" i="4" s="1"/>
  <c r="FS58" i="4"/>
  <c r="FT64" i="5"/>
  <c r="FT66" i="5" s="1"/>
  <c r="FT69" i="5" s="1"/>
  <c r="FT70" i="5" s="1"/>
  <c r="FT75" i="5"/>
  <c r="FS75" i="5"/>
  <c r="FS64" i="5"/>
  <c r="FS66" i="5" s="1"/>
  <c r="FS69" i="5" s="1"/>
  <c r="FS70" i="5" s="1"/>
  <c r="FV68" i="5" l="1"/>
  <c r="FS11" i="4"/>
  <c r="FS73" i="5" s="1"/>
  <c r="FZ68" i="5"/>
  <c r="FS62" i="4"/>
  <c r="FT62" i="4" s="1"/>
  <c r="FS60" i="4"/>
  <c r="FS77" i="5"/>
  <c r="FS76" i="5"/>
  <c r="FT76" i="5"/>
  <c r="FT77" i="5"/>
  <c r="FS95" i="4" l="1"/>
  <c r="FS105" i="4"/>
  <c r="FS103" i="4"/>
  <c r="FS9" i="8"/>
  <c r="FV10" i="8" s="1"/>
  <c r="FV58" i="2" s="1"/>
  <c r="FS19" i="4"/>
  <c r="FS100" i="4"/>
  <c r="FS101" i="4" s="1"/>
  <c r="FT11" i="4"/>
  <c r="FS115" i="4"/>
  <c r="FS116" i="4" s="1"/>
  <c r="FS118" i="4" s="1"/>
  <c r="FT19" i="4" l="1"/>
  <c r="FT73" i="5"/>
  <c r="FS107" i="4"/>
  <c r="FS104" i="4"/>
  <c r="FS92" i="4"/>
  <c r="FS93" i="4" s="1"/>
  <c r="FS31" i="4"/>
  <c r="FV60" i="2"/>
  <c r="FV61" i="2" l="1"/>
  <c r="FV62" i="2" s="1"/>
  <c r="FV80" i="2"/>
  <c r="FS65" i="4"/>
  <c r="FT31" i="4"/>
  <c r="FT65" i="4" s="1"/>
  <c r="FV82" i="2" l="1"/>
  <c r="FV9" i="5"/>
  <c r="FV92" i="2"/>
  <c r="FV36" i="5" l="1"/>
  <c r="FV56" i="4"/>
  <c r="FV64" i="5" l="1"/>
  <c r="FV66" i="5" s="1"/>
  <c r="FV69" i="5" s="1"/>
  <c r="FV70" i="5" s="1"/>
  <c r="FV75" i="5"/>
  <c r="FV58" i="4"/>
  <c r="FV60" i="4" l="1"/>
  <c r="FV62" i="4"/>
  <c r="FV76" i="5"/>
  <c r="FV77" i="5"/>
  <c r="FV11" i="4"/>
  <c r="FV73" i="5" s="1"/>
  <c r="FW68" i="5"/>
  <c r="FV100" i="4" l="1"/>
  <c r="FV101" i="4" s="1"/>
  <c r="FV115" i="4"/>
  <c r="FV116" i="4" s="1"/>
  <c r="FV118" i="4" s="1"/>
  <c r="FV9" i="8"/>
  <c r="FW10" i="8" s="1"/>
  <c r="FW58" i="2" s="1"/>
  <c r="FV19" i="4"/>
  <c r="FV103" i="4"/>
  <c r="FV105" i="4"/>
  <c r="FV95" i="4"/>
  <c r="FW60" i="2" l="1"/>
  <c r="FV107" i="4"/>
  <c r="FV104" i="4"/>
  <c r="FV92" i="4"/>
  <c r="FV93" i="4" s="1"/>
  <c r="FV31" i="4"/>
  <c r="FV65" i="4" s="1"/>
  <c r="FW61" i="2" l="1"/>
  <c r="FW62" i="2" s="1"/>
  <c r="FW80" i="2"/>
  <c r="FW92" i="2" l="1"/>
  <c r="FW9" i="5"/>
  <c r="FW82" i="2"/>
  <c r="FW36" i="5" l="1"/>
  <c r="FW56" i="4"/>
  <c r="FW58" i="4" l="1"/>
  <c r="FW64" i="5"/>
  <c r="FW66" i="5" s="1"/>
  <c r="FW69" i="5" s="1"/>
  <c r="FW70" i="5" s="1"/>
  <c r="FW75" i="5"/>
  <c r="FW76" i="5" l="1"/>
  <c r="FW77" i="5"/>
  <c r="FW60" i="4"/>
  <c r="FW62" i="4"/>
  <c r="FW11" i="4"/>
  <c r="FX68" i="5"/>
  <c r="FW100" i="4" l="1"/>
  <c r="FW101" i="4" s="1"/>
  <c r="FW115" i="4"/>
  <c r="FW116" i="4" s="1"/>
  <c r="FW118" i="4" s="1"/>
  <c r="FW9" i="8"/>
  <c r="FX10" i="8" s="1"/>
  <c r="FX58" i="2" s="1"/>
  <c r="FW19" i="4"/>
  <c r="FW73" i="5"/>
  <c r="FW103" i="4"/>
  <c r="FW105" i="4"/>
  <c r="FW95" i="4"/>
  <c r="FX60" i="2" l="1"/>
  <c r="FW104" i="4"/>
  <c r="FW107" i="4"/>
  <c r="FW92" i="4"/>
  <c r="FW93" i="4" s="1"/>
  <c r="FW31" i="4"/>
  <c r="FW65" i="4" s="1"/>
  <c r="FX61" i="2" l="1"/>
  <c r="FX62" i="2" s="1"/>
  <c r="FX80" i="2"/>
  <c r="FX92" i="2" l="1"/>
  <c r="FX82" i="2"/>
  <c r="FX9" i="5"/>
  <c r="FX36" i="5" l="1"/>
  <c r="FX56" i="4"/>
  <c r="FX58" i="4" l="1"/>
  <c r="FX64" i="5"/>
  <c r="FX66" i="5" s="1"/>
  <c r="FX69" i="5" s="1"/>
  <c r="FX70" i="5" s="1"/>
  <c r="FX75" i="5"/>
  <c r="FX11" i="4" l="1"/>
  <c r="FX73" i="5" s="1"/>
  <c r="FY68" i="5"/>
  <c r="FX77" i="5"/>
  <c r="FX76" i="5"/>
  <c r="FX60" i="4"/>
  <c r="FX62" i="4"/>
  <c r="FX105" i="4" l="1"/>
  <c r="FX103" i="4"/>
  <c r="FX95" i="4"/>
  <c r="FX100" i="4"/>
  <c r="FX101" i="4" s="1"/>
  <c r="FX115" i="4"/>
  <c r="FX116" i="4" s="1"/>
  <c r="FX118" i="4" s="1"/>
  <c r="FX19" i="4"/>
  <c r="FX9" i="8"/>
  <c r="FY10" i="8" s="1"/>
  <c r="FY58" i="2" s="1"/>
  <c r="FY60" i="2" l="1"/>
  <c r="FZ58" i="2"/>
  <c r="FZ60" i="2" s="1"/>
  <c r="FX92" i="4"/>
  <c r="FX93" i="4" s="1"/>
  <c r="FX31" i="4"/>
  <c r="FX65" i="4" s="1"/>
  <c r="FX104" i="4"/>
  <c r="FX107" i="4"/>
  <c r="FZ80" i="2" l="1"/>
  <c r="FY61" i="2"/>
  <c r="FZ61" i="2" s="1"/>
  <c r="FZ62" i="2" s="1"/>
  <c r="FY80" i="2"/>
  <c r="FZ82" i="2" l="1"/>
  <c r="FZ92" i="2"/>
  <c r="FY62" i="2"/>
  <c r="FY82" i="2" l="1"/>
  <c r="FY9" i="5"/>
  <c r="FY92" i="2"/>
  <c r="FY36" i="5" l="1"/>
  <c r="FZ9" i="5"/>
  <c r="FZ36" i="5" s="1"/>
  <c r="FY56" i="4"/>
  <c r="FZ56" i="4" l="1"/>
  <c r="FZ58" i="4" s="1"/>
  <c r="FZ60" i="4" s="1"/>
  <c r="FY58" i="4"/>
  <c r="FZ75" i="5"/>
  <c r="FZ64" i="5"/>
  <c r="FZ66" i="5" s="1"/>
  <c r="FZ69" i="5" s="1"/>
  <c r="FZ70" i="5" s="1"/>
  <c r="FY75" i="5"/>
  <c r="FY64" i="5"/>
  <c r="FY66" i="5" s="1"/>
  <c r="FY69" i="5" s="1"/>
  <c r="FY70" i="5" s="1"/>
  <c r="FZ76" i="5" l="1"/>
  <c r="FZ77" i="5"/>
  <c r="FY11" i="4"/>
  <c r="FY73" i="5" s="1"/>
  <c r="GB68" i="5"/>
  <c r="FY62" i="4"/>
  <c r="FZ62" i="4" s="1"/>
  <c r="FY60" i="4"/>
  <c r="FY76" i="5"/>
  <c r="FY77" i="5"/>
  <c r="GF68" i="5"/>
  <c r="FZ11" i="4" l="1"/>
  <c r="FY9" i="8"/>
  <c r="GB10" i="8" s="1"/>
  <c r="GB58" i="2" s="1"/>
  <c r="FY115" i="4"/>
  <c r="FY116" i="4" s="1"/>
  <c r="FY118" i="4" s="1"/>
  <c r="FY100" i="4"/>
  <c r="FY101" i="4" s="1"/>
  <c r="FY19" i="4"/>
  <c r="FY105" i="4"/>
  <c r="FY95" i="4"/>
  <c r="FY103" i="4"/>
  <c r="GB60" i="2" l="1"/>
  <c r="FY104" i="4"/>
  <c r="FY107" i="4"/>
  <c r="FY31" i="4"/>
  <c r="FY92" i="4"/>
  <c r="FY93" i="4" s="1"/>
  <c r="FZ19" i="4"/>
  <c r="FZ73" i="5"/>
  <c r="GB80" i="2" l="1"/>
  <c r="GB61" i="2"/>
  <c r="FY65" i="4"/>
  <c r="FZ31" i="4"/>
  <c r="FZ65" i="4" s="1"/>
  <c r="GB62" i="2" l="1"/>
  <c r="GB9" i="5" l="1"/>
  <c r="GB92" i="2"/>
  <c r="GB82" i="2"/>
  <c r="GB36" i="5" l="1"/>
  <c r="GB56" i="4"/>
  <c r="GB58" i="4" l="1"/>
  <c r="GB75" i="5"/>
  <c r="GB64" i="5"/>
  <c r="GB66" i="5" s="1"/>
  <c r="GB69" i="5" s="1"/>
  <c r="GB70" i="5" s="1"/>
  <c r="GC68" i="5" l="1"/>
  <c r="GB11" i="4"/>
  <c r="GB77" i="5"/>
  <c r="GB76" i="5"/>
  <c r="GB62" i="4"/>
  <c r="GB60" i="4"/>
  <c r="GB9" i="8" l="1"/>
  <c r="GC10" i="8" s="1"/>
  <c r="GC58" i="2" s="1"/>
  <c r="GB19" i="4"/>
  <c r="GB100" i="4"/>
  <c r="GB101" i="4" s="1"/>
  <c r="GB115" i="4"/>
  <c r="GB116" i="4" s="1"/>
  <c r="GB118" i="4" s="1"/>
  <c r="GB105" i="4"/>
  <c r="GB95" i="4"/>
  <c r="GB103" i="4"/>
  <c r="GB73" i="5"/>
  <c r="GB31" i="4" l="1"/>
  <c r="GB65" i="4" s="1"/>
  <c r="GB92" i="4"/>
  <c r="GB93" i="4" s="1"/>
  <c r="GB107" i="4"/>
  <c r="GB104" i="4"/>
  <c r="GC60" i="2"/>
  <c r="GC61" i="2" l="1"/>
  <c r="GC62" i="2" s="1"/>
  <c r="GC80" i="2"/>
  <c r="GC9" i="5" l="1"/>
  <c r="GC82" i="2"/>
  <c r="GC92" i="2"/>
  <c r="GC36" i="5" l="1"/>
  <c r="GC56" i="4"/>
  <c r="GC58" i="4" l="1"/>
  <c r="GC75" i="5"/>
  <c r="GC64" i="5"/>
  <c r="GC66" i="5" s="1"/>
  <c r="GC69" i="5" s="1"/>
  <c r="GC70" i="5" s="1"/>
  <c r="GC76" i="5" l="1"/>
  <c r="GC77" i="5"/>
  <c r="GD68" i="5"/>
  <c r="GC11" i="4"/>
  <c r="GC73" i="5" s="1"/>
  <c r="GC60" i="4"/>
  <c r="GC62" i="4"/>
  <c r="GC95" i="4" l="1"/>
  <c r="GC105" i="4"/>
  <c r="GC103" i="4"/>
  <c r="GC9" i="8"/>
  <c r="GD10" i="8" s="1"/>
  <c r="GD58" i="2" s="1"/>
  <c r="GC19" i="4"/>
  <c r="GC100" i="4"/>
  <c r="GC101" i="4" s="1"/>
  <c r="GC115" i="4"/>
  <c r="GC116" i="4" s="1"/>
  <c r="GC118" i="4" s="1"/>
  <c r="GC107" i="4" l="1"/>
  <c r="GC104" i="4"/>
  <c r="GC31" i="4"/>
  <c r="GC65" i="4" s="1"/>
  <c r="GC92" i="4"/>
  <c r="GC93" i="4" s="1"/>
  <c r="GD60" i="2"/>
  <c r="GD80" i="2" l="1"/>
  <c r="GD61" i="2"/>
  <c r="GD62" i="2" l="1"/>
  <c r="GD9" i="5" l="1"/>
  <c r="GD82" i="2"/>
  <c r="GD92" i="2"/>
  <c r="GD36" i="5" l="1"/>
  <c r="GD56" i="4"/>
  <c r="GD58" i="4" l="1"/>
  <c r="GD75" i="5"/>
  <c r="GD64" i="5"/>
  <c r="GD66" i="5" s="1"/>
  <c r="GD69" i="5" s="1"/>
  <c r="GD70" i="5" s="1"/>
  <c r="GD76" i="5" l="1"/>
  <c r="GD77" i="5"/>
  <c r="GE68" i="5"/>
  <c r="GD11" i="4"/>
  <c r="GD73" i="5" s="1"/>
  <c r="GD60" i="4"/>
  <c r="GD62" i="4"/>
  <c r="GD105" i="4" l="1"/>
  <c r="GD95" i="4"/>
  <c r="GD103" i="4"/>
  <c r="GD9" i="8"/>
  <c r="GE10" i="8" s="1"/>
  <c r="GE58" i="2" s="1"/>
  <c r="GD19" i="4"/>
  <c r="GD115" i="4"/>
  <c r="GD116" i="4" s="1"/>
  <c r="GD118" i="4" s="1"/>
  <c r="GD100" i="4"/>
  <c r="GD101" i="4" s="1"/>
  <c r="GD92" i="4" l="1"/>
  <c r="GD93" i="4" s="1"/>
  <c r="GD31" i="4"/>
  <c r="GD65" i="4" s="1"/>
  <c r="GD107" i="4"/>
  <c r="GD104" i="4"/>
  <c r="GE60" i="2"/>
  <c r="GF58" i="2"/>
  <c r="GF60" i="2" s="1"/>
  <c r="GF80" i="2" l="1"/>
  <c r="GE80" i="2"/>
  <c r="GE61" i="2"/>
  <c r="GF61" i="2" s="1"/>
  <c r="GF62" i="2" s="1"/>
  <c r="GE62" i="2" l="1"/>
  <c r="GE92" i="2" s="1"/>
  <c r="GF92" i="2"/>
  <c r="GF82" i="2"/>
  <c r="GE9" i="5" l="1"/>
  <c r="GE36" i="5" s="1"/>
  <c r="GE82" i="2"/>
  <c r="GE56" i="4" l="1"/>
  <c r="GF56" i="4" s="1"/>
  <c r="GF58" i="4" s="1"/>
  <c r="GF60" i="4" s="1"/>
  <c r="GF9" i="5"/>
  <c r="GF36" i="5" s="1"/>
  <c r="GF64" i="5" s="1"/>
  <c r="GF66" i="5" s="1"/>
  <c r="GF69" i="5" s="1"/>
  <c r="GF70" i="5" s="1"/>
  <c r="GE75" i="5"/>
  <c r="GE64" i="5"/>
  <c r="GE66" i="5" s="1"/>
  <c r="GE69" i="5" s="1"/>
  <c r="GE70" i="5" s="1"/>
  <c r="GF75" i="5" l="1"/>
  <c r="GF77" i="5" s="1"/>
  <c r="GE58" i="4"/>
  <c r="GE62" i="4" s="1"/>
  <c r="GF62" i="4" s="1"/>
  <c r="GL68" i="5"/>
  <c r="GH68" i="5"/>
  <c r="GE11" i="4"/>
  <c r="GE77" i="5"/>
  <c r="GE76" i="5"/>
  <c r="GF76" i="5" l="1"/>
  <c r="GE60" i="4"/>
  <c r="GE95" i="4" s="1"/>
  <c r="GE115" i="4"/>
  <c r="GE116" i="4" s="1"/>
  <c r="GE118" i="4" s="1"/>
  <c r="GE9" i="8"/>
  <c r="GH10" i="8" s="1"/>
  <c r="GH58" i="2" s="1"/>
  <c r="GF11" i="4"/>
  <c r="GE100" i="4"/>
  <c r="GE101" i="4" s="1"/>
  <c r="GE19" i="4"/>
  <c r="GE73" i="5"/>
  <c r="GE103" i="4" l="1"/>
  <c r="GE105" i="4"/>
  <c r="GF19" i="4"/>
  <c r="GF73" i="5"/>
  <c r="GH60" i="2"/>
  <c r="GE104" i="4"/>
  <c r="GE107" i="4"/>
  <c r="GE92" i="4"/>
  <c r="GE93" i="4" s="1"/>
  <c r="GE31" i="4"/>
  <c r="GH61" i="2" l="1"/>
  <c r="GH62" i="2" s="1"/>
  <c r="GH80" i="2"/>
  <c r="GE65" i="4"/>
  <c r="GF31" i="4"/>
  <c r="GF65" i="4" s="1"/>
  <c r="GH92" i="2" l="1"/>
  <c r="GH9" i="5"/>
  <c r="GH82" i="2"/>
  <c r="GH36" i="5" l="1"/>
  <c r="GH56" i="4"/>
  <c r="GH58" i="4" l="1"/>
  <c r="GH64" i="5"/>
  <c r="GH66" i="5" s="1"/>
  <c r="GH69" i="5" s="1"/>
  <c r="GH70" i="5" s="1"/>
  <c r="GH75" i="5"/>
  <c r="GH11" i="4" l="1"/>
  <c r="GH73" i="5" s="1"/>
  <c r="GI68" i="5"/>
  <c r="GH77" i="5"/>
  <c r="GH76" i="5"/>
  <c r="GH62" i="4"/>
  <c r="GH60" i="4"/>
  <c r="GH103" i="4" l="1"/>
  <c r="GH95" i="4"/>
  <c r="GH105" i="4"/>
  <c r="GH100" i="4"/>
  <c r="GH101" i="4" s="1"/>
  <c r="GH9" i="8"/>
  <c r="GI10" i="8" s="1"/>
  <c r="GI58" i="2" s="1"/>
  <c r="GH115" i="4"/>
  <c r="GH116" i="4" s="1"/>
  <c r="GH118" i="4" s="1"/>
  <c r="GH19" i="4"/>
  <c r="GH92" i="4" l="1"/>
  <c r="GH93" i="4" s="1"/>
  <c r="GH31" i="4"/>
  <c r="GH65" i="4" s="1"/>
  <c r="GI60" i="2"/>
  <c r="GH107" i="4"/>
  <c r="GH104" i="4"/>
  <c r="GI61" i="2" l="1"/>
  <c r="GI62" i="2" s="1"/>
  <c r="GI80" i="2"/>
  <c r="GI82" i="2" l="1"/>
  <c r="GI9" i="5"/>
  <c r="GI92" i="2"/>
  <c r="GI36" i="5" l="1"/>
  <c r="GI56" i="4"/>
  <c r="GI58" i="4" l="1"/>
  <c r="GI64" i="5"/>
  <c r="GI66" i="5" s="1"/>
  <c r="GI69" i="5" s="1"/>
  <c r="GI70" i="5" s="1"/>
  <c r="GI75" i="5"/>
  <c r="GI77" i="5" l="1"/>
  <c r="GI76" i="5"/>
  <c r="GI11" i="4"/>
  <c r="GI73" i="5" s="1"/>
  <c r="GJ68" i="5"/>
  <c r="GI60" i="4"/>
  <c r="GI62" i="4"/>
  <c r="GI95" i="4" l="1"/>
  <c r="GI103" i="4"/>
  <c r="GI105" i="4"/>
  <c r="GI100" i="4"/>
  <c r="GI101" i="4" s="1"/>
  <c r="GI115" i="4"/>
  <c r="GI116" i="4" s="1"/>
  <c r="GI118" i="4" s="1"/>
  <c r="GI9" i="8"/>
  <c r="GJ10" i="8" s="1"/>
  <c r="GJ58" i="2" s="1"/>
  <c r="GI19" i="4"/>
  <c r="GI104" i="4" l="1"/>
  <c r="GI107" i="4"/>
  <c r="GJ60" i="2"/>
  <c r="GI31" i="4"/>
  <c r="GI65" i="4" s="1"/>
  <c r="GI92" i="4"/>
  <c r="GI93" i="4" s="1"/>
  <c r="GJ61" i="2" l="1"/>
  <c r="GJ62" i="2" s="1"/>
  <c r="GJ80" i="2"/>
  <c r="GJ82" i="2" l="1"/>
  <c r="GJ9" i="5"/>
  <c r="GJ92" i="2"/>
  <c r="GJ36" i="5" l="1"/>
  <c r="GJ56" i="4"/>
  <c r="GJ58" i="4" l="1"/>
  <c r="GJ64" i="5"/>
  <c r="GJ66" i="5" s="1"/>
  <c r="GJ69" i="5" s="1"/>
  <c r="GJ70" i="5" s="1"/>
  <c r="GJ75" i="5"/>
  <c r="GJ77" i="5" l="1"/>
  <c r="GJ76" i="5"/>
  <c r="GJ60" i="4"/>
  <c r="GJ62" i="4"/>
  <c r="GJ11" i="4"/>
  <c r="GJ73" i="5" s="1"/>
  <c r="GK68" i="5"/>
  <c r="GJ100" i="4" l="1"/>
  <c r="GJ101" i="4" s="1"/>
  <c r="GJ115" i="4"/>
  <c r="GJ116" i="4" s="1"/>
  <c r="GJ118" i="4" s="1"/>
  <c r="GJ9" i="8"/>
  <c r="GK10" i="8" s="1"/>
  <c r="GK58" i="2" s="1"/>
  <c r="GJ19" i="4"/>
  <c r="GJ95" i="4"/>
  <c r="GJ105" i="4"/>
  <c r="GJ103" i="4"/>
  <c r="GK60" i="2" l="1"/>
  <c r="GL58" i="2"/>
  <c r="GL60" i="2" s="1"/>
  <c r="GJ92" i="4"/>
  <c r="GJ93" i="4" s="1"/>
  <c r="GJ31" i="4"/>
  <c r="GJ65" i="4" s="1"/>
  <c r="GJ107" i="4"/>
  <c r="GJ104" i="4"/>
  <c r="GL80" i="2" l="1"/>
  <c r="GK80" i="2"/>
  <c r="GK61" i="2"/>
  <c r="GL61" i="2" s="1"/>
  <c r="GL62" i="2" s="1"/>
  <c r="GK62" i="2" l="1"/>
  <c r="GK92" i="2" s="1"/>
  <c r="GL92" i="2"/>
  <c r="GL82" i="2"/>
  <c r="GK9" i="5" l="1"/>
  <c r="GK36" i="5" s="1"/>
  <c r="GK82" i="2"/>
  <c r="GK56" i="4" l="1"/>
  <c r="GL56" i="4" s="1"/>
  <c r="GL58" i="4" s="1"/>
  <c r="GL60" i="4" s="1"/>
  <c r="GL9" i="5"/>
  <c r="GL36" i="5" s="1"/>
  <c r="GL64" i="5" s="1"/>
  <c r="GL66" i="5" s="1"/>
  <c r="GL69" i="5" s="1"/>
  <c r="GL70" i="5" s="1"/>
  <c r="GK75" i="5"/>
  <c r="GK64" i="5"/>
  <c r="GK66" i="5" s="1"/>
  <c r="GK69" i="5" s="1"/>
  <c r="GK70" i="5" s="1"/>
  <c r="GK58" i="4" l="1"/>
  <c r="GK60" i="4" s="1"/>
  <c r="GL75" i="5"/>
  <c r="GL77" i="5" s="1"/>
  <c r="GK76" i="5"/>
  <c r="GK77" i="5"/>
  <c r="GN68" i="5"/>
  <c r="GK11" i="4"/>
  <c r="GK73" i="5" s="1"/>
  <c r="GR68" i="5"/>
  <c r="GK62" i="4" l="1"/>
  <c r="GL62" i="4" s="1"/>
  <c r="GL76" i="5"/>
  <c r="GK105" i="4"/>
  <c r="GK103" i="4"/>
  <c r="GK95" i="4"/>
  <c r="GK115" i="4"/>
  <c r="GK116" i="4" s="1"/>
  <c r="GK118" i="4" s="1"/>
  <c r="GL11" i="4"/>
  <c r="GK100" i="4"/>
  <c r="GK101" i="4" s="1"/>
  <c r="GK9" i="8"/>
  <c r="GN10" i="8" s="1"/>
  <c r="GN58" i="2" s="1"/>
  <c r="GK19" i="4"/>
  <c r="GN60" i="2" l="1"/>
  <c r="GK107" i="4"/>
  <c r="GK104" i="4"/>
  <c r="GL19" i="4"/>
  <c r="GL73" i="5"/>
  <c r="GK31" i="4"/>
  <c r="GK92" i="4"/>
  <c r="GK93" i="4" s="1"/>
  <c r="GL31" i="4" l="1"/>
  <c r="GL65" i="4" s="1"/>
  <c r="GK65" i="4"/>
  <c r="GN61" i="2"/>
  <c r="GN62" i="2" s="1"/>
  <c r="GN80" i="2"/>
  <c r="GN92" i="2" l="1"/>
  <c r="GN9" i="5"/>
  <c r="GN82" i="2"/>
  <c r="GN36" i="5" l="1"/>
  <c r="GN56" i="4"/>
  <c r="GN58" i="4" l="1"/>
  <c r="GN75" i="5"/>
  <c r="GN64" i="5"/>
  <c r="GN66" i="5" s="1"/>
  <c r="GN69" i="5" s="1"/>
  <c r="GN70" i="5" s="1"/>
  <c r="GN11" i="4" l="1"/>
  <c r="GN73" i="5" s="1"/>
  <c r="GO68" i="5"/>
  <c r="GN77" i="5"/>
  <c r="GN76" i="5"/>
  <c r="GN60" i="4"/>
  <c r="GN62" i="4"/>
  <c r="GN105" i="4" l="1"/>
  <c r="GN95" i="4"/>
  <c r="GN103" i="4"/>
  <c r="GN100" i="4"/>
  <c r="GN101" i="4" s="1"/>
  <c r="GN9" i="8"/>
  <c r="GO10" i="8" s="1"/>
  <c r="GO58" i="2" s="1"/>
  <c r="GN19" i="4"/>
  <c r="GN115" i="4"/>
  <c r="GN116" i="4" s="1"/>
  <c r="GN118" i="4" s="1"/>
  <c r="GN92" i="4" l="1"/>
  <c r="GN93" i="4" s="1"/>
  <c r="GN31" i="4"/>
  <c r="GN65" i="4" s="1"/>
  <c r="GO60" i="2"/>
  <c r="GN104" i="4"/>
  <c r="GN107" i="4"/>
  <c r="GO61" i="2" l="1"/>
  <c r="GO62" i="2" s="1"/>
  <c r="GO80" i="2"/>
  <c r="GO82" i="2" l="1"/>
  <c r="GO9" i="5"/>
  <c r="GO92" i="2"/>
  <c r="GO36" i="5" l="1"/>
  <c r="GO56" i="4"/>
  <c r="GO58" i="4" l="1"/>
  <c r="GO64" i="5"/>
  <c r="GO66" i="5" s="1"/>
  <c r="GO69" i="5" s="1"/>
  <c r="GO70" i="5" s="1"/>
  <c r="GO75" i="5"/>
  <c r="GO77" i="5" l="1"/>
  <c r="GO76" i="5"/>
  <c r="GO11" i="4"/>
  <c r="GP68" i="5"/>
  <c r="GO60" i="4"/>
  <c r="GO62" i="4"/>
  <c r="GO100" i="4" l="1"/>
  <c r="GO101" i="4" s="1"/>
  <c r="GO115" i="4"/>
  <c r="GO116" i="4" s="1"/>
  <c r="GO118" i="4" s="1"/>
  <c r="GO9" i="8"/>
  <c r="GP10" i="8" s="1"/>
  <c r="GP58" i="2" s="1"/>
  <c r="GO19" i="4"/>
  <c r="GO103" i="4"/>
  <c r="GO95" i="4"/>
  <c r="GO105" i="4"/>
  <c r="GO73" i="5"/>
  <c r="GP60" i="2" l="1"/>
  <c r="GO107" i="4"/>
  <c r="GO104" i="4"/>
  <c r="GO31" i="4"/>
  <c r="GO65" i="4" s="1"/>
  <c r="GO92" i="4"/>
  <c r="GO93" i="4" s="1"/>
  <c r="GP80" i="2" l="1"/>
  <c r="GP61" i="2"/>
  <c r="GP62" i="2" s="1"/>
  <c r="GP92" i="2" l="1"/>
  <c r="GP82" i="2"/>
  <c r="GP9" i="5"/>
  <c r="GP36" i="5" l="1"/>
  <c r="GP56" i="4"/>
  <c r="GP58" i="4" l="1"/>
  <c r="GP75" i="5"/>
  <c r="GP64" i="5"/>
  <c r="GP66" i="5" s="1"/>
  <c r="GP69" i="5" s="1"/>
  <c r="GP70" i="5" s="1"/>
  <c r="GQ68" i="5" l="1"/>
  <c r="GP11" i="4"/>
  <c r="GP73" i="5" s="1"/>
  <c r="GP76" i="5"/>
  <c r="GP77" i="5"/>
  <c r="GP60" i="4"/>
  <c r="GP62" i="4"/>
  <c r="GP105" i="4" l="1"/>
  <c r="GP103" i="4"/>
  <c r="GP95" i="4"/>
  <c r="GP100" i="4"/>
  <c r="GP101" i="4" s="1"/>
  <c r="GP115" i="4"/>
  <c r="GP116" i="4" s="1"/>
  <c r="GP118" i="4" s="1"/>
  <c r="GP9" i="8"/>
  <c r="GQ10" i="8" s="1"/>
  <c r="GQ58" i="2" s="1"/>
  <c r="GP19" i="4"/>
  <c r="GP31" i="4" l="1"/>
  <c r="GP65" i="4" s="1"/>
  <c r="GP92" i="4"/>
  <c r="GP93" i="4" s="1"/>
  <c r="GP104" i="4"/>
  <c r="GP107" i="4"/>
  <c r="GQ60" i="2"/>
  <c r="GR58" i="2"/>
  <c r="GR60" i="2" s="1"/>
  <c r="GR80" i="2" l="1"/>
  <c r="GQ61" i="2"/>
  <c r="GR61" i="2" s="1"/>
  <c r="GR62" i="2" s="1"/>
  <c r="GQ80" i="2"/>
  <c r="GR92" i="2" l="1"/>
  <c r="GR82" i="2"/>
  <c r="GQ62" i="2"/>
  <c r="GQ9" i="5" l="1"/>
  <c r="GQ92" i="2"/>
  <c r="GQ82" i="2"/>
  <c r="GQ36" i="5" l="1"/>
  <c r="GR9" i="5"/>
  <c r="GR36" i="5" s="1"/>
  <c r="GQ56" i="4"/>
  <c r="GR56" i="4" l="1"/>
  <c r="GR58" i="4" s="1"/>
  <c r="GR60" i="4" s="1"/>
  <c r="GQ58" i="4"/>
  <c r="GR64" i="5"/>
  <c r="GR66" i="5" s="1"/>
  <c r="GR69" i="5" s="1"/>
  <c r="GR70" i="5" s="1"/>
  <c r="GR75" i="5"/>
  <c r="GQ64" i="5"/>
  <c r="GQ66" i="5" s="1"/>
  <c r="GQ69" i="5" s="1"/>
  <c r="GQ70" i="5" s="1"/>
  <c r="GQ75" i="5"/>
  <c r="GX68" i="5" l="1"/>
  <c r="GQ76" i="5"/>
  <c r="GQ77" i="5"/>
  <c r="GQ60" i="4"/>
  <c r="GQ62" i="4"/>
  <c r="GR62" i="4" s="1"/>
  <c r="GQ11" i="4"/>
  <c r="GT68" i="5"/>
  <c r="GR77" i="5"/>
  <c r="GR76" i="5"/>
  <c r="GQ9" i="8" l="1"/>
  <c r="GT10" i="8" s="1"/>
  <c r="GT58" i="2" s="1"/>
  <c r="GR11" i="4"/>
  <c r="GQ19" i="4"/>
  <c r="GQ115" i="4"/>
  <c r="GQ116" i="4" s="1"/>
  <c r="GQ118" i="4" s="1"/>
  <c r="GQ100" i="4"/>
  <c r="GQ101" i="4" s="1"/>
  <c r="GQ73" i="5"/>
  <c r="GQ95" i="4"/>
  <c r="GQ105" i="4"/>
  <c r="GQ103" i="4"/>
  <c r="GQ92" i="4" l="1"/>
  <c r="GQ93" i="4" s="1"/>
  <c r="GQ31" i="4"/>
  <c r="GR19" i="4"/>
  <c r="GR73" i="5"/>
  <c r="GQ104" i="4"/>
  <c r="GQ107" i="4"/>
  <c r="GT60" i="2"/>
  <c r="GQ65" i="4" l="1"/>
  <c r="GR31" i="4"/>
  <c r="GR65" i="4" s="1"/>
  <c r="GT80" i="2"/>
  <c r="GT61" i="2"/>
  <c r="GT62" i="2" l="1"/>
  <c r="GT9" i="5" l="1"/>
  <c r="GT92" i="2"/>
  <c r="GT82" i="2"/>
  <c r="GT36" i="5" l="1"/>
  <c r="GT56" i="4"/>
  <c r="GT75" i="5" l="1"/>
  <c r="GT64" i="5"/>
  <c r="GT66" i="5" s="1"/>
  <c r="GT69" i="5" s="1"/>
  <c r="GT70" i="5" s="1"/>
  <c r="GT58" i="4"/>
  <c r="GT60" i="4" l="1"/>
  <c r="GT62" i="4"/>
  <c r="GU68" i="5"/>
  <c r="GT11" i="4"/>
  <c r="GT73" i="5" s="1"/>
  <c r="GT76" i="5"/>
  <c r="GT77" i="5"/>
  <c r="GT115" i="4" l="1"/>
  <c r="GT116" i="4" s="1"/>
  <c r="GT118" i="4" s="1"/>
  <c r="GT9" i="8"/>
  <c r="GU10" i="8" s="1"/>
  <c r="GU58" i="2" s="1"/>
  <c r="GT19" i="4"/>
  <c r="GT100" i="4"/>
  <c r="GT101" i="4" s="1"/>
  <c r="GT105" i="4"/>
  <c r="GT103" i="4"/>
  <c r="GT95" i="4"/>
  <c r="GU60" i="2" l="1"/>
  <c r="GT107" i="4"/>
  <c r="GT104" i="4"/>
  <c r="GT31" i="4"/>
  <c r="GT65" i="4" s="1"/>
  <c r="GT92" i="4"/>
  <c r="GT93" i="4" s="1"/>
  <c r="GU61" i="2" l="1"/>
  <c r="GU62" i="2" s="1"/>
  <c r="GU80" i="2"/>
  <c r="GU9" i="5" l="1"/>
  <c r="GU92" i="2"/>
  <c r="GU82" i="2"/>
  <c r="GU36" i="5" l="1"/>
  <c r="GU56" i="4"/>
  <c r="GU58" i="4" l="1"/>
  <c r="GU75" i="5"/>
  <c r="GU64" i="5"/>
  <c r="GU66" i="5" s="1"/>
  <c r="GU69" i="5" s="1"/>
  <c r="GU70" i="5" s="1"/>
  <c r="GV68" i="5" l="1"/>
  <c r="GU11" i="4"/>
  <c r="GU76" i="5"/>
  <c r="GU77" i="5"/>
  <c r="GU60" i="4"/>
  <c r="GU62" i="4"/>
  <c r="GU100" i="4" l="1"/>
  <c r="GU101" i="4" s="1"/>
  <c r="GU115" i="4"/>
  <c r="GU116" i="4" s="1"/>
  <c r="GU118" i="4" s="1"/>
  <c r="GU9" i="8"/>
  <c r="GV10" i="8" s="1"/>
  <c r="GV58" i="2" s="1"/>
  <c r="GU19" i="4"/>
  <c r="GU105" i="4"/>
  <c r="GU95" i="4"/>
  <c r="GU103" i="4"/>
  <c r="GU73" i="5"/>
  <c r="GU31" i="4" l="1"/>
  <c r="GU65" i="4" s="1"/>
  <c r="GU92" i="4"/>
  <c r="GU93" i="4" s="1"/>
  <c r="GV60" i="2"/>
  <c r="GU104" i="4"/>
  <c r="GU107" i="4"/>
  <c r="GV80" i="2" l="1"/>
  <c r="GV61" i="2"/>
  <c r="GV62" i="2" s="1"/>
  <c r="GV82" i="2" l="1"/>
  <c r="GV9" i="5"/>
  <c r="GV92" i="2"/>
  <c r="GV36" i="5" l="1"/>
  <c r="GV56" i="4"/>
  <c r="GV58" i="4" l="1"/>
  <c r="GV75" i="5"/>
  <c r="GV64" i="5"/>
  <c r="GV66" i="5" s="1"/>
  <c r="GV69" i="5" s="1"/>
  <c r="GV70" i="5" s="1"/>
  <c r="GV11" i="4" l="1"/>
  <c r="GW68" i="5"/>
  <c r="GV62" i="4"/>
  <c r="GV60" i="4"/>
  <c r="GV76" i="5"/>
  <c r="GV77" i="5"/>
  <c r="GV9" i="8" l="1"/>
  <c r="GW10" i="8" s="1"/>
  <c r="GW58" i="2" s="1"/>
  <c r="GV100" i="4"/>
  <c r="GV101" i="4" s="1"/>
  <c r="GV19" i="4"/>
  <c r="GV115" i="4"/>
  <c r="GV116" i="4" s="1"/>
  <c r="GV118" i="4" s="1"/>
  <c r="GV105" i="4"/>
  <c r="GV103" i="4"/>
  <c r="GV95" i="4"/>
  <c r="GV73" i="5"/>
  <c r="GV92" i="4" l="1"/>
  <c r="GV93" i="4" s="1"/>
  <c r="GV31" i="4"/>
  <c r="GV65" i="4" s="1"/>
  <c r="GV104" i="4"/>
  <c r="GV107" i="4"/>
  <c r="GW60" i="2"/>
  <c r="GX58" i="2"/>
  <c r="GX60" i="2" s="1"/>
  <c r="GX80" i="2" l="1"/>
  <c r="GW61" i="2"/>
  <c r="GX61" i="2" s="1"/>
  <c r="GX62" i="2" s="1"/>
  <c r="GW80" i="2"/>
  <c r="GX82" i="2" l="1"/>
  <c r="GX92" i="2"/>
  <c r="GW62" i="2"/>
  <c r="GW92" i="2" l="1"/>
  <c r="GW82" i="2"/>
  <c r="GW9" i="5"/>
  <c r="GW36" i="5" l="1"/>
  <c r="GX9" i="5"/>
  <c r="GX36" i="5" s="1"/>
  <c r="GW56" i="4"/>
  <c r="GX64" i="5" l="1"/>
  <c r="GX66" i="5" s="1"/>
  <c r="GX69" i="5" s="1"/>
  <c r="GX70" i="5" s="1"/>
  <c r="GX75" i="5"/>
  <c r="GX56" i="4"/>
  <c r="GX58" i="4" s="1"/>
  <c r="GX60" i="4" s="1"/>
  <c r="GW58" i="4"/>
  <c r="GW64" i="5"/>
  <c r="GW66" i="5" s="1"/>
  <c r="GW69" i="5" s="1"/>
  <c r="GW70" i="5" s="1"/>
  <c r="GW75" i="5"/>
  <c r="GZ68" i="5" l="1"/>
  <c r="GW11" i="4"/>
  <c r="GW73" i="5" s="1"/>
  <c r="GX77" i="5"/>
  <c r="GX76" i="5"/>
  <c r="GW76" i="5"/>
  <c r="GW77" i="5"/>
  <c r="GW60" i="4"/>
  <c r="GW62" i="4"/>
  <c r="GX62" i="4" s="1"/>
  <c r="HD68" i="5"/>
  <c r="GW105" i="4" l="1"/>
  <c r="GW95" i="4"/>
  <c r="GW103" i="4"/>
  <c r="GW9" i="8"/>
  <c r="GZ10" i="8" s="1"/>
  <c r="GZ58" i="2" s="1"/>
  <c r="GW100" i="4"/>
  <c r="GW101" i="4" s="1"/>
  <c r="GW19" i="4"/>
  <c r="GX11" i="4"/>
  <c r="GW115" i="4"/>
  <c r="GW116" i="4" s="1"/>
  <c r="GW118" i="4" s="1"/>
  <c r="GX19" i="4" l="1"/>
  <c r="GX73" i="5"/>
  <c r="GW104" i="4"/>
  <c r="GW107" i="4"/>
  <c r="GW31" i="4"/>
  <c r="GW92" i="4"/>
  <c r="GW93" i="4" s="1"/>
  <c r="GZ60" i="2"/>
  <c r="GZ80" i="2" l="1"/>
  <c r="GZ61" i="2"/>
  <c r="GZ62" i="2" s="1"/>
  <c r="GW65" i="4"/>
  <c r="GX31" i="4"/>
  <c r="GX65" i="4" s="1"/>
  <c r="GZ92" i="2" l="1"/>
  <c r="GZ9" i="5"/>
  <c r="GZ82" i="2"/>
  <c r="GZ36" i="5" l="1"/>
  <c r="GZ56" i="4"/>
  <c r="GZ58" i="4" l="1"/>
  <c r="GZ75" i="5"/>
  <c r="GZ64" i="5"/>
  <c r="GZ66" i="5" s="1"/>
  <c r="GZ69" i="5" s="1"/>
  <c r="GZ70" i="5" s="1"/>
  <c r="HA68" i="5" l="1"/>
  <c r="GZ11" i="4"/>
  <c r="GZ73" i="5" s="1"/>
  <c r="GZ77" i="5"/>
  <c r="GZ76" i="5"/>
  <c r="GZ62" i="4"/>
  <c r="GZ60" i="4"/>
  <c r="GZ105" i="4" l="1"/>
  <c r="GZ95" i="4"/>
  <c r="GZ103" i="4"/>
  <c r="GZ115" i="4"/>
  <c r="GZ116" i="4" s="1"/>
  <c r="GZ118" i="4" s="1"/>
  <c r="GZ100" i="4"/>
  <c r="GZ101" i="4" s="1"/>
  <c r="GZ19" i="4"/>
  <c r="GZ9" i="8"/>
  <c r="HA10" i="8" s="1"/>
  <c r="HA58" i="2" s="1"/>
  <c r="HA60" i="2" l="1"/>
  <c r="GZ31" i="4"/>
  <c r="GZ65" i="4" s="1"/>
  <c r="GZ92" i="4"/>
  <c r="GZ107" i="4"/>
  <c r="GZ104" i="4"/>
  <c r="GZ93" i="4" l="1"/>
  <c r="HA80" i="2"/>
  <c r="HA61" i="2"/>
  <c r="HA62" i="2" l="1"/>
  <c r="HA82" i="2" l="1"/>
  <c r="HA92" i="2"/>
  <c r="HA9" i="5"/>
  <c r="HA36" i="5" l="1"/>
  <c r="HA56" i="4"/>
  <c r="HA58" i="4" l="1"/>
  <c r="HA75" i="5"/>
  <c r="HA64" i="5"/>
  <c r="HA66" i="5" s="1"/>
  <c r="HA69" i="5" s="1"/>
  <c r="HA70" i="5" s="1"/>
  <c r="HB68" i="5" l="1"/>
  <c r="HA11" i="4"/>
  <c r="HA76" i="5"/>
  <c r="HA77" i="5"/>
  <c r="HA62" i="4"/>
  <c r="HA60" i="4"/>
  <c r="HA115" i="4" l="1"/>
  <c r="HA116" i="4" s="1"/>
  <c r="HA118" i="4" s="1"/>
  <c r="HA100" i="4"/>
  <c r="HA101" i="4" s="1"/>
  <c r="HA19" i="4"/>
  <c r="HA9" i="8"/>
  <c r="HB10" i="8" s="1"/>
  <c r="HB58" i="2" s="1"/>
  <c r="HA95" i="4"/>
  <c r="HA103" i="4"/>
  <c r="HA105" i="4"/>
  <c r="HA73" i="5"/>
  <c r="HB60" i="2" l="1"/>
  <c r="HA92" i="4"/>
  <c r="HA31" i="4"/>
  <c r="HA65" i="4" s="1"/>
  <c r="HA104" i="4"/>
  <c r="HA107" i="4"/>
  <c r="HA93" i="4" l="1"/>
  <c r="HB61" i="2"/>
  <c r="HB62" i="2" s="1"/>
  <c r="HB80" i="2"/>
  <c r="HB92" i="2" l="1"/>
  <c r="HB82" i="2"/>
  <c r="HB9" i="5"/>
  <c r="HB36" i="5" l="1"/>
  <c r="HB56" i="4"/>
  <c r="HB58" i="4" l="1"/>
  <c r="HB75" i="5"/>
  <c r="HB64" i="5"/>
  <c r="HB66" i="5" s="1"/>
  <c r="HB69" i="5" s="1"/>
  <c r="HB70" i="5" s="1"/>
  <c r="HC68" i="5" l="1"/>
  <c r="HB11" i="4"/>
  <c r="HB73" i="5" s="1"/>
  <c r="HB76" i="5"/>
  <c r="HB77" i="5"/>
  <c r="HB60" i="4"/>
  <c r="HB62" i="4"/>
  <c r="HB95" i="4" l="1"/>
  <c r="HB103" i="4"/>
  <c r="HB105" i="4"/>
  <c r="HB100" i="4"/>
  <c r="HB101" i="4" s="1"/>
  <c r="HB115" i="4"/>
  <c r="HB116" i="4" s="1"/>
  <c r="HB118" i="4" s="1"/>
  <c r="HB9" i="8"/>
  <c r="HC10" i="8" s="1"/>
  <c r="HC58" i="2" s="1"/>
  <c r="HB19" i="4"/>
  <c r="HC60" i="2" l="1"/>
  <c r="HD58" i="2"/>
  <c r="HD60" i="2" s="1"/>
  <c r="HB107" i="4"/>
  <c r="HB104" i="4"/>
  <c r="HB31" i="4"/>
  <c r="HB65" i="4" s="1"/>
  <c r="HB92" i="4"/>
  <c r="HB93" i="4" l="1"/>
  <c r="HD80" i="2"/>
  <c r="HC61" i="2"/>
  <c r="HD61" i="2" s="1"/>
  <c r="HD62" i="2" s="1"/>
  <c r="HC80" i="2"/>
  <c r="HC62" i="2" l="1"/>
  <c r="HD82" i="2"/>
  <c r="HD92" i="2"/>
  <c r="HC92" i="2" l="1"/>
  <c r="HC82" i="2"/>
  <c r="HC9" i="5"/>
  <c r="HC36" i="5" s="1"/>
  <c r="HC56" i="4" l="1"/>
  <c r="HD9" i="5"/>
  <c r="HD36" i="5" s="1"/>
  <c r="HD64" i="5" s="1"/>
  <c r="HD66" i="5" s="1"/>
  <c r="HD69" i="5" s="1"/>
  <c r="HD70" i="5" s="1"/>
  <c r="HJ68" i="5" s="1"/>
  <c r="HC75" i="5"/>
  <c r="HC64" i="5"/>
  <c r="HC66" i="5" s="1"/>
  <c r="HC69" i="5" s="1"/>
  <c r="HC70" i="5" s="1"/>
  <c r="HF68" i="5" s="1"/>
  <c r="HD56" i="4" l="1"/>
  <c r="HD58" i="4" s="1"/>
  <c r="HD60" i="4" s="1"/>
  <c r="HC58" i="4"/>
  <c r="HC60" i="4" s="1"/>
  <c r="HD75" i="5"/>
  <c r="HC11" i="4"/>
  <c r="HC73" i="5" s="1"/>
  <c r="HC77" i="5"/>
  <c r="HC76" i="5"/>
  <c r="HD76" i="5" l="1"/>
  <c r="HC62" i="4"/>
  <c r="HD62" i="4" s="1"/>
  <c r="HD77" i="5"/>
  <c r="HC103" i="4"/>
  <c r="HC95" i="4"/>
  <c r="HC105" i="4"/>
  <c r="HC115" i="4"/>
  <c r="HC116" i="4" s="1"/>
  <c r="HC118" i="4" s="1"/>
  <c r="HD11" i="4"/>
  <c r="HC9" i="8"/>
  <c r="HF10" i="8" s="1"/>
  <c r="HF58" i="2" s="1"/>
  <c r="HF60" i="2" s="1"/>
  <c r="HC19" i="4"/>
  <c r="HC100" i="4"/>
  <c r="HC101" i="4" s="1"/>
  <c r="HF61" i="2" l="1"/>
  <c r="HF62" i="2" s="1"/>
  <c r="HF80" i="2"/>
  <c r="HC92" i="4"/>
  <c r="HC31" i="4"/>
  <c r="HC104" i="4"/>
  <c r="HC107" i="4"/>
  <c r="HD19" i="4"/>
  <c r="HD73" i="5"/>
  <c r="HF9" i="5" l="1"/>
  <c r="HF82" i="2"/>
  <c r="HF92" i="2"/>
  <c r="HC93" i="4"/>
  <c r="HD31" i="4"/>
  <c r="HD65" i="4" s="1"/>
  <c r="HC65" i="4"/>
  <c r="HF36" i="5" l="1"/>
  <c r="HF56" i="4"/>
  <c r="HF58" i="4" s="1"/>
  <c r="HF60" i="4" l="1"/>
  <c r="HF62" i="4"/>
  <c r="HF75" i="5"/>
  <c r="HF64" i="5"/>
  <c r="HF66" i="5" s="1"/>
  <c r="HF69" i="5" s="1"/>
  <c r="HF70" i="5" s="1"/>
  <c r="EZ71" i="4"/>
  <c r="FA71" i="4" s="1"/>
  <c r="HF77" i="5" l="1"/>
  <c r="HF76" i="5"/>
  <c r="HF11" i="4"/>
  <c r="HG68" i="5"/>
  <c r="HF95" i="4"/>
  <c r="HF103" i="4"/>
  <c r="HF105" i="4"/>
  <c r="FA72" i="4"/>
  <c r="FA65" i="2" s="1"/>
  <c r="C42" i="36" s="1"/>
  <c r="C56" i="36" s="1"/>
  <c r="C57" i="36" s="1"/>
  <c r="FD71" i="4"/>
  <c r="FB71" i="4"/>
  <c r="FB72" i="4" s="1"/>
  <c r="HF9" i="8" l="1"/>
  <c r="HG10" i="8" s="1"/>
  <c r="HG58" i="2" s="1"/>
  <c r="HG60" i="2" s="1"/>
  <c r="HF115" i="4"/>
  <c r="HF116" i="4" s="1"/>
  <c r="HF118" i="4" s="1"/>
  <c r="HF19" i="4"/>
  <c r="HF100" i="4"/>
  <c r="HF101" i="4" s="1"/>
  <c r="C58" i="36"/>
  <c r="C48" i="36" s="1"/>
  <c r="HF73" i="5"/>
  <c r="FD72" i="4"/>
  <c r="FD65" i="2" s="1"/>
  <c r="FE71" i="4"/>
  <c r="FA64" i="2"/>
  <c r="FA68" i="2"/>
  <c r="L68" i="37" s="1"/>
  <c r="FB65" i="2"/>
  <c r="HF92" i="4" l="1"/>
  <c r="HF93" i="4" s="1"/>
  <c r="HF31" i="4"/>
  <c r="HF65" i="4" s="1"/>
  <c r="HF107" i="4"/>
  <c r="HF104" i="4"/>
  <c r="HG80" i="2"/>
  <c r="HG61" i="2"/>
  <c r="HG62" i="2" s="1"/>
  <c r="FA67" i="2"/>
  <c r="FA96" i="4"/>
  <c r="B14" i="37" s="1"/>
  <c r="FE72" i="4"/>
  <c r="FE65" i="2" s="1"/>
  <c r="FF71" i="4"/>
  <c r="FA93" i="2"/>
  <c r="FB68" i="2"/>
  <c r="M68" i="37" s="1"/>
  <c r="FB64" i="2"/>
  <c r="FB67" i="2" s="1"/>
  <c r="AC23" i="7"/>
  <c r="AC24" i="7" s="1"/>
  <c r="FD68" i="2"/>
  <c r="I72" i="37" s="1"/>
  <c r="FD64" i="2"/>
  <c r="I73" i="37"/>
  <c r="HG92" i="2" l="1"/>
  <c r="HG82" i="2"/>
  <c r="HG9" i="5"/>
  <c r="FD96" i="4"/>
  <c r="FD67" i="2"/>
  <c r="FF72" i="4"/>
  <c r="FF65" i="2" s="1"/>
  <c r="FG71" i="4"/>
  <c r="FD93" i="2"/>
  <c r="AC16" i="7"/>
  <c r="AC17" i="7" s="1"/>
  <c r="FB93" i="2"/>
  <c r="FE64" i="2"/>
  <c r="FE68" i="2"/>
  <c r="J72" i="37" s="1"/>
  <c r="J73" i="37"/>
  <c r="HG36" i="5" l="1"/>
  <c r="HG56" i="4"/>
  <c r="HG58" i="4" s="1"/>
  <c r="FG72" i="4"/>
  <c r="FG65" i="2" s="1"/>
  <c r="FH65" i="2" s="1"/>
  <c r="FJ71" i="4"/>
  <c r="FH71" i="4"/>
  <c r="FH72" i="4" s="1"/>
  <c r="FE93" i="2"/>
  <c r="FF64" i="2"/>
  <c r="FF68" i="2"/>
  <c r="K72" i="37" s="1"/>
  <c r="FE96" i="4"/>
  <c r="FE67" i="2"/>
  <c r="K73" i="37"/>
  <c r="HG64" i="5" l="1"/>
  <c r="HG66" i="5" s="1"/>
  <c r="HG69" i="5" s="1"/>
  <c r="HG70" i="5" s="1"/>
  <c r="HG75" i="5"/>
  <c r="HG62" i="4"/>
  <c r="HG60" i="4"/>
  <c r="AE28" i="7"/>
  <c r="AE12" i="7"/>
  <c r="AE51" i="7"/>
  <c r="AE52" i="7" s="1"/>
  <c r="FF93" i="2"/>
  <c r="FF67" i="2"/>
  <c r="FF96" i="4"/>
  <c r="FK71" i="4"/>
  <c r="FJ72" i="4"/>
  <c r="FJ65" i="2" s="1"/>
  <c r="AE23" i="7"/>
  <c r="AE24" i="7" s="1"/>
  <c r="FH64" i="2"/>
  <c r="FH67" i="2" s="1"/>
  <c r="FH68" i="2"/>
  <c r="M72" i="37" s="1"/>
  <c r="FG68" i="2"/>
  <c r="L72" i="37" s="1"/>
  <c r="FG64" i="2"/>
  <c r="AF27" i="7"/>
  <c r="L73" i="37"/>
  <c r="M73" i="37"/>
  <c r="HG76" i="5" l="1"/>
  <c r="HG77" i="5"/>
  <c r="HG105" i="4"/>
  <c r="HG95" i="4"/>
  <c r="HG103" i="4"/>
  <c r="HG11" i="4"/>
  <c r="HG73" i="5" s="1"/>
  <c r="HH68" i="5"/>
  <c r="AE16" i="7"/>
  <c r="AE17" i="7" s="1"/>
  <c r="FH93" i="2"/>
  <c r="FK72" i="4"/>
  <c r="FK65" i="2" s="1"/>
  <c r="FL71" i="4"/>
  <c r="AF28" i="7"/>
  <c r="AF51" i="7"/>
  <c r="AF52" i="7" s="1"/>
  <c r="AF12" i="7"/>
  <c r="FG96" i="4"/>
  <c r="FG67" i="2"/>
  <c r="FG93" i="2"/>
  <c r="FJ64" i="2"/>
  <c r="FJ68" i="2"/>
  <c r="AE22" i="7"/>
  <c r="AE29" i="7"/>
  <c r="FJ93" i="2" l="1"/>
  <c r="I76" i="37"/>
  <c r="HG115" i="4"/>
  <c r="HG116" i="4" s="1"/>
  <c r="HG118" i="4" s="1"/>
  <c r="HG19" i="4"/>
  <c r="HG9" i="8"/>
  <c r="HH10" i="8" s="1"/>
  <c r="HH58" i="2" s="1"/>
  <c r="HH60" i="2" s="1"/>
  <c r="HG100" i="4"/>
  <c r="HG101" i="4" s="1"/>
  <c r="FK68" i="2"/>
  <c r="FK64" i="2"/>
  <c r="AF22" i="7"/>
  <c r="AF29" i="7"/>
  <c r="AE13" i="7"/>
  <c r="AE31" i="7"/>
  <c r="AE33" i="7" s="1"/>
  <c r="FJ67" i="2"/>
  <c r="FJ96" i="4"/>
  <c r="FL72" i="4"/>
  <c r="FL65" i="2" s="1"/>
  <c r="FM71" i="4"/>
  <c r="I77" i="37"/>
  <c r="FK93" i="2" l="1"/>
  <c r="J76" i="37"/>
  <c r="HG104" i="4"/>
  <c r="HG107" i="4"/>
  <c r="HH61" i="2"/>
  <c r="HH62" i="2" s="1"/>
  <c r="HH80" i="2"/>
  <c r="HG92" i="4"/>
  <c r="HG93" i="4" s="1"/>
  <c r="HG31" i="4"/>
  <c r="HG65" i="4" s="1"/>
  <c r="FM72" i="4"/>
  <c r="FM65" i="2" s="1"/>
  <c r="FP71" i="4"/>
  <c r="FN71" i="4"/>
  <c r="FN72" i="4" s="1"/>
  <c r="FL64" i="2"/>
  <c r="FL68" i="2"/>
  <c r="FK67" i="2"/>
  <c r="FK96" i="4"/>
  <c r="AF31" i="7"/>
  <c r="AF33" i="7" s="1"/>
  <c r="AF13" i="7"/>
  <c r="J77" i="37"/>
  <c r="FL93" i="2" l="1"/>
  <c r="K76" i="37"/>
  <c r="HH9" i="5"/>
  <c r="HH92" i="2"/>
  <c r="HH82" i="2"/>
  <c r="FL96" i="4"/>
  <c r="FL67" i="2"/>
  <c r="FP72" i="4"/>
  <c r="FP65" i="2" s="1"/>
  <c r="FQ71" i="4"/>
  <c r="FM68" i="2"/>
  <c r="FM64" i="2"/>
  <c r="FN65" i="2"/>
  <c r="K77" i="37"/>
  <c r="FM93" i="2" l="1"/>
  <c r="L76" i="37"/>
  <c r="HH36" i="5"/>
  <c r="HH56" i="4"/>
  <c r="HH58" i="4" s="1"/>
  <c r="FQ72" i="4"/>
  <c r="FQ65" i="2" s="1"/>
  <c r="FR71" i="4"/>
  <c r="AF23" i="7"/>
  <c r="AF24" i="7" s="1"/>
  <c r="FN68" i="2"/>
  <c r="M76" i="37" s="1"/>
  <c r="FN64" i="2"/>
  <c r="FN67" i="2" s="1"/>
  <c r="FP64" i="2"/>
  <c r="FP68" i="2"/>
  <c r="FP93" i="2" s="1"/>
  <c r="FM96" i="4"/>
  <c r="FM67" i="2"/>
  <c r="L77" i="37"/>
  <c r="M77" i="37"/>
  <c r="HH62" i="4" l="1"/>
  <c r="HH60" i="4"/>
  <c r="HH75" i="5"/>
  <c r="HH64" i="5"/>
  <c r="HH66" i="5" s="1"/>
  <c r="HH69" i="5" s="1"/>
  <c r="HH70" i="5" s="1"/>
  <c r="FN93" i="2"/>
  <c r="AF16" i="7"/>
  <c r="AF17" i="7" s="1"/>
  <c r="FP67" i="2"/>
  <c r="FP96" i="4"/>
  <c r="FS71" i="4"/>
  <c r="FR72" i="4"/>
  <c r="FR65" i="2" s="1"/>
  <c r="FQ68" i="2"/>
  <c r="FQ93" i="2" s="1"/>
  <c r="FQ64" i="2"/>
  <c r="HH103" i="4" l="1"/>
  <c r="HH95" i="4"/>
  <c r="HH105" i="4"/>
  <c r="HH77" i="5"/>
  <c r="HH76" i="5"/>
  <c r="HH11" i="4"/>
  <c r="HH73" i="5" s="1"/>
  <c r="HI68" i="5"/>
  <c r="FR64" i="2"/>
  <c r="FR68" i="2"/>
  <c r="FR93" i="2" s="1"/>
  <c r="FS72" i="4"/>
  <c r="FS65" i="2" s="1"/>
  <c r="FT71" i="4"/>
  <c r="FT72" i="4" s="1"/>
  <c r="FV71" i="4"/>
  <c r="FQ96" i="4"/>
  <c r="FQ67" i="2"/>
  <c r="HH19" i="4" l="1"/>
  <c r="HH9" i="8"/>
  <c r="HI10" i="8" s="1"/>
  <c r="HI58" i="2" s="1"/>
  <c r="HH115" i="4"/>
  <c r="HH116" i="4" s="1"/>
  <c r="HH118" i="4" s="1"/>
  <c r="HH100" i="4"/>
  <c r="HH101" i="4" s="1"/>
  <c r="FS64" i="2"/>
  <c r="FS68" i="2"/>
  <c r="FS93" i="2" s="1"/>
  <c r="FT65" i="2"/>
  <c r="FV72" i="4"/>
  <c r="FV65" i="2" s="1"/>
  <c r="FW71" i="4"/>
  <c r="FR96" i="4"/>
  <c r="FR67" i="2"/>
  <c r="HJ58" i="2" l="1"/>
  <c r="HJ60" i="2" s="1"/>
  <c r="HJ80" i="2" s="1"/>
  <c r="HI60" i="2"/>
  <c r="HH107" i="4"/>
  <c r="HH104" i="4"/>
  <c r="HH31" i="4"/>
  <c r="HH65" i="4" s="1"/>
  <c r="HH92" i="4"/>
  <c r="HH93" i="4" s="1"/>
  <c r="FV64" i="2"/>
  <c r="FV68" i="2"/>
  <c r="FV93" i="2" s="1"/>
  <c r="FT64" i="2"/>
  <c r="FT67" i="2" s="1"/>
  <c r="FT68" i="2"/>
  <c r="FW72" i="4"/>
  <c r="FW65" i="2" s="1"/>
  <c r="FX71" i="4"/>
  <c r="FS96" i="4"/>
  <c r="FS67" i="2"/>
  <c r="FT93" i="2" l="1"/>
  <c r="M80" i="37"/>
  <c r="HI80" i="2"/>
  <c r="HI61" i="2"/>
  <c r="HJ61" i="2" s="1"/>
  <c r="HJ62" i="2" s="1"/>
  <c r="FX72" i="4"/>
  <c r="FX65" i="2" s="1"/>
  <c r="FY71" i="4"/>
  <c r="FW68" i="2"/>
  <c r="FW93" i="2" s="1"/>
  <c r="FW64" i="2"/>
  <c r="FV67" i="2"/>
  <c r="FV96" i="4"/>
  <c r="M81" i="37"/>
  <c r="HI62" i="2" l="1"/>
  <c r="HI92" i="2" s="1"/>
  <c r="HJ92" i="2"/>
  <c r="HJ82" i="2"/>
  <c r="FW96" i="4"/>
  <c r="FW67" i="2"/>
  <c r="FY72" i="4"/>
  <c r="FY65" i="2" s="1"/>
  <c r="GB71" i="4"/>
  <c r="FZ71" i="4"/>
  <c r="FZ72" i="4" s="1"/>
  <c r="FX68" i="2"/>
  <c r="FX93" i="2" s="1"/>
  <c r="FX64" i="2"/>
  <c r="HI82" i="2" l="1"/>
  <c r="HI9" i="5"/>
  <c r="HI56" i="4" s="1"/>
  <c r="GC71" i="4"/>
  <c r="GB72" i="4"/>
  <c r="GB65" i="2" s="1"/>
  <c r="FX96" i="4"/>
  <c r="FX67" i="2"/>
  <c r="FY68" i="2"/>
  <c r="FY93" i="2" s="1"/>
  <c r="FY64" i="2"/>
  <c r="FZ65" i="2"/>
  <c r="HI36" i="5" l="1"/>
  <c r="HI64" i="5" s="1"/>
  <c r="HI66" i="5" s="1"/>
  <c r="HI69" i="5" s="1"/>
  <c r="HI70" i="5" s="1"/>
  <c r="HI11" i="4" s="1"/>
  <c r="HI73" i="5" s="1"/>
  <c r="HJ9" i="5"/>
  <c r="HJ36" i="5" s="1"/>
  <c r="HJ64" i="5" s="1"/>
  <c r="HJ66" i="5" s="1"/>
  <c r="HJ69" i="5" s="1"/>
  <c r="HJ70" i="5" s="1"/>
  <c r="HI58" i="4"/>
  <c r="HJ56" i="4"/>
  <c r="HJ58" i="4" s="1"/>
  <c r="HJ60" i="4" s="1"/>
  <c r="FZ64" i="2"/>
  <c r="FZ67" i="2" s="1"/>
  <c r="FZ68" i="2"/>
  <c r="FZ93" i="2" s="1"/>
  <c r="GB64" i="2"/>
  <c r="GB68" i="2"/>
  <c r="GB93" i="2" s="1"/>
  <c r="FY96" i="4"/>
  <c r="FY67" i="2"/>
  <c r="GC72" i="4"/>
  <c r="GC65" i="2" s="1"/>
  <c r="GD71" i="4"/>
  <c r="HI75" i="5" l="1"/>
  <c r="HI76" i="5" s="1"/>
  <c r="HJ75" i="5"/>
  <c r="HJ77" i="5" s="1"/>
  <c r="HI115" i="4"/>
  <c r="HI116" i="4" s="1"/>
  <c r="HI118" i="4" s="1"/>
  <c r="HI100" i="4"/>
  <c r="HI101" i="4" s="1"/>
  <c r="HI107" i="4" s="1"/>
  <c r="HI9" i="8"/>
  <c r="HJ11" i="4"/>
  <c r="HJ19" i="4" s="1"/>
  <c r="HI19" i="4"/>
  <c r="HI92" i="4" s="1"/>
  <c r="HI93" i="4" s="1"/>
  <c r="HI60" i="4"/>
  <c r="HI62" i="4"/>
  <c r="HJ62" i="4" s="1"/>
  <c r="GC68" i="2"/>
  <c r="GC93" i="2" s="1"/>
  <c r="GC64" i="2"/>
  <c r="GB96" i="4"/>
  <c r="GB67" i="2"/>
  <c r="GD72" i="4"/>
  <c r="GD65" i="2" s="1"/>
  <c r="GE71" i="4"/>
  <c r="HI77" i="5" l="1"/>
  <c r="HJ76" i="5"/>
  <c r="HI31" i="4"/>
  <c r="HJ31" i="4" s="1"/>
  <c r="HJ65" i="4" s="1"/>
  <c r="HJ73" i="5"/>
  <c r="HI105" i="4"/>
  <c r="HI95" i="4"/>
  <c r="HI103" i="4"/>
  <c r="HI104" i="4"/>
  <c r="GH71" i="4"/>
  <c r="GE72" i="4"/>
  <c r="GE65" i="2" s="1"/>
  <c r="GF71" i="4"/>
  <c r="GF72" i="4" s="1"/>
  <c r="GD68" i="2"/>
  <c r="GD93" i="2" s="1"/>
  <c r="GD64" i="2"/>
  <c r="GC67" i="2"/>
  <c r="GC96" i="4"/>
  <c r="HI65" i="4" l="1"/>
  <c r="GE64" i="2"/>
  <c r="GE68" i="2"/>
  <c r="GE93" i="2" s="1"/>
  <c r="GF65" i="2"/>
  <c r="GD67" i="2"/>
  <c r="GD96" i="4"/>
  <c r="GH72" i="4"/>
  <c r="GH65" i="2" s="1"/>
  <c r="GI71" i="4"/>
  <c r="GI72" i="4" l="1"/>
  <c r="GI65" i="2" s="1"/>
  <c r="GJ71" i="4"/>
  <c r="GF64" i="2"/>
  <c r="GF67" i="2" s="1"/>
  <c r="GF68" i="2"/>
  <c r="GF93" i="2" s="1"/>
  <c r="GH64" i="2"/>
  <c r="GH68" i="2"/>
  <c r="GH93" i="2" s="1"/>
  <c r="GE96" i="4"/>
  <c r="GE67" i="2"/>
  <c r="GH67" i="2" l="1"/>
  <c r="GH96" i="4"/>
  <c r="GJ72" i="4"/>
  <c r="GJ65" i="2" s="1"/>
  <c r="GK71" i="4"/>
  <c r="GI64" i="2"/>
  <c r="GI68" i="2"/>
  <c r="GI93" i="2" s="1"/>
  <c r="GJ64" i="2" l="1"/>
  <c r="GJ68" i="2"/>
  <c r="GJ93" i="2" s="1"/>
  <c r="GI96" i="4"/>
  <c r="GI67" i="2"/>
  <c r="GK72" i="4"/>
  <c r="GK65" i="2" s="1"/>
  <c r="GL65" i="2" s="1"/>
  <c r="GL71" i="4"/>
  <c r="GL72" i="4" s="1"/>
  <c r="GN71" i="4"/>
  <c r="GL68" i="2" l="1"/>
  <c r="GL93" i="2" s="1"/>
  <c r="GL64" i="2"/>
  <c r="GL67" i="2" s="1"/>
  <c r="GN72" i="4"/>
  <c r="GN65" i="2" s="1"/>
  <c r="GO71" i="4"/>
  <c r="GK64" i="2"/>
  <c r="GK68" i="2"/>
  <c r="GK93" i="2" s="1"/>
  <c r="GJ67" i="2"/>
  <c r="GJ96" i="4"/>
  <c r="GO72" i="4" l="1"/>
  <c r="GO65" i="2" s="1"/>
  <c r="GP71" i="4"/>
  <c r="GN64" i="2"/>
  <c r="GN68" i="2"/>
  <c r="GN93" i="2" s="1"/>
  <c r="GK96" i="4"/>
  <c r="GK67" i="2"/>
  <c r="GO68" i="2" l="1"/>
  <c r="GO93" i="2" s="1"/>
  <c r="GO64" i="2"/>
  <c r="GN67" i="2"/>
  <c r="GN96" i="4"/>
  <c r="GP72" i="4"/>
  <c r="GP65" i="2" s="1"/>
  <c r="GQ71" i="4"/>
  <c r="GQ72" i="4" l="1"/>
  <c r="GQ65" i="2" s="1"/>
  <c r="GT71" i="4"/>
  <c r="GR71" i="4"/>
  <c r="GR72" i="4" s="1"/>
  <c r="GP68" i="2"/>
  <c r="GP93" i="2" s="1"/>
  <c r="GP64" i="2"/>
  <c r="GO96" i="4"/>
  <c r="GO67" i="2"/>
  <c r="GP96" i="4" l="1"/>
  <c r="GP67" i="2"/>
  <c r="GT72" i="4"/>
  <c r="GT65" i="2" s="1"/>
  <c r="GU71" i="4"/>
  <c r="GQ64" i="2"/>
  <c r="GQ68" i="2"/>
  <c r="GQ93" i="2" s="1"/>
  <c r="GR65" i="2"/>
  <c r="GQ96" i="4" l="1"/>
  <c r="GQ67" i="2"/>
  <c r="GU72" i="4"/>
  <c r="GU65" i="2" s="1"/>
  <c r="GV71" i="4"/>
  <c r="GR68" i="2"/>
  <c r="GR93" i="2" s="1"/>
  <c r="GR64" i="2"/>
  <c r="GR67" i="2" s="1"/>
  <c r="GT64" i="2"/>
  <c r="GT68" i="2"/>
  <c r="GT93" i="2" s="1"/>
  <c r="GT96" i="4" l="1"/>
  <c r="GT67" i="2"/>
  <c r="GV72" i="4"/>
  <c r="GV65" i="2" s="1"/>
  <c r="GW71" i="4"/>
  <c r="GU68" i="2"/>
  <c r="GU93" i="2" s="1"/>
  <c r="GU64" i="2"/>
  <c r="GZ71" i="4" l="1"/>
  <c r="GX71" i="4"/>
  <c r="GX72" i="4" s="1"/>
  <c r="GW72" i="4"/>
  <c r="GW65" i="2" s="1"/>
  <c r="GV64" i="2"/>
  <c r="GV68" i="2"/>
  <c r="GV93" i="2" s="1"/>
  <c r="GU67" i="2"/>
  <c r="GU96" i="4"/>
  <c r="GV96" i="4" l="1"/>
  <c r="GV67" i="2"/>
  <c r="GW64" i="2"/>
  <c r="GW68" i="2"/>
  <c r="GW93" i="2" s="1"/>
  <c r="GX65" i="2"/>
  <c r="GZ72" i="4"/>
  <c r="GZ65" i="2" s="1"/>
  <c r="HA71" i="4"/>
  <c r="HA72" i="4" l="1"/>
  <c r="HA65" i="2" s="1"/>
  <c r="HB71" i="4"/>
  <c r="GW96" i="4"/>
  <c r="GW67" i="2"/>
  <c r="GZ64" i="2"/>
  <c r="GZ68" i="2"/>
  <c r="GX64" i="2"/>
  <c r="GX67" i="2" s="1"/>
  <c r="GX68" i="2"/>
  <c r="GX93" i="2" s="1"/>
  <c r="GZ93" i="2" l="1"/>
  <c r="HB72" i="4"/>
  <c r="HB65" i="2" s="1"/>
  <c r="HC71" i="4"/>
  <c r="HF71" i="4" s="1"/>
  <c r="GZ96" i="4"/>
  <c r="GZ67" i="2"/>
  <c r="HA68" i="2"/>
  <c r="HA64" i="2"/>
  <c r="HG71" i="4" l="1"/>
  <c r="HF72" i="4"/>
  <c r="HF65" i="2" s="1"/>
  <c r="HA93" i="2"/>
  <c r="HA67" i="2"/>
  <c r="HA96" i="4"/>
  <c r="HC72" i="4"/>
  <c r="HC65" i="2" s="1"/>
  <c r="HD65" i="2" s="1"/>
  <c r="HD71" i="4"/>
  <c r="HD72" i="4" s="1"/>
  <c r="HB68" i="2"/>
  <c r="HB64" i="2"/>
  <c r="HF64" i="2" l="1"/>
  <c r="HF68" i="2"/>
  <c r="HF93" i="2" s="1"/>
  <c r="HH71" i="4"/>
  <c r="HG72" i="4"/>
  <c r="HG65" i="2" s="1"/>
  <c r="HB93" i="2"/>
  <c r="HD64" i="2"/>
  <c r="HD67" i="2" s="1"/>
  <c r="HD68" i="2"/>
  <c r="HC68" i="2"/>
  <c r="HC64" i="2"/>
  <c r="HB96" i="4"/>
  <c r="HB67" i="2"/>
  <c r="HI71" i="4" l="1"/>
  <c r="HH72" i="4"/>
  <c r="HH65" i="2" s="1"/>
  <c r="HG64" i="2"/>
  <c r="HG68" i="2"/>
  <c r="HG93" i="2" s="1"/>
  <c r="HF67" i="2"/>
  <c r="HF96" i="4"/>
  <c r="HD93" i="2"/>
  <c r="HC93" i="2"/>
  <c r="HC96" i="4"/>
  <c r="HC67" i="2"/>
  <c r="HG67" i="2" l="1"/>
  <c r="HG96" i="4"/>
  <c r="HH64" i="2"/>
  <c r="HH68" i="2"/>
  <c r="HH93" i="2" s="1"/>
  <c r="HJ71" i="4"/>
  <c r="HJ72" i="4" s="1"/>
  <c r="HI72" i="4"/>
  <c r="HI65" i="2" s="1"/>
  <c r="FK45" i="34"/>
  <c r="FE56" i="34"/>
  <c r="FE57" i="34" s="1"/>
  <c r="FK53" i="34"/>
  <c r="FE35" i="34"/>
  <c r="FL53" i="34"/>
  <c r="FL45" i="34"/>
  <c r="FF57" i="34"/>
  <c r="FF35" i="34"/>
  <c r="FH33" i="34"/>
  <c r="FJ45" i="34"/>
  <c r="FJ53" i="34"/>
  <c r="FD56" i="34"/>
  <c r="FJ57" i="34" s="1"/>
  <c r="FD35" i="34"/>
  <c r="FG56" i="34"/>
  <c r="FM57" i="34" s="1"/>
  <c r="FM53" i="34"/>
  <c r="FM45" i="34"/>
  <c r="FG35" i="34"/>
  <c r="HI64" i="2" l="1"/>
  <c r="HI68" i="2"/>
  <c r="HI93" i="2" s="1"/>
  <c r="HH67" i="2"/>
  <c r="HH96" i="4"/>
  <c r="HJ65" i="2"/>
  <c r="FH35" i="34"/>
  <c r="FN34" i="34"/>
  <c r="FD58" i="34"/>
  <c r="FG58" i="34"/>
  <c r="FF58" i="34"/>
  <c r="FN45" i="34"/>
  <c r="FK57" i="34"/>
  <c r="FG57" i="34"/>
  <c r="FL57" i="34"/>
  <c r="FH56" i="34"/>
  <c r="FD57" i="34"/>
  <c r="FE58" i="34"/>
  <c r="FH34" i="34"/>
  <c r="FN53" i="34"/>
  <c r="HJ64" i="2" l="1"/>
  <c r="HJ67" i="2" s="1"/>
  <c r="HJ68" i="2"/>
  <c r="HJ93" i="2" s="1"/>
  <c r="HI67" i="2"/>
  <c r="HI96" i="4"/>
  <c r="FH57" i="34"/>
  <c r="FN57" i="34"/>
  <c r="FH58" i="34"/>
  <c r="E22" i="36" l="1" a="1"/>
  <c r="E22" i="36" s="1"/>
  <c r="E14" i="36" a="1"/>
  <c r="E14" i="36" s="1"/>
  <c r="E24" i="36" a="1"/>
  <c r="E24" i="36" s="1"/>
  <c r="F8" i="36" a="1"/>
  <c r="F8" i="36" s="1"/>
  <c r="F22" i="36" l="1" a="1"/>
  <c r="F22" i="36" s="1"/>
  <c r="F23" i="36" s="1"/>
  <c r="E18" i="36"/>
  <c r="E19" i="36" s="1"/>
  <c r="E11" i="36"/>
  <c r="E27" i="36" l="1"/>
  <c r="E29" i="36" s="1"/>
  <c r="F14" i="36" a="1"/>
  <c r="F14" i="36" s="1"/>
  <c r="F15" i="36" s="1"/>
  <c r="F24" i="36" a="1"/>
  <c r="F24" i="36" s="1"/>
  <c r="F25" i="36" s="1"/>
  <c r="G8" i="36" a="1"/>
  <c r="G8" i="36" s="1"/>
  <c r="G14" i="36" s="1" a="1"/>
  <c r="G14" i="36" s="1"/>
  <c r="G15" i="36" s="1"/>
  <c r="G9" i="36" l="1"/>
  <c r="F18" i="36"/>
  <c r="F19" i="36" s="1"/>
  <c r="F11" i="36"/>
  <c r="F12" i="36" s="1"/>
  <c r="G18" i="36"/>
  <c r="G19" i="36" s="1"/>
  <c r="H8" i="36" a="1"/>
  <c r="H8" i="36" s="1"/>
  <c r="H9" i="36" s="1"/>
  <c r="G22" i="36" a="1"/>
  <c r="G22" i="36" s="1"/>
  <c r="G24" i="36" a="1"/>
  <c r="G24" i="36" s="1"/>
  <c r="G25" i="36" s="1"/>
  <c r="G11" i="36" l="1"/>
  <c r="G12" i="36" s="1"/>
  <c r="G23" i="36"/>
  <c r="G27" i="36"/>
  <c r="G29" i="36" s="1"/>
  <c r="G20" i="36"/>
  <c r="F27" i="36"/>
  <c r="F29" i="36" s="1"/>
  <c r="F20" i="36"/>
  <c r="H14" i="36" a="1"/>
  <c r="H14" i="36" s="1"/>
  <c r="H15" i="36" s="1"/>
  <c r="H22" i="36" a="1"/>
  <c r="H22" i="36" s="1"/>
  <c r="H23" i="36" s="1"/>
  <c r="I8" i="36" a="1"/>
  <c r="I8" i="36" s="1"/>
  <c r="I9" i="36" s="1"/>
  <c r="H24" i="36" a="1"/>
  <c r="H24" i="36" s="1"/>
  <c r="H25" i="36" s="1"/>
  <c r="I24" i="36" l="1" a="1"/>
  <c r="I24" i="36" s="1"/>
  <c r="I25" i="36" s="1"/>
  <c r="I14" i="36" a="1"/>
  <c r="I14" i="36" s="1"/>
  <c r="I15" i="36" s="1"/>
  <c r="I22" i="36" a="1"/>
  <c r="I22" i="36" s="1"/>
  <c r="I23" i="36" s="1"/>
  <c r="J8" i="36" a="1"/>
  <c r="J8" i="36" s="1"/>
  <c r="J9" i="36" s="1"/>
  <c r="H18" i="36"/>
  <c r="H19" i="36" s="1"/>
  <c r="H11" i="36"/>
  <c r="H12" i="36" s="1"/>
  <c r="J24" i="36" l="1" a="1"/>
  <c r="J24" i="36" s="1"/>
  <c r="J25" i="36" s="1"/>
  <c r="J14" i="36" a="1"/>
  <c r="J14" i="36" s="1"/>
  <c r="J15" i="36" s="1"/>
  <c r="K8" i="36" a="1"/>
  <c r="K8" i="36" s="1"/>
  <c r="K9" i="36" s="1"/>
  <c r="J22" i="36" a="1"/>
  <c r="J22" i="36" s="1"/>
  <c r="J23" i="36" s="1"/>
  <c r="H27" i="36"/>
  <c r="H29" i="36" s="1"/>
  <c r="H20" i="36"/>
  <c r="I11" i="36"/>
  <c r="I12" i="36" s="1"/>
  <c r="I18" i="36"/>
  <c r="I19" i="36" s="1"/>
  <c r="K22" i="36" l="1" a="1"/>
  <c r="K22" i="36" s="1"/>
  <c r="K23" i="36" s="1"/>
  <c r="L8" i="36" a="1"/>
  <c r="L8" i="36" s="1"/>
  <c r="L9" i="36" s="1"/>
  <c r="K24" i="36" a="1"/>
  <c r="K24" i="36" s="1"/>
  <c r="K25" i="36" s="1"/>
  <c r="K14" i="36" a="1"/>
  <c r="K14" i="36" s="1"/>
  <c r="K15" i="36" s="1"/>
  <c r="J11" i="36"/>
  <c r="J12" i="36" s="1"/>
  <c r="J18" i="36"/>
  <c r="J19" i="36" s="1"/>
  <c r="I27" i="36"/>
  <c r="I29" i="36" s="1"/>
  <c r="I20" i="36"/>
  <c r="J27" i="36" l="1"/>
  <c r="J29" i="36" s="1"/>
  <c r="J20" i="36"/>
  <c r="K11" i="36"/>
  <c r="K12" i="36" s="1"/>
  <c r="K18" i="36"/>
  <c r="K19" i="36" s="1"/>
  <c r="L22" i="36" a="1"/>
  <c r="L22" i="36" s="1"/>
  <c r="L23" i="36" s="1"/>
  <c r="M8" i="36" a="1"/>
  <c r="M8" i="36" s="1"/>
  <c r="M9" i="36" s="1"/>
  <c r="L24" i="36" a="1"/>
  <c r="L24" i="36" s="1"/>
  <c r="L25" i="36" s="1"/>
  <c r="L14" i="36" a="1"/>
  <c r="L14" i="36" s="1"/>
  <c r="L15" i="36" s="1"/>
  <c r="M22" i="36" l="1" a="1"/>
  <c r="M22" i="36" s="1"/>
  <c r="M23" i="36" s="1"/>
  <c r="M14" i="36" a="1"/>
  <c r="M14" i="36" s="1"/>
  <c r="M15" i="36" s="1"/>
  <c r="M24" i="36" a="1"/>
  <c r="M24" i="36" s="1"/>
  <c r="M25" i="36" s="1"/>
  <c r="N8" i="36" a="1"/>
  <c r="N8" i="36" s="1"/>
  <c r="N9" i="36" s="1"/>
  <c r="K27" i="36"/>
  <c r="K29" i="36" s="1"/>
  <c r="K20" i="36"/>
  <c r="L11" i="36"/>
  <c r="L12" i="36" s="1"/>
  <c r="L18" i="36"/>
  <c r="L19" i="36" s="1"/>
  <c r="L27" i="36" l="1"/>
  <c r="L29" i="36" s="1"/>
  <c r="L20" i="36"/>
  <c r="N14" i="36" a="1"/>
  <c r="N14" i="36" s="1"/>
  <c r="N15" i="36" s="1"/>
  <c r="N22" i="36" a="1"/>
  <c r="N22" i="36" s="1"/>
  <c r="N23" i="36" s="1"/>
  <c r="N24" i="36" a="1"/>
  <c r="N24" i="36" s="1"/>
  <c r="N25" i="36" s="1"/>
  <c r="M18" i="36"/>
  <c r="M19" i="36" s="1"/>
  <c r="M11" i="36"/>
  <c r="M12" i="36" s="1"/>
  <c r="M20" i="36" l="1"/>
  <c r="M27" i="36"/>
  <c r="M29" i="36" s="1"/>
  <c r="N11" i="36"/>
  <c r="N12" i="36" s="1"/>
  <c r="N18" i="36"/>
  <c r="N19" i="36" s="1"/>
  <c r="N20" i="36" l="1"/>
  <c r="N27" i="36"/>
  <c r="N30" i="36" l="1"/>
  <c r="N29" i="36"/>
  <c r="C35" i="36" s="1"/>
  <c r="N32" i="36" l="1"/>
  <c r="C36" i="36"/>
  <c r="C37" i="36" s="1"/>
  <c r="N31" i="36"/>
  <c r="C41" i="36" l="1"/>
  <c r="C43" i="36" s="1"/>
  <c r="C45" i="36" s="1"/>
  <c r="C64" i="36"/>
  <c r="C67" i="36"/>
  <c r="C68" i="36"/>
  <c r="C63" i="36"/>
  <c r="C66" i="36"/>
  <c r="E8" i="36" a="1"/>
  <c r="E8" i="36" s="1"/>
  <c r="C65" i="36" l="1"/>
  <c r="E15" i="36"/>
  <c r="E12" i="36"/>
  <c r="E23" i="36"/>
  <c r="F9" i="36"/>
  <c r="E9" i="36"/>
  <c r="E20" i="36"/>
  <c r="E25"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Jack Melick</author>
  </authors>
  <commentList>
    <comment ref="A1" authorId="0" shapeId="0" xr:uid="{B27D5D28-D9B0-4B17-ADFB-DB6EE49D4457}">
      <text>
        <r>
          <rPr>
            <b/>
            <sz val="9"/>
            <color indexed="81"/>
            <rFont val="Tahoma"/>
            <charset val="1"/>
          </rPr>
          <t>&lt;?xml version="1.0" encoding="utf-8"?&gt;&lt;Schema xmlns:xsi="http://www.w3.org/2001/XMLSchema-instance" xmlns:xsd="http://www.w3.org/2001/XMLSchema" Version="2" Timestamp="1771360684"&gt;&lt;FQL&gt;&lt;Q&gt;EXAS^FE_ESTIMATE(EPS,MEAN,CALA,2018,0,,,'')&lt;/Q&gt;&lt;R&gt;1&lt;/R&gt;&lt;C&gt;1&lt;/C&gt;&lt;D xsi:type="xsd:double"&gt;-0.995&lt;/D&gt;&lt;/FQL&gt;&lt;FQL&gt;&lt;Q&gt;EXAS^FE_ESTIMATE(EPS,MEAN,CALA,2019,0,,,'')&lt;/Q&gt;&lt;R&gt;1&lt;/R&gt;&lt;C&gt;1&lt;/C&gt;&lt;D xsi:type="xsd:double"&gt;-0.2309091&lt;/D&gt;&lt;/FQL&gt;&lt;FQL&gt;&lt;Q&gt;NAUT^FE_ESTIMATE(EPS,MEAN,ANN_ROLL,2024,NOW,,,'')&lt;/Q&gt;&lt;R&gt;1&lt;/R&gt;&lt;C&gt;1&lt;/C&gt;&lt;D xsi:type="xsd:double"&gt;-0.91&lt;/D&gt;&lt;/FQL&gt;&lt;FQL&gt;&lt;Q&gt;NAUT^FE_ESTIMATE(EPS,MEAN,ANN_ROLL,2023,NOW,,,'')&lt;/Q&gt;&lt;R&gt;1&lt;/R&gt;&lt;C&gt;1&lt;/C&gt;&lt;D xsi:type="xsd:double"&gt;-0.8375&lt;/D&gt;&lt;/FQL&gt;&lt;FQL&gt;&lt;Q&gt;NAUT^FE_ESTIMATE(EPS,MEAN,ANN_ROLL,2022,NOW,,,'')&lt;/Q&gt;&lt;R&gt;1&lt;/R&gt;&lt;C&gt;1&lt;/C&gt;&lt;D xsi:type="xsd:double"&gt;-0.5375&lt;/D&gt;&lt;/FQL&gt;&lt;FQL&gt;&lt;Q&gt;LAB^FE_ESTIMATE(EPS,MEAN,ANN_ROLL,2025,NOW,,,'')&lt;/Q&gt;&lt;R&gt;1&lt;/R&gt;&lt;C&gt;1&lt;/C&gt;&lt;D xsi:type="xsd:double"&gt;-0.27&lt;/D&gt;&lt;/FQL&gt;&lt;FQL&gt;&lt;Q&gt;LAB^FE_ESTIMATE(EPS,MEAN,ANN_ROLL,2024,NOW,,,'')&lt;/Q&gt;&lt;R&gt;1&lt;/R&gt;&lt;C&gt;1&lt;/C&gt;&lt;D xsi:type="xsd:double"&gt;-0.57&lt;/D&gt;&lt;/FQL&gt;&lt;FQL&gt;&lt;Q&gt;LAB^FE_ESTIMATE(EPS,MEAN,ANN_ROLL,2023,NOW,,,'')&lt;/Q&gt;&lt;R&gt;1&lt;/R&gt;&lt;C&gt;1&lt;/C&gt;&lt;D xsi:type="xsd:double"&gt;-0.89&lt;/D&gt;&lt;/FQL&gt;&lt;FQL&gt;&lt;Q&gt;NEO^FG_PRICE(NOW)&lt;/Q&gt;&lt;R&gt;1&lt;/R&gt;&lt;C&gt;1&lt;/C&gt;&lt;D xsi:type="xsd:double"&gt;11.35&lt;/D&gt;&lt;/FQL&gt;&lt;FQL&gt;&lt;Q&gt;CMTUS10Y-FDS^FG_YIELD(0,0,,,"YTM")&lt;/Q&gt;&lt;R&gt;1&lt;/R&gt;&lt;C&gt;1&lt;/C&gt;&lt;D xsi:type="xsd:double"&gt;4.04&lt;/D&gt;&lt;/FQL&gt;&lt;FQL&gt;&lt;Q&gt;NEO^P_BETA_LOCIDX(-10AY,0,,"SP50")&lt;/Q&gt;&lt;R&gt;1&lt;/R&gt;&lt;C&gt;1&lt;/C&gt;&lt;D xsi:type="xsd:double"&gt;1.2803603&lt;/D&gt;&lt;/FQL&gt;&lt;FQL&gt;&lt;Q&gt;TK^FE_ESTIMATE(EPS,MEAN,ANN_ROLL,2025,NOW,,,'')&lt;/Q&gt;&lt;R&gt;0&lt;/R&gt;&lt;C&gt;0&lt;/C&gt;&lt;/FQL&gt;&lt;FQL&gt;&lt;Q&gt;TK^FE_ESTIMATE(EPS,MEAN,ANN_ROLL,2024,NOW,,,'')&lt;/Q&gt;&lt;R&gt;0&lt;/R&gt;&lt;C&gt;0&lt;/C&gt;&lt;/FQL&gt;&lt;FQL&gt;&lt;Q&gt;TK^FE_ESTIMATE(EPS,MEAN,ANN_ROLL,2023,NOW,,,'')&lt;/Q&gt;&lt;R&gt;0&lt;/R&gt;&lt;C&gt;0&lt;/C&gt;&lt;/FQL&gt;&lt;FQL&gt;&lt;Q&gt;NEO^FE_ESTIMATE(EPS,MEAN,ANN_ROLL,2028,NOW,,,'')&lt;/Q&gt;&lt;R&gt;1&lt;/R&gt;&lt;C&gt;1&lt;/C&gt;&lt;D xsi:type="xsd:double"&gt;0.45&lt;/D&gt;&lt;/FQL&gt;&lt;FQL&gt;&lt;Q&gt;NEO^FE_ESTIMATE(EBITDA,MEAN,ANN_ROLL,2025,NOW,,,'')&lt;/Q&gt;&lt;R&gt;1&lt;/R&gt;&lt;C&gt;1&lt;/C&gt;&lt;D xsi:type="xsd:double"&gt;43.357&lt;/D&gt;&lt;/FQL&gt;&lt;FQL&gt;&lt;Q&gt;NEO^FE_ESTIMATE(EPS,MEAN,ANN_ROLL,2026,NOW,,,'')&lt;/Q&gt;&lt;R&gt;1&lt;/R&gt;&lt;C&gt;1&lt;/C&gt;&lt;D xsi:type="xsd:double"&gt;0.16745384&lt;/D&gt;&lt;/FQL&gt;&lt;FQL&gt;&lt;Q&gt;NEO^FE_ESTIMATE(SALES,MEAN,ANN_ROLL,2027,NOW,,,'')&lt;/Q&gt;&lt;R&gt;1&lt;/R&gt;&lt;C&gt;1&lt;/C&gt;&lt;D xsi:type="xsd:double"&gt;871.8443&lt;/D&gt;&lt;/FQL&gt;&lt;FQL&gt;&lt;Q&gt;NEO^FE_ESTIMATE(SALES,MEAN,ANN_ROLL,2025,NOW,,,'')&lt;/Q&gt;&lt;R&gt;1&lt;/R&gt;&lt;C&gt;1&lt;/C&gt;&lt;D xsi:type="xsd:double"&gt;727.332&lt;/D&gt;&lt;/FQL&gt;&lt;FQL&gt;&lt;Q&gt;NEO^FE_ESTIMATE(EBITDA,MEAN,ANN_ROLL,2024,NOW,,,'')&lt;/Q&gt;&lt;R&gt;1&lt;/R&gt;&lt;C&gt;1&lt;/C&gt;&lt;D xsi:type="xsd:double"&gt;39.608&lt;/D&gt;&lt;/FQL&gt;&lt;FQL&gt;&lt;Q&gt;NEO^FE_ESTIMATE(EPS,MEAN,ANN_ROLL,2024,NOW,,,'')&lt;/Q&gt;&lt;R&gt;1&lt;/R&gt;&lt;C&gt;1&lt;/C&gt;&lt;D xsi:type="xsd:double"&gt;0.11&lt;/D&gt;&lt;/FQL&gt;&lt;FQL&gt;&lt;Q&gt;NEO^FE_ESTIMATE(EBITDA,MEAN,ANN_ROLL,2023,NOW,,,'')&lt;/Q&gt;&lt;R&gt;1&lt;/R&gt;&lt;C&gt;1&lt;/C&gt;&lt;D xsi:type="xsd:double"&gt;3.486&lt;/D&gt;&lt;/FQL&gt;&lt;FQL&gt;&lt;Q&gt;NEO^FE_ESTIMATE(SALES,MEAN,ANN_ROLL,2024,NOW,,,'')&lt;/Q&gt;&lt;R&gt;1&lt;/R&gt;&lt;C&gt;1&lt;/C&gt;&lt;D xsi:type="xsd:double"&gt;660.566&lt;/D&gt;&lt;/FQL&gt;&lt;FQL&gt;&lt;Q&gt;NEO^FE_ESTIMATE(EPS,MEAN,ANN_ROLL,2025,NOW,,,'')&lt;/Q&gt;&lt;R&gt;1&lt;/R&gt;&lt;C&gt;1&lt;/C&gt;&lt;D xsi:type="xsd:double"&gt;0.12&lt;/D&gt;&lt;/FQL&gt;&lt;FQL&gt;&lt;Q&gt;NEO^FE_ESTIMATE(EPS,MEAN,ANN_ROLL,2023,NOW,,,'')&lt;/Q&gt;&lt;R&gt;1&lt;/R&gt;&lt;C&gt;1&lt;/C&gt;&lt;D xsi:type="xsd:double"&gt;-0.12&lt;/D&gt;&lt;/FQL&gt;&lt;FQL&gt;&lt;Q&gt;NEO^FE_ESTIMATE(EBITDA,MEAN,ANN_ROLL,2026,NOW,,,'')&lt;/Q&gt;&lt;R&gt;1&lt;/R&gt;&lt;C&gt;1&lt;/C&gt;&lt;D xsi:type="xsd:double"&gt;55.16793&lt;/D&gt;&lt;/FQL&gt;&lt;FQL&gt;&lt;Q&gt;NEO^FG_PRICE(0)&lt;/Q&gt;&lt;R&gt;1&lt;/R&gt;&lt;C&gt;1&lt;/C&gt;&lt;D xsi:type="xsd:double"&gt;9.97&lt;/D&gt;&lt;/FQL&gt;&lt;FQL&gt;&lt;Q&gt;NEO^FE_ESTIMATE(EBITDA,MEAN,ANN_ROLL,2027,NOW,,,'')&lt;/Q&gt;&lt;R&gt;1&lt;/R&gt;&lt;C&gt;1&lt;/C&gt;&lt;D xsi:type="xsd:double"&gt;79.534706&lt;/D&gt;&lt;/FQL&gt;&lt;FQL&gt;&lt;Q&gt;NEO^FE_ESTIMATE(SALES,MEAN,ANN_ROLL,2023,NOW,,,'')&lt;/Q&gt;&lt;R&gt;1&lt;/R&gt;&lt;C&gt;1&lt;/C&gt;&lt;D xsi:type="xsd:double"&gt;591.643&lt;/D&gt;&lt;/FQL&gt;&lt;FQL&gt;&lt;Q&gt;NEO^FE_ESTIMATE(EBITDA,MEAN,ANN_ROLL,2028,NOW,,,'')&lt;/Q&gt;&lt;R&gt;1&lt;/R&gt;&lt;C&gt;1&lt;/C&gt;&lt;D xsi:type="xsd:double"&gt;99.858&lt;/D&gt;&lt;/FQL&gt;&lt;FQL&gt;&lt;Q&gt;NEO^FE_ESTIMATE(SALES,MEAN,ANN_ROLL,2028,NOW,,,'')&lt;/Q&gt;&lt;R&gt;1&lt;/R&gt;&lt;C&gt;1&lt;/C&gt;&lt;D xsi:type="xsd:double"&gt;961.193&lt;/D&gt;&lt;/FQL&gt;&lt;FQL&gt;&lt;Q&gt;NEO^FE_ESTIMATE(SALES,MEAN,ANN_ROLL,2026,NOW,,,'')&lt;/Q&gt;&lt;R&gt;1&lt;/R&gt;&lt;C&gt;1&lt;/C&gt;&lt;D xsi:type="xsd:double"&gt;796.66223&lt;/D&gt;&lt;/FQL&gt;&lt;FQL&gt;&lt;Q&gt;NEO^FE_ESTIMATE(EPS,MEAN,ANN_ROLL,2027,NOW,,,'')&lt;/Q&gt;&lt;R&gt;1&lt;/R&gt;&lt;C&gt;1&lt;/C&gt;&lt;D xsi:type="xsd:double"&gt;0.354&lt;/D&gt;&lt;/FQL&gt;&lt;/Schema&gt;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Noah Kava</author>
    <author>Ujjwal Sood</author>
    <author>Jack Melick</author>
    <author xml:space="preserve"> </author>
  </authors>
  <commentList>
    <comment ref="FB22" authorId="0" shapeId="0" xr:uid="{9A80CDE1-39E4-47A3-9A03-1D2A2F6B58FE}">
      <text>
        <r>
          <rPr>
            <b/>
            <sz val="8"/>
            <color indexed="81"/>
            <rFont val="Tahoma"/>
            <family val="2"/>
          </rPr>
          <t>4Q24: ($85M) to ($76M)</t>
        </r>
      </text>
    </comment>
    <comment ref="HI22" authorId="1" shapeId="0" xr:uid="{43628D00-738C-475D-963C-FAC2E99A75DF}">
      <text>
        <r>
          <rPr>
            <b/>
            <sz val="9"/>
            <color indexed="81"/>
            <rFont val="Tahoma"/>
            <family val="2"/>
          </rPr>
          <t>Note:</t>
        </r>
        <r>
          <rPr>
            <sz val="9"/>
            <color indexed="81"/>
            <rFont val="Tahoma"/>
            <family val="2"/>
          </rPr>
          <t xml:space="preserve">
Rounding error</t>
        </r>
      </text>
    </comment>
    <comment ref="EY38" authorId="2" shapeId="0" xr:uid="{F54DFFAD-9CFE-4AE6-816D-82A8D26E5B3A}">
      <text>
        <r>
          <rPr>
            <b/>
            <sz val="8"/>
            <color indexed="81"/>
            <rFont val="Tahoma"/>
            <family val="2"/>
          </rPr>
          <t>2Q25: includes $20.041M of impairment charges</t>
        </r>
        <r>
          <rPr>
            <sz val="9"/>
            <color indexed="81"/>
            <rFont val="Tahoma"/>
            <family val="2"/>
          </rPr>
          <t xml:space="preserve">
</t>
        </r>
      </text>
    </comment>
    <comment ref="EZ38" authorId="2" shapeId="0" xr:uid="{89D3D5BF-C443-40EF-A8A4-42463DFD7E9B}">
      <text>
        <r>
          <rPr>
            <b/>
            <sz val="8"/>
            <color indexed="81"/>
            <rFont val="Tahoma"/>
            <family val="2"/>
          </rPr>
          <t xml:space="preserve">3Q25: includes $7.086M of impairment charges
</t>
        </r>
      </text>
    </comment>
    <comment ref="EV49" authorId="0" shapeId="0" xr:uid="{6FDF10E5-9C5B-4684-B8FD-FC0FE470E8F7}">
      <text>
        <r>
          <rPr>
            <b/>
            <sz val="8"/>
            <color indexed="81"/>
            <rFont val="Tahoma"/>
            <family val="2"/>
          </rPr>
          <t>4Q24 preprint: $661m
3Q24: $655m - $667m
2Q24: $655m - $667m
1Q24: $650m - $660m
4Q23: $650m - $660m</t>
        </r>
      </text>
    </comment>
    <comment ref="EX49" authorId="0" shapeId="0" xr:uid="{3700BBE9-C2B6-4ADC-BB56-BCE683E004FF}">
      <text>
        <r>
          <rPr>
            <b/>
            <sz val="8"/>
            <color indexed="81"/>
            <rFont val="Tahoma"/>
            <family val="2"/>
          </rPr>
          <t>4Q24: ~23% of FY25 revs</t>
        </r>
      </text>
    </comment>
    <comment ref="EY49" authorId="2" shapeId="0" xr:uid="{A88ADE05-EC0B-448F-BF57-46756ADCEAB3}">
      <text>
        <r>
          <rPr>
            <b/>
            <sz val="8"/>
            <color indexed="81"/>
            <rFont val="Tahoma"/>
            <family val="2"/>
          </rPr>
          <t>$183 million to $187 million</t>
        </r>
      </text>
    </comment>
    <comment ref="FB49" authorId="2" shapeId="0" xr:uid="{BB69D027-F8B2-4E28-B1A2-7226219CD56D}">
      <text>
        <r>
          <rPr>
            <b/>
            <sz val="8"/>
            <color indexed="81"/>
            <rFont val="Tahoma"/>
            <family val="2"/>
          </rPr>
          <t>3Q25: $720M to $726M
2Q25: $720M to $726M
1Q25: $747M to $759M (+$13M for Pathline)
4Q24: $735M to $745M
4Q24 preprint: $735m to $745m</t>
        </r>
        <r>
          <rPr>
            <sz val="9"/>
            <color indexed="81"/>
            <rFont val="Tahoma"/>
            <family val="2"/>
          </rPr>
          <t xml:space="preserve">
</t>
        </r>
      </text>
    </comment>
    <comment ref="EY53" authorId="2" shapeId="0" xr:uid="{45BA5C2B-F9C5-48D2-B288-DA4B09990C3D}">
      <text>
        <r>
          <rPr>
            <b/>
            <sz val="8"/>
            <color indexed="81"/>
            <rFont val="Tahoma"/>
            <family val="2"/>
          </rPr>
          <t>1Q25: continue to grow throughout the year</t>
        </r>
        <r>
          <rPr>
            <sz val="9"/>
            <color indexed="81"/>
            <rFont val="Tahoma"/>
            <family val="2"/>
          </rPr>
          <t xml:space="preserve">
</t>
        </r>
      </text>
    </comment>
    <comment ref="EY54" authorId="2" shapeId="0" xr:uid="{EA0AFA54-DD23-4AB2-8C2E-D6DE0A90D2E7}">
      <text>
        <r>
          <rPr>
            <b/>
            <sz val="8"/>
            <color indexed="81"/>
            <rFont val="Tahoma"/>
            <family val="2"/>
          </rPr>
          <t>1Q25: expect dollar step-down</t>
        </r>
        <r>
          <rPr>
            <sz val="9"/>
            <color indexed="81"/>
            <rFont val="Tahoma"/>
            <family val="2"/>
          </rPr>
          <t xml:space="preserve">
</t>
        </r>
      </text>
    </comment>
    <comment ref="FB62" authorId="3" shapeId="0" xr:uid="{22D3D53A-746A-4EB5-8D5A-B2E7790B0EE7}">
      <text>
        <r>
          <rPr>
            <b/>
            <sz val="8"/>
            <color indexed="81"/>
            <rFont val="Tahoma"/>
            <family val="2"/>
          </rPr>
          <t>2Q25: $10M to $15M</t>
        </r>
      </text>
    </comment>
    <comment ref="EV65" authorId="0" shapeId="0" xr:uid="{40E0619D-BC12-4737-BAD2-33418835DE9A}">
      <text>
        <r>
          <rPr>
            <b/>
            <sz val="8"/>
            <color indexed="81"/>
            <rFont val="Tahoma"/>
            <family val="2"/>
          </rPr>
          <t>3Q24: 127 million</t>
        </r>
      </text>
    </comment>
    <comment ref="FB65" authorId="3" shapeId="0" xr:uid="{656EB4D1-0F9F-4EE9-B744-6F35E4220B33}">
      <text>
        <r>
          <rPr>
            <b/>
            <sz val="8"/>
            <color indexed="81"/>
            <rFont val="Tahoma"/>
            <family val="2"/>
          </rPr>
          <t>2Q25: 128M</t>
        </r>
      </text>
    </comment>
    <comment ref="EV68" authorId="0" shapeId="0" xr:uid="{36DEE8BE-EFBA-41DD-ABE8-91361DC7847D}">
      <text>
        <r>
          <rPr>
            <b/>
            <sz val="8"/>
            <color indexed="81"/>
            <rFont val="Tahoma"/>
            <family val="2"/>
          </rPr>
          <t>3Q24: $0.08 to $0.10</t>
        </r>
      </text>
    </comment>
    <comment ref="FB68" authorId="3" shapeId="0" xr:uid="{70C91CFA-43CC-4D60-AE1D-EAD81F550F71}">
      <text>
        <r>
          <rPr>
            <b/>
            <sz val="8"/>
            <color indexed="81"/>
            <rFont val="Tahoma"/>
            <family val="2"/>
          </rPr>
          <t>2Q25: $0.08 to $0.12</t>
        </r>
      </text>
    </comment>
    <comment ref="EV70" authorId="2" shapeId="0" xr:uid="{91D59CDD-000C-4817-A171-35836652EBC3}">
      <text>
        <r>
          <rPr>
            <b/>
            <sz val="8"/>
            <color indexed="81"/>
            <rFont val="Tahoma"/>
            <family val="2"/>
          </rPr>
          <t>4Q24 preprint: $38.5 million
3Q24: $37 million to $40 million
2Q24: $33 million to $37 million
1Q24: ~$24 million
4Q23: $21 million to $24 million</t>
        </r>
        <r>
          <rPr>
            <sz val="8"/>
            <color indexed="81"/>
            <rFont val="Tahoma"/>
            <family val="2"/>
          </rPr>
          <t xml:space="preserve">
</t>
        </r>
      </text>
    </comment>
    <comment ref="EX70" authorId="0" shapeId="0" xr:uid="{FAD0855A-2893-4E13-B792-FBCFD913E5D0}">
      <text>
        <r>
          <rPr>
            <b/>
            <sz val="8"/>
            <color indexed="81"/>
            <rFont val="Tahoma"/>
            <family val="2"/>
          </rPr>
          <t>4Q24: 8% to 10% of FY total</t>
        </r>
      </text>
    </comment>
    <comment ref="EY70" authorId="2" shapeId="0" xr:uid="{7E650B5F-2E3D-47C4-867B-A8A1EBB9C60B}">
      <text>
        <r>
          <rPr>
            <b/>
            <sz val="8"/>
            <color indexed="81"/>
            <rFont val="Tahoma"/>
            <family val="2"/>
          </rPr>
          <t>1Q25: $9-11M (incl. $2M Pathline drag)</t>
        </r>
        <r>
          <rPr>
            <sz val="8"/>
            <color indexed="81"/>
            <rFont val="Tahoma"/>
            <family val="2"/>
          </rPr>
          <t xml:space="preserve">
</t>
        </r>
      </text>
    </comment>
    <comment ref="EZ70" authorId="2" shapeId="0" xr:uid="{2332C3B9-9BC1-4E93-B9EB-A737CB90E971}">
      <text>
        <r>
          <rPr>
            <b/>
            <sz val="8"/>
            <color indexed="81"/>
            <rFont val="Tahoma"/>
            <family val="2"/>
          </rPr>
          <t>1Q25: $9-11M (incl. $2M Pathline drag)</t>
        </r>
        <r>
          <rPr>
            <sz val="8"/>
            <color indexed="81"/>
            <rFont val="Tahoma"/>
            <family val="2"/>
          </rPr>
          <t xml:space="preserve">
</t>
        </r>
      </text>
    </comment>
    <comment ref="FA70" authorId="2" shapeId="0" xr:uid="{A38C5C1C-D87F-4FED-8FB0-19D74541F9EE}">
      <text>
        <r>
          <rPr>
            <b/>
            <sz val="8"/>
            <color indexed="81"/>
            <rFont val="Tahoma"/>
            <family val="2"/>
          </rPr>
          <t>4Q25: $13.38M</t>
        </r>
        <r>
          <rPr>
            <sz val="8"/>
            <color indexed="81"/>
            <rFont val="Tahoma"/>
            <family val="2"/>
          </rPr>
          <t xml:space="preserve">
</t>
        </r>
      </text>
    </comment>
    <comment ref="FB70" authorId="2" shapeId="0" xr:uid="{AC10E19E-1FCA-4BF2-928F-4B6A111B7CB8}">
      <text>
        <r>
          <rPr>
            <b/>
            <sz val="8"/>
            <color indexed="81"/>
            <rFont val="Tahoma"/>
            <family val="2"/>
          </rPr>
          <t>3Q25: $41M to $44M
2Q25: $41M to $44M
1Q25: $55M to $58M
4Q24: $55M to $58M
4Q24 preprint: $55 million to $58 million</t>
        </r>
        <r>
          <rPr>
            <sz val="9"/>
            <color indexed="81"/>
            <rFont val="Tahoma"/>
            <family val="2"/>
          </rPr>
          <t xml:space="preserve">
</t>
        </r>
      </text>
    </comment>
    <comment ref="FH70" authorId="2" shapeId="0" xr:uid="{8FD05ACF-98B3-47F6-B895-B0C5C7B7C31C}">
      <text>
        <r>
          <rPr>
            <b/>
            <sz val="8"/>
            <color indexed="81"/>
            <rFont val="Tahoma"/>
            <family val="2"/>
          </rPr>
          <t>4Q25: $55-57M</t>
        </r>
        <r>
          <rPr>
            <sz val="8"/>
            <color indexed="81"/>
            <rFont val="Tahoma"/>
            <family val="2"/>
          </rPr>
          <t xml:space="preserve">
</t>
        </r>
      </text>
    </comment>
    <comment ref="FH74" authorId="2" shapeId="0" xr:uid="{11CDB85B-516B-4E58-933B-E6F8BD3571ED}">
      <text>
        <r>
          <rPr>
            <b/>
            <sz val="8"/>
            <color indexed="81"/>
            <rFont val="Tahoma"/>
            <family val="2"/>
          </rPr>
          <t>4Q25: &gt;100bps
LRP: +100-150bps / year</t>
        </r>
        <r>
          <rPr>
            <sz val="8"/>
            <color indexed="81"/>
            <rFont val="Tahoma"/>
            <family val="2"/>
          </rPr>
          <t xml:space="preserve">
</t>
        </r>
      </text>
    </comment>
    <comment ref="FN74" authorId="2" shapeId="0" xr:uid="{BFE61019-697C-4878-9550-F04CE558F676}">
      <text>
        <r>
          <rPr>
            <b/>
            <sz val="8"/>
            <color indexed="81"/>
            <rFont val="Tahoma"/>
            <family val="2"/>
          </rPr>
          <t>LRP: +100-150bps / year</t>
        </r>
        <r>
          <rPr>
            <sz val="8"/>
            <color indexed="81"/>
            <rFont val="Tahoma"/>
            <family val="2"/>
          </rPr>
          <t xml:space="preserve">
</t>
        </r>
      </text>
    </comment>
    <comment ref="FT74" authorId="2" shapeId="0" xr:uid="{9D1E9ED9-11C5-4407-A034-FEC1ED038E0D}">
      <text>
        <r>
          <rPr>
            <b/>
            <sz val="8"/>
            <color indexed="81"/>
            <rFont val="Tahoma"/>
            <family val="2"/>
          </rPr>
          <t>LRP: +100-150bps / year</t>
        </r>
        <r>
          <rPr>
            <sz val="8"/>
            <color indexed="81"/>
            <rFont val="Tahoma"/>
            <family val="2"/>
          </rPr>
          <t xml:space="preserve">
</t>
        </r>
      </text>
    </comment>
    <comment ref="EX77" authorId="2" shapeId="0" xr:uid="{524F3526-67A6-401D-8A03-1906565FBD1B}">
      <text>
        <r>
          <rPr>
            <b/>
            <sz val="8"/>
            <color indexed="81"/>
            <rFont val="Tahoma"/>
            <family val="2"/>
          </rPr>
          <t>1Q25: bit higher for the year due to validation work</t>
        </r>
        <r>
          <rPr>
            <sz val="8"/>
            <color indexed="81"/>
            <rFont val="Tahoma"/>
            <family val="2"/>
          </rPr>
          <t xml:space="preserve">
</t>
        </r>
      </text>
    </comment>
    <comment ref="FB78" authorId="2" shapeId="0" xr:uid="{B8904E8E-D017-4254-8C66-6DEB66928C5C}">
      <text>
        <r>
          <rPr>
            <b/>
            <sz val="8"/>
            <color indexed="81"/>
            <rFont val="Tahoma"/>
            <family val="2"/>
          </rPr>
          <t>4Q24: ~7.6% implied (+160bps y/y)</t>
        </r>
        <r>
          <rPr>
            <sz val="9"/>
            <color indexed="81"/>
            <rFont val="Tahoma"/>
            <family val="2"/>
          </rPr>
          <t xml:space="preserve">
</t>
        </r>
      </text>
    </comment>
    <comment ref="FH78" authorId="2" shapeId="0" xr:uid="{9E0D608F-0815-44C1-B0FD-1B0F4CE4EA11}">
      <text>
        <r>
          <rPr>
            <b/>
            <sz val="8"/>
            <color indexed="81"/>
            <rFont val="Tahoma"/>
            <family val="2"/>
          </rPr>
          <t>LRP: +250-300bps / year</t>
        </r>
        <r>
          <rPr>
            <sz val="8"/>
            <color indexed="81"/>
            <rFont val="Tahoma"/>
            <family val="2"/>
          </rPr>
          <t xml:space="preserve">
</t>
        </r>
      </text>
    </comment>
    <comment ref="FN78" authorId="2" shapeId="0" xr:uid="{D8D3CF20-0955-43EC-B976-32EC023EA89B}">
      <text>
        <r>
          <rPr>
            <b/>
            <sz val="8"/>
            <color indexed="81"/>
            <rFont val="Tahoma"/>
            <family val="2"/>
          </rPr>
          <t>LRP: +250-300bps / year</t>
        </r>
        <r>
          <rPr>
            <sz val="8"/>
            <color indexed="81"/>
            <rFont val="Tahoma"/>
            <family val="2"/>
          </rPr>
          <t xml:space="preserve">
</t>
        </r>
      </text>
    </comment>
    <comment ref="FT78" authorId="2" shapeId="0" xr:uid="{1AE6BCDF-4078-4156-9F9A-736231AE27DA}">
      <text>
        <r>
          <rPr>
            <b/>
            <sz val="8"/>
            <color indexed="81"/>
            <rFont val="Tahoma"/>
            <family val="2"/>
          </rPr>
          <t>LRP: +250-300bps / year</t>
        </r>
        <r>
          <rPr>
            <sz val="8"/>
            <color indexed="81"/>
            <rFont val="Tahoma"/>
            <family val="2"/>
          </rPr>
          <t xml:space="preserve">
</t>
        </r>
      </text>
    </comment>
    <comment ref="FB85" authorId="0" shapeId="0" xr:uid="{5F2E0BA1-8E95-4713-9C0D-397F50239FB6}">
      <text>
        <r>
          <rPr>
            <b/>
            <sz val="8"/>
            <color indexed="81"/>
            <rFont val="Tahoma"/>
            <family val="2"/>
          </rPr>
          <t>3Q25: +9% to +10%
2Q25: +9% to +11%
4Q24: 11% to 13%</t>
        </r>
      </text>
    </comment>
    <comment ref="FD85" authorId="2" shapeId="0" xr:uid="{45004F8C-D0BC-4C4E-97F4-B9A72D80C419}">
      <text>
        <r>
          <rPr>
            <b/>
            <sz val="8"/>
            <color indexed="81"/>
            <rFont val="Tahoma"/>
            <family val="2"/>
          </rPr>
          <t>4Q25: +10%</t>
        </r>
        <r>
          <rPr>
            <sz val="8"/>
            <color indexed="81"/>
            <rFont val="Tahoma"/>
            <family val="2"/>
          </rPr>
          <t xml:space="preserve">
</t>
        </r>
      </text>
    </comment>
    <comment ref="FE85" authorId="2" shapeId="0" xr:uid="{2E344A61-A697-49E3-9FA0-7F8DDF69D450}">
      <text>
        <r>
          <rPr>
            <b/>
            <sz val="8"/>
            <color indexed="81"/>
            <rFont val="Tahoma"/>
            <family val="2"/>
          </rPr>
          <t>4Q25: +8-9%</t>
        </r>
        <r>
          <rPr>
            <sz val="9"/>
            <color indexed="81"/>
            <rFont val="Tahoma"/>
            <family val="2"/>
          </rPr>
          <t xml:space="preserve">
</t>
        </r>
      </text>
    </comment>
    <comment ref="FF85" authorId="2" shapeId="0" xr:uid="{EAF182B3-0F80-4C44-940A-D103CC2A4145}">
      <text>
        <r>
          <rPr>
            <b/>
            <sz val="8"/>
            <color indexed="81"/>
            <rFont val="Tahoma"/>
            <family val="2"/>
          </rPr>
          <t>4Q25: +9-10%</t>
        </r>
        <r>
          <rPr>
            <sz val="9"/>
            <color indexed="81"/>
            <rFont val="Tahoma"/>
            <family val="2"/>
          </rPr>
          <t xml:space="preserve">
</t>
        </r>
      </text>
    </comment>
    <comment ref="FG85" authorId="2" shapeId="0" xr:uid="{87CF9547-3F93-4480-956D-E1B74AA423ED}">
      <text>
        <r>
          <rPr>
            <b/>
            <sz val="8"/>
            <color indexed="81"/>
            <rFont val="Tahoma"/>
            <family val="2"/>
          </rPr>
          <t>4Q25: &gt;10%</t>
        </r>
        <r>
          <rPr>
            <sz val="9"/>
            <color indexed="81"/>
            <rFont val="Tahoma"/>
            <family val="2"/>
          </rPr>
          <t xml:space="preserve">
</t>
        </r>
      </text>
    </comment>
    <comment ref="FH85" authorId="2" shapeId="0" xr:uid="{C9C097B1-D3E4-421C-8B66-36F1E2F642BC}">
      <text>
        <r>
          <rPr>
            <b/>
            <sz val="8"/>
            <color indexed="81"/>
            <rFont val="Tahoma"/>
            <family val="2"/>
          </rPr>
          <t>4Q25: +10%
2Q25: LRP is base biz +10%, new tests and M&amp;A to be additive
LRP (est. 1/25): +12-13%</t>
        </r>
        <r>
          <rPr>
            <sz val="9"/>
            <color indexed="81"/>
            <rFont val="Tahoma"/>
            <family val="2"/>
          </rPr>
          <t xml:space="preserve">
</t>
        </r>
      </text>
    </comment>
    <comment ref="FN85" authorId="2" shapeId="0" xr:uid="{D4A25833-52D8-44FB-9862-118AB70C0352}">
      <text>
        <r>
          <rPr>
            <b/>
            <sz val="8"/>
            <color indexed="81"/>
            <rFont val="Tahoma"/>
            <family val="2"/>
          </rPr>
          <t>2Q25: LRP is base biz +10%, new tests and M&amp;A to be additive
LRP (est. 1/25): +12-13%</t>
        </r>
        <r>
          <rPr>
            <sz val="9"/>
            <color indexed="81"/>
            <rFont val="Tahoma"/>
            <family val="2"/>
          </rPr>
          <t xml:space="preserve">
</t>
        </r>
      </text>
    </comment>
    <comment ref="FH90" authorId="2" shapeId="0" xr:uid="{D5CC4E70-9259-4AFE-8DF5-7EF5186F9376}">
      <text>
        <r>
          <rPr>
            <b/>
            <sz val="8"/>
            <color indexed="81"/>
            <rFont val="Tahoma"/>
            <family val="2"/>
          </rPr>
          <t>4Q25: +27-31%
Dec '25: some EBITDA growth in '26, but plan to reinvest</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Jack Melick</author>
    <author xml:space="preserve"> </author>
    <author>Noah Kava</author>
  </authors>
  <commentList>
    <comment ref="FB10" authorId="0" shapeId="0" xr:uid="{BF4237A5-3D7A-44A7-BF87-D13C520668CC}">
      <text>
        <r>
          <rPr>
            <b/>
            <sz val="8"/>
            <color indexed="81"/>
            <rFont val="Tahoma"/>
            <family val="2"/>
          </rPr>
          <t>JPM '26: 5 launches from 2023 = 24% of clinical revenue</t>
        </r>
      </text>
    </comment>
    <comment ref="EZ11" authorId="0" shapeId="0" xr:uid="{1FE3A821-5935-46BF-B010-63699EDA3093}">
      <text>
        <r>
          <rPr>
            <b/>
            <sz val="8"/>
            <color indexed="81"/>
            <rFont val="Tahoma"/>
            <family val="2"/>
          </rPr>
          <t>3Q25: +15% SSS</t>
        </r>
        <r>
          <rPr>
            <sz val="8"/>
            <color indexed="81"/>
            <rFont val="Tahoma"/>
            <family val="2"/>
          </rPr>
          <t xml:space="preserve">
</t>
        </r>
      </text>
    </comment>
    <comment ref="FB11" authorId="0" shapeId="0" xr:uid="{DF244808-48FE-4A70-BC06-90D18B2A4D32}">
      <text>
        <r>
          <rPr>
            <b/>
            <sz val="9"/>
            <color indexed="81"/>
            <rFont val="Tahoma"/>
            <family val="2"/>
          </rPr>
          <t>4Q25: +13%</t>
        </r>
      </text>
    </comment>
    <comment ref="EF16" authorId="0" shapeId="0" xr:uid="{8952F29D-EB4D-4866-B754-0DEC8AB7A246}">
      <text>
        <r>
          <rPr>
            <b/>
            <sz val="9"/>
            <color indexed="81"/>
            <rFont val="Tahoma"/>
            <family val="2"/>
          </rPr>
          <t xml:space="preserve">1Q22: No longer reported
</t>
        </r>
        <r>
          <rPr>
            <sz val="9"/>
            <color indexed="81"/>
            <rFont val="Tahoma"/>
            <family val="2"/>
          </rPr>
          <t xml:space="preserve">
</t>
        </r>
      </text>
    </comment>
    <comment ref="EU19" authorId="0" shapeId="0" xr:uid="{436CC5FE-C76E-49E9-909C-7A44FE54A0A9}">
      <text>
        <r>
          <rPr>
            <b/>
            <sz val="8"/>
            <color indexed="81"/>
            <rFont val="Tahoma"/>
            <family val="2"/>
          </rPr>
          <t>4Q24: 321,679</t>
        </r>
        <r>
          <rPr>
            <sz val="9"/>
            <color indexed="81"/>
            <rFont val="Tahoma"/>
            <family val="2"/>
          </rPr>
          <t xml:space="preserve">
</t>
        </r>
      </text>
    </comment>
    <comment ref="EX19" authorId="0" shapeId="0" xr:uid="{9AAC3FBB-8D66-4641-8B8D-824A76EDBE99}">
      <text>
        <r>
          <rPr>
            <b/>
            <sz val="8"/>
            <color indexed="81"/>
            <rFont val="Tahoma"/>
            <family val="2"/>
          </rPr>
          <t>1Q25: 326,163</t>
        </r>
        <r>
          <rPr>
            <sz val="9"/>
            <color indexed="81"/>
            <rFont val="Tahoma"/>
            <family val="2"/>
          </rPr>
          <t xml:space="preserve">
</t>
        </r>
        <r>
          <rPr>
            <b/>
            <sz val="8"/>
            <color indexed="81"/>
            <rFont val="Tahoma"/>
            <family val="2"/>
          </rPr>
          <t>23% of volume from 5 NGS tests</t>
        </r>
      </text>
    </comment>
    <comment ref="EY19" authorId="1" shapeId="0" xr:uid="{8A2977CB-4173-4059-962F-35ECC3050038}">
      <text>
        <r>
          <rPr>
            <b/>
            <sz val="8"/>
            <color indexed="81"/>
            <rFont val="Tahoma"/>
            <family val="2"/>
          </rPr>
          <t>2Q25: 343,005</t>
        </r>
      </text>
    </comment>
    <comment ref="EZ19" authorId="0" shapeId="0" xr:uid="{C3AA55F9-79C7-4F75-96E6-23C7842FFAAD}">
      <text>
        <r>
          <rPr>
            <b/>
            <sz val="9"/>
            <color indexed="81"/>
            <rFont val="Tahoma"/>
            <family val="2"/>
          </rPr>
          <t>3Q25: 347,215
Did not need LBx approval to hit guidance, seeing early signs of uptake</t>
        </r>
      </text>
    </comment>
    <comment ref="FA19" authorId="0" shapeId="0" xr:uid="{18648561-AFE9-4C7F-8341-B611AE00AE90}">
      <text>
        <r>
          <rPr>
            <b/>
            <sz val="9"/>
            <color indexed="81"/>
            <rFont val="Tahoma"/>
            <family val="2"/>
          </rPr>
          <t>3Q25: 342,586
Did not need LBx approval to hit guidance, seeing early signs of uptake</t>
        </r>
      </text>
    </comment>
    <comment ref="FD19" authorId="0" shapeId="0" xr:uid="{65DFCD3F-32B9-407C-BA5B-A7C18838952A}">
      <text>
        <r>
          <rPr>
            <b/>
            <sz val="9"/>
            <color indexed="81"/>
            <rFont val="Tahoma"/>
            <charset val="1"/>
          </rPr>
          <t>4Q25: down q/q in similar range to 4Q25</t>
        </r>
        <r>
          <rPr>
            <sz val="9"/>
            <color indexed="81"/>
            <rFont val="Tahoma"/>
            <charset val="1"/>
          </rPr>
          <t xml:space="preserve">
</t>
        </r>
      </text>
    </comment>
    <comment ref="FE19" authorId="0" shapeId="0" xr:uid="{1F0DDAA8-15D2-467D-9C13-39A1A3D353BC}">
      <text>
        <r>
          <rPr>
            <b/>
            <sz val="9"/>
            <color indexed="81"/>
            <rFont val="Tahoma"/>
            <charset val="1"/>
          </rPr>
          <t>4Q25: flattish y/y</t>
        </r>
        <r>
          <rPr>
            <sz val="9"/>
            <color indexed="81"/>
            <rFont val="Tahoma"/>
            <charset val="1"/>
          </rPr>
          <t xml:space="preserve">
</t>
        </r>
      </text>
    </comment>
    <comment ref="EZ20" authorId="0" shapeId="0" xr:uid="{6DA7B217-A471-4E68-B5E7-4C63F068280C}">
      <text>
        <r>
          <rPr>
            <b/>
            <sz val="8"/>
            <color indexed="81"/>
            <rFont val="Tahoma"/>
            <family val="2"/>
          </rPr>
          <t>3Q25: +10% SSS</t>
        </r>
        <r>
          <rPr>
            <sz val="9"/>
            <color indexed="81"/>
            <rFont val="Tahoma"/>
            <family val="2"/>
          </rPr>
          <t xml:space="preserve">
</t>
        </r>
      </text>
    </comment>
    <comment ref="FA20" authorId="0" shapeId="0" xr:uid="{5FD74DF9-1E38-46D5-97A5-CAD41162AE7C}">
      <text>
        <r>
          <rPr>
            <b/>
            <sz val="8"/>
            <color indexed="81"/>
            <rFont val="Tahoma"/>
            <family val="2"/>
          </rPr>
          <t>3Q25: +10% SSS</t>
        </r>
        <r>
          <rPr>
            <sz val="9"/>
            <color indexed="81"/>
            <rFont val="Tahoma"/>
            <family val="2"/>
          </rPr>
          <t xml:space="preserve">
</t>
        </r>
      </text>
    </comment>
    <comment ref="FB20" authorId="0" shapeId="0" xr:uid="{9329BF2E-9793-42EF-9B30-CAAAD9239451}">
      <text>
        <r>
          <rPr>
            <b/>
            <sz val="8"/>
            <color indexed="81"/>
            <rFont val="Tahoma"/>
            <family val="2"/>
          </rPr>
          <t>1Q25: more volume weighted than previously guided
4Q24: similar volume/ASP growth split as '24</t>
        </r>
        <r>
          <rPr>
            <sz val="9"/>
            <color indexed="81"/>
            <rFont val="Tahoma"/>
            <family val="2"/>
          </rPr>
          <t xml:space="preserve">
</t>
        </r>
      </text>
    </comment>
    <comment ref="FD20" authorId="0" shapeId="0" xr:uid="{F64458DE-5C25-4B79-97BA-E0B18E702D17}">
      <text>
        <r>
          <rPr>
            <b/>
            <sz val="8"/>
            <color indexed="81"/>
            <rFont val="Tahoma"/>
            <family val="2"/>
          </rPr>
          <t>4Q25 callback: includes 1-1.5% from one less selling day and 1-1.5% from weather</t>
        </r>
        <r>
          <rPr>
            <sz val="9"/>
            <color indexed="81"/>
            <rFont val="Tahoma"/>
            <family val="2"/>
          </rPr>
          <t xml:space="preserve">
</t>
        </r>
      </text>
    </comment>
    <comment ref="FE20" authorId="0" shapeId="0" xr:uid="{23C72714-7307-441B-BA89-9C15D7021E49}">
      <text>
        <r>
          <rPr>
            <b/>
            <sz val="9"/>
            <color indexed="81"/>
            <rFont val="Tahoma"/>
            <family val="2"/>
          </rPr>
          <t>4Q25: flattish y/y</t>
        </r>
        <r>
          <rPr>
            <sz val="9"/>
            <color indexed="81"/>
            <rFont val="Tahoma"/>
            <family val="2"/>
          </rPr>
          <t xml:space="preserve">
</t>
        </r>
      </text>
    </comment>
    <comment ref="FH20" authorId="0" shapeId="0" xr:uid="{335486A5-16B3-4F48-9EF6-ECE1BEA70B2E}">
      <text>
        <r>
          <rPr>
            <b/>
            <sz val="9"/>
            <color indexed="81"/>
            <rFont val="Tahoma"/>
            <family val="2"/>
          </rPr>
          <t>4Q25: L/MSD range</t>
        </r>
      </text>
    </comment>
    <comment ref="FN20" authorId="0" shapeId="0" xr:uid="{C92474A4-DB24-4C33-A06F-550E34233AC0}">
      <text>
        <r>
          <rPr>
            <b/>
            <sz val="9"/>
            <color indexed="81"/>
            <rFont val="Tahoma"/>
            <family val="2"/>
          </rPr>
          <t>4Q25: L/MSD range</t>
        </r>
      </text>
    </comment>
    <comment ref="FT20" authorId="0" shapeId="0" xr:uid="{DA931A8C-27D3-49A8-9B76-355081D6ADCD}">
      <text>
        <r>
          <rPr>
            <b/>
            <sz val="9"/>
            <color indexed="81"/>
            <rFont val="Tahoma"/>
            <family val="2"/>
          </rPr>
          <t>4Q25: L/MSD range</t>
        </r>
      </text>
    </comment>
    <comment ref="EF22" authorId="0" shapeId="0" xr:uid="{D9384D86-6586-4874-AD3B-D83A881E8F4C}">
      <text>
        <r>
          <rPr>
            <b/>
            <sz val="9"/>
            <color indexed="81"/>
            <rFont val="Tahoma"/>
            <family val="2"/>
          </rPr>
          <t>1Q22: No longer reported</t>
        </r>
        <r>
          <rPr>
            <sz val="9"/>
            <color indexed="81"/>
            <rFont val="Tahoma"/>
            <family val="2"/>
          </rPr>
          <t xml:space="preserve">
</t>
        </r>
      </text>
    </comment>
    <comment ref="DB25" authorId="0" shapeId="0" xr:uid="{27B8100D-1C1F-473E-87A2-1AC2F7D65506}">
      <text>
        <r>
          <rPr>
            <b/>
            <sz val="9"/>
            <color indexed="81"/>
            <rFont val="Tahoma"/>
            <family val="2"/>
          </rPr>
          <t>1Q17: $330</t>
        </r>
      </text>
    </comment>
    <comment ref="DD25" authorId="0" shapeId="0" xr:uid="{B39C82E2-430E-4B76-AC86-3731A7E6CB82}">
      <text>
        <r>
          <rPr>
            <b/>
            <sz val="9"/>
            <color indexed="81"/>
            <rFont val="Tahoma"/>
            <family val="2"/>
          </rPr>
          <t>3Q17: $311</t>
        </r>
        <r>
          <rPr>
            <sz val="9"/>
            <color indexed="81"/>
            <rFont val="Tahoma"/>
            <family val="2"/>
          </rPr>
          <t xml:space="preserve">
</t>
        </r>
      </text>
    </comment>
    <comment ref="DE25" authorId="0" shapeId="0" xr:uid="{DF2CFC10-E1FC-4EA7-9DAC-B87E35307ADE}">
      <text>
        <r>
          <rPr>
            <b/>
            <sz val="9"/>
            <color indexed="81"/>
            <rFont val="Tahoma"/>
            <family val="2"/>
          </rPr>
          <t>4Q17: $306</t>
        </r>
      </text>
    </comment>
    <comment ref="DH25" authorId="0" shapeId="0" xr:uid="{D2035325-6641-4074-A590-D5F3BD37FE08}">
      <text>
        <r>
          <rPr>
            <b/>
            <sz val="9"/>
            <color indexed="81"/>
            <rFont val="Tahoma"/>
            <family val="2"/>
          </rPr>
          <t>1Q18: $319</t>
        </r>
      </text>
    </comment>
    <comment ref="DK25" authorId="0" shapeId="0" xr:uid="{F12F9268-8C8D-44BA-AE4B-AA26299A51E3}">
      <text>
        <r>
          <rPr>
            <b/>
            <sz val="9"/>
            <color indexed="81"/>
            <rFont val="Tahoma"/>
            <family val="2"/>
          </rPr>
          <t>4Q18: $333</t>
        </r>
      </text>
    </comment>
    <comment ref="DN25" authorId="0" shapeId="0" xr:uid="{9A88B9AF-AFB4-4504-A408-D2541C2241D7}">
      <text>
        <r>
          <rPr>
            <b/>
            <sz val="9"/>
            <color indexed="81"/>
            <rFont val="Tahoma"/>
            <family val="2"/>
          </rPr>
          <t>1Q19: $368</t>
        </r>
      </text>
    </comment>
    <comment ref="DO25" authorId="0" shapeId="0" xr:uid="{72AA0CDA-8917-4703-8845-D7ABA82101F0}">
      <text>
        <r>
          <rPr>
            <b/>
            <sz val="9"/>
            <color indexed="81"/>
            <rFont val="Tahoma"/>
            <family val="2"/>
          </rPr>
          <t>2Q19: $355</t>
        </r>
        <r>
          <rPr>
            <sz val="9"/>
            <color indexed="81"/>
            <rFont val="Tahoma"/>
            <family val="2"/>
          </rPr>
          <t xml:space="preserve">
</t>
        </r>
      </text>
    </comment>
    <comment ref="DP25" authorId="0" shapeId="0" xr:uid="{D6431818-1E95-4E13-B575-936BCE8BC7BC}">
      <text>
        <r>
          <rPr>
            <b/>
            <sz val="9"/>
            <color indexed="81"/>
            <rFont val="Tahoma"/>
            <family val="2"/>
          </rPr>
          <t>3Q19: $369</t>
        </r>
        <r>
          <rPr>
            <sz val="9"/>
            <color indexed="81"/>
            <rFont val="Tahoma"/>
            <family val="2"/>
          </rPr>
          <t xml:space="preserve">
</t>
        </r>
      </text>
    </comment>
    <comment ref="DQ25" authorId="0" shapeId="0" xr:uid="{273A3ACD-1783-4D70-9B9C-4DD9DCC9CED9}">
      <text>
        <r>
          <rPr>
            <b/>
            <sz val="9"/>
            <color indexed="81"/>
            <rFont val="Tahoma"/>
            <family val="2"/>
          </rPr>
          <t>4Q19: $370</t>
        </r>
      </text>
    </comment>
    <comment ref="DT25" authorId="0" shapeId="0" xr:uid="{4A63CE22-54B2-400A-8D45-6D413B783A9B}">
      <text>
        <r>
          <rPr>
            <b/>
            <sz val="9"/>
            <color indexed="81"/>
            <rFont val="Tahoma"/>
            <family val="2"/>
          </rPr>
          <t>1Q20: $371</t>
        </r>
      </text>
    </comment>
    <comment ref="DW25" authorId="0" shapeId="0" xr:uid="{F561523B-78BD-4331-A075-A537A057230D}">
      <text>
        <r>
          <rPr>
            <b/>
            <sz val="9"/>
            <color indexed="81"/>
            <rFont val="Tahoma"/>
            <family val="2"/>
          </rPr>
          <t>4Q19: $370</t>
        </r>
      </text>
    </comment>
    <comment ref="EB25" authorId="0" shapeId="0" xr:uid="{BCB41DA8-3686-4EC4-9386-D34E7E2418D9}">
      <text>
        <r>
          <rPr>
            <b/>
            <sz val="9"/>
            <color indexed="81"/>
            <rFont val="Tahoma"/>
            <family val="2"/>
          </rPr>
          <t>3Q21: $375</t>
        </r>
        <r>
          <rPr>
            <sz val="9"/>
            <color indexed="81"/>
            <rFont val="Tahoma"/>
            <family val="2"/>
          </rPr>
          <t xml:space="preserve">
</t>
        </r>
      </text>
    </comment>
    <comment ref="EC25" authorId="0" shapeId="0" xr:uid="{296ADDCB-9353-4F10-9031-631C3419A1C3}">
      <text>
        <r>
          <rPr>
            <b/>
            <sz val="9"/>
            <color indexed="81"/>
            <rFont val="Tahoma"/>
            <family val="2"/>
          </rPr>
          <t>4Q21: $383</t>
        </r>
      </text>
    </comment>
    <comment ref="EU25" authorId="0" shapeId="0" xr:uid="{166AFE5B-424E-4B06-B222-771F0AE32FD1}">
      <text>
        <r>
          <rPr>
            <b/>
            <sz val="8"/>
            <color indexed="81"/>
            <rFont val="Tahoma"/>
            <family val="2"/>
          </rPr>
          <t>4Q24: $465</t>
        </r>
      </text>
    </comment>
    <comment ref="EX25" authorId="0" shapeId="0" xr:uid="{1CB65C4A-CFEC-4A12-8D66-AF940366F081}">
      <text>
        <r>
          <rPr>
            <b/>
            <sz val="8"/>
            <color indexed="81"/>
            <rFont val="Tahoma"/>
            <family val="2"/>
          </rPr>
          <t>1Q25: $459</t>
        </r>
      </text>
    </comment>
    <comment ref="EY25" authorId="1" shapeId="0" xr:uid="{D04D9848-2EB9-43E1-8066-F55AF007B157}">
      <text>
        <r>
          <rPr>
            <b/>
            <sz val="8"/>
            <color indexed="81"/>
            <rFont val="Tahoma"/>
            <family val="2"/>
          </rPr>
          <t>2Q25: $465</t>
        </r>
      </text>
    </comment>
    <comment ref="EZ25" authorId="0" shapeId="0" xr:uid="{9D4AC769-FB78-4C77-8D97-31EC28BC2591}">
      <text>
        <r>
          <rPr>
            <b/>
            <sz val="9"/>
            <color indexed="81"/>
            <rFont val="Tahoma"/>
            <charset val="1"/>
          </rPr>
          <t>3Q25: $481</t>
        </r>
      </text>
    </comment>
    <comment ref="FA25" authorId="0" shapeId="0" xr:uid="{0C8C6923-B386-4CA4-AE6E-B4A0AE131B3C}">
      <text>
        <r>
          <rPr>
            <b/>
            <sz val="9"/>
            <color indexed="81"/>
            <rFont val="Tahoma"/>
            <charset val="1"/>
          </rPr>
          <t>3Q25: $496</t>
        </r>
      </text>
    </comment>
    <comment ref="ES26" authorId="0" shapeId="0" xr:uid="{42347CC3-A51D-44EC-AEEA-9044D160F303}">
      <text>
        <r>
          <rPr>
            <b/>
            <sz val="8"/>
            <color indexed="81"/>
            <rFont val="Tahoma"/>
            <family val="2"/>
          </rPr>
          <t>2Q24: expected to continue to grow but at slower pace</t>
        </r>
        <r>
          <rPr>
            <sz val="9"/>
            <color indexed="81"/>
            <rFont val="Tahoma"/>
            <family val="2"/>
          </rPr>
          <t xml:space="preserve">
</t>
        </r>
      </text>
    </comment>
    <comment ref="EZ26" authorId="0" shapeId="0" xr:uid="{C735BE5B-2199-4643-AE13-58B3165D8871}">
      <text>
        <r>
          <rPr>
            <b/>
            <sz val="8"/>
            <color indexed="81"/>
            <rFont val="Tahoma"/>
            <family val="2"/>
          </rPr>
          <t>3Q25: +4% ex Pathline</t>
        </r>
        <r>
          <rPr>
            <sz val="9"/>
            <color indexed="81"/>
            <rFont val="Tahoma"/>
            <charset val="1"/>
          </rPr>
          <t xml:space="preserve">
</t>
        </r>
      </text>
    </comment>
    <comment ref="FA26" authorId="0" shapeId="0" xr:uid="{BF2C4004-F9DB-45A2-803E-21709DC9365D}">
      <text>
        <r>
          <rPr>
            <b/>
            <sz val="9"/>
            <color indexed="81"/>
            <rFont val="Tahoma"/>
            <family val="2"/>
          </rPr>
          <t>4Q25: +7%</t>
        </r>
      </text>
    </comment>
    <comment ref="FB26" authorId="2" shapeId="0" xr:uid="{218D57A7-AF50-41C0-8B51-465E5B3F029F}">
      <text>
        <r>
          <rPr>
            <b/>
            <sz val="8"/>
            <color indexed="81"/>
            <rFont val="Tahoma"/>
            <family val="2"/>
          </rPr>
          <t>4Q24: ~6% to ~7%</t>
        </r>
      </text>
    </comment>
    <comment ref="FH26" authorId="0" shapeId="0" xr:uid="{5994E9AF-E912-4823-B664-6EE4ED6D54EE}">
      <text>
        <r>
          <rPr>
            <b/>
            <sz val="9"/>
            <color indexed="81"/>
            <rFont val="Tahoma"/>
            <family val="2"/>
          </rPr>
          <t>4Q25: upper SD range</t>
        </r>
      </text>
    </comment>
    <comment ref="DU28" authorId="0" shapeId="0" xr:uid="{0455F959-FDAD-441E-BFBF-B3746DCC570D}">
      <text>
        <r>
          <rPr>
            <b/>
            <sz val="9"/>
            <color indexed="81"/>
            <rFont val="Tahoma"/>
            <family val="2"/>
          </rPr>
          <t>2Q20: $351</t>
        </r>
        <r>
          <rPr>
            <sz val="9"/>
            <color indexed="81"/>
            <rFont val="Tahoma"/>
            <family val="2"/>
          </rPr>
          <t xml:space="preserve">
</t>
        </r>
      </text>
    </comment>
    <comment ref="DV28" authorId="0" shapeId="0" xr:uid="{F34C96FF-B8B5-45F0-AB75-B45274AA0B25}">
      <text>
        <r>
          <rPr>
            <b/>
            <sz val="9"/>
            <color indexed="81"/>
            <rFont val="Tahoma"/>
            <family val="2"/>
          </rPr>
          <t>3Q20: $359</t>
        </r>
        <r>
          <rPr>
            <sz val="9"/>
            <color indexed="81"/>
            <rFont val="Tahoma"/>
            <family val="2"/>
          </rPr>
          <t xml:space="preserve">
</t>
        </r>
      </text>
    </comment>
    <comment ref="DW28" authorId="0" shapeId="0" xr:uid="{BAF14421-B017-46CB-A51B-B35AF10374DB}">
      <text>
        <r>
          <rPr>
            <b/>
            <sz val="9"/>
            <color indexed="81"/>
            <rFont val="Tahoma"/>
            <family val="2"/>
          </rPr>
          <t>3Q20: $369</t>
        </r>
        <r>
          <rPr>
            <sz val="9"/>
            <color indexed="81"/>
            <rFont val="Tahoma"/>
            <family val="2"/>
          </rPr>
          <t xml:space="preserve">
</t>
        </r>
      </text>
    </comment>
    <comment ref="DZ28" authorId="0" shapeId="0" xr:uid="{82828610-9B0B-47F5-9C89-2E3ADFE63457}">
      <text>
        <r>
          <rPr>
            <b/>
            <sz val="9"/>
            <color indexed="81"/>
            <rFont val="Tahoma"/>
            <family val="2"/>
          </rPr>
          <t>1Q21: $355</t>
        </r>
        <r>
          <rPr>
            <sz val="9"/>
            <color indexed="81"/>
            <rFont val="Tahoma"/>
            <family val="2"/>
          </rPr>
          <t xml:space="preserve">
</t>
        </r>
      </text>
    </comment>
    <comment ref="EA28" authorId="0" shapeId="0" xr:uid="{70E8D77D-DDEA-4F0D-A83A-58A8BAA0824D}">
      <text>
        <r>
          <rPr>
            <b/>
            <sz val="9"/>
            <color indexed="81"/>
            <rFont val="Tahoma"/>
            <family val="2"/>
          </rPr>
          <t>2Q21: $360</t>
        </r>
        <r>
          <rPr>
            <sz val="9"/>
            <color indexed="81"/>
            <rFont val="Tahoma"/>
            <family val="2"/>
          </rPr>
          <t xml:space="preserve">
</t>
        </r>
      </text>
    </comment>
    <comment ref="C33" authorId="0" shapeId="0" xr:uid="{EC571CA2-7ADE-4662-8DC5-0EA5EBE4199C}">
      <text>
        <r>
          <rPr>
            <b/>
            <sz val="8"/>
            <color indexed="81"/>
            <rFont val="Tahoma"/>
            <family val="2"/>
          </rPr>
          <t xml:space="preserve">Market: a) displace internal (hospital) testing, b) displace other lab service providers. Customers = hospitals (20%); community oncology (80%)
Growth: market +15-18%, we grow much faster over time (30%+). Scope to become significantly more than 50% of Clinical revenue.
Market size = ~$13-14B, only 30% penetrated.
Heme (60% volume mix): Market growing +HSD/LDD. NEO has ~25% share.
Solld tumor (40% volume mix)
</t>
        </r>
        <r>
          <rPr>
            <sz val="9"/>
            <color indexed="81"/>
            <rFont val="Tahoma"/>
            <family val="2"/>
          </rPr>
          <t xml:space="preserve">
</t>
        </r>
      </text>
    </comment>
    <comment ref="ED34" authorId="0" shapeId="0" xr:uid="{851FBEE5-F3BE-479E-A85B-E972CAB3C605}">
      <text>
        <r>
          <rPr>
            <b/>
            <sz val="9"/>
            <color indexed="81"/>
            <rFont val="Tahoma"/>
            <family val="2"/>
          </rPr>
          <t xml:space="preserve">March '22: low-20s growth reasonable
</t>
        </r>
      </text>
    </comment>
    <comment ref="EL34" authorId="0" shapeId="0" xr:uid="{6DA0E6FC-EF24-418A-A215-D3D853A26286}">
      <text>
        <r>
          <rPr>
            <b/>
            <sz val="8"/>
            <color indexed="81"/>
            <rFont val="Tahoma"/>
            <family val="2"/>
          </rPr>
          <t>1Q23: Launch of NEO Comprehensive Solid Tumor; Well above 20% target</t>
        </r>
        <r>
          <rPr>
            <sz val="8"/>
            <color indexed="81"/>
            <rFont val="Tahoma"/>
            <family val="2"/>
          </rPr>
          <t xml:space="preserve">
</t>
        </r>
      </text>
    </comment>
    <comment ref="EN34" authorId="0" shapeId="0" xr:uid="{095956AF-F358-412B-86A9-CAF3FED8BE4F}">
      <text>
        <r>
          <rPr>
            <b/>
            <sz val="9"/>
            <color indexed="81"/>
            <rFont val="Tahoma"/>
            <family val="2"/>
          </rPr>
          <t xml:space="preserve">3Q23: &gt;35%
</t>
        </r>
        <r>
          <rPr>
            <b/>
            <sz val="8"/>
            <color indexed="81"/>
            <rFont val="Tahoma"/>
            <family val="2"/>
          </rPr>
          <t>(+) solid tumor (myeloid panel)</t>
        </r>
        <r>
          <rPr>
            <sz val="9"/>
            <color indexed="81"/>
            <rFont val="Tahoma"/>
            <family val="2"/>
          </rPr>
          <t xml:space="preserve">
</t>
        </r>
      </text>
    </comment>
    <comment ref="EO34" authorId="0" shapeId="0" xr:uid="{731D6668-28CF-4C8A-BA0B-54594F72C247}">
      <text>
        <r>
          <rPr>
            <b/>
            <sz val="9"/>
            <color indexed="81"/>
            <rFont val="Tahoma"/>
            <family val="2"/>
          </rPr>
          <t>4Q23: &gt;40%</t>
        </r>
      </text>
    </comment>
    <comment ref="EP34" authorId="0" shapeId="0" xr:uid="{3FE5718B-973D-4385-90D3-BA64E2DBD514}">
      <text>
        <r>
          <rPr>
            <b/>
            <sz val="8"/>
            <color indexed="81"/>
            <rFont val="Tahoma"/>
            <family val="2"/>
          </rPr>
          <t>April '23: +20% CAGR over 5 years</t>
        </r>
      </text>
    </comment>
    <comment ref="ER34" authorId="0" shapeId="0" xr:uid="{A8B542AC-6F3E-43A4-BC51-C0397E34CD46}">
      <text>
        <r>
          <rPr>
            <b/>
            <sz val="8"/>
            <color indexed="81"/>
            <rFont val="Tahoma"/>
            <family val="2"/>
          </rPr>
          <t>1Q24: &gt;50%</t>
        </r>
        <r>
          <rPr>
            <sz val="8"/>
            <color indexed="81"/>
            <rFont val="Tahoma"/>
            <family val="2"/>
          </rPr>
          <t xml:space="preserve">
</t>
        </r>
        <r>
          <rPr>
            <b/>
            <sz val="8"/>
            <color indexed="81"/>
            <rFont val="Tahoma"/>
            <family val="2"/>
          </rPr>
          <t>(+) NeoComprehensive</t>
        </r>
      </text>
    </comment>
    <comment ref="ES34" authorId="0" shapeId="0" xr:uid="{2A49BD09-7F1F-4EC6-90FF-939FDBAF1879}">
      <text>
        <r>
          <rPr>
            <b/>
            <sz val="8"/>
            <color indexed="81"/>
            <rFont val="Tahoma"/>
            <family val="2"/>
          </rPr>
          <t>2Q24: &gt;40%</t>
        </r>
        <r>
          <rPr>
            <sz val="8"/>
            <color indexed="81"/>
            <rFont val="Tahoma"/>
            <family val="2"/>
          </rPr>
          <t xml:space="preserve">
</t>
        </r>
      </text>
    </comment>
    <comment ref="ET34" authorId="2" shapeId="0" xr:uid="{76C1EADE-8AEA-40DE-B44D-4F39EA8926C7}">
      <text>
        <r>
          <rPr>
            <b/>
            <sz val="8"/>
            <color indexed="81"/>
            <rFont val="Tahoma"/>
            <family val="2"/>
          </rPr>
          <t>3Q24: 26%</t>
        </r>
      </text>
    </comment>
    <comment ref="EU34" authorId="2" shapeId="0" xr:uid="{CBECF41F-CB9B-40AD-AD5D-C238D371EA5E}">
      <text>
        <r>
          <rPr>
            <b/>
            <sz val="8"/>
            <color indexed="81"/>
            <rFont val="Tahoma"/>
            <family val="2"/>
          </rPr>
          <t>4Q24: +24%</t>
        </r>
      </text>
    </comment>
    <comment ref="EV34" authorId="2" shapeId="0" xr:uid="{C57A28FC-8C1E-4FE0-93C2-BF6BEB8500FA}">
      <text>
        <r>
          <rPr>
            <b/>
            <sz val="8"/>
            <color indexed="81"/>
            <rFont val="Tahoma"/>
            <family val="2"/>
          </rPr>
          <t>4Q24: +34%</t>
        </r>
      </text>
    </comment>
    <comment ref="EX34" authorId="0" shapeId="0" xr:uid="{7AD69780-6463-4EA0-A13C-23E5992282AA}">
      <text>
        <r>
          <rPr>
            <b/>
            <sz val="8"/>
            <color indexed="81"/>
            <rFont val="Tahoma"/>
            <family val="2"/>
          </rPr>
          <t xml:space="preserve">1Q25: +18% </t>
        </r>
        <r>
          <rPr>
            <sz val="9"/>
            <color indexed="81"/>
            <rFont val="Tahoma"/>
            <family val="2"/>
          </rPr>
          <t xml:space="preserve">
</t>
        </r>
      </text>
    </comment>
    <comment ref="EY34" authorId="1" shapeId="0" xr:uid="{DDD9826A-08A5-40CD-8084-093B7DC7ADC4}">
      <text>
        <r>
          <rPr>
            <b/>
            <sz val="8"/>
            <color indexed="81"/>
            <rFont val="Tahoma"/>
            <family val="2"/>
          </rPr>
          <t>2Q25; 23%</t>
        </r>
      </text>
    </comment>
    <comment ref="EZ34" authorId="0" shapeId="0" xr:uid="{FBA68F23-4DE6-458C-9A94-779BC184E029}">
      <text>
        <r>
          <rPr>
            <b/>
            <sz val="8"/>
            <color indexed="81"/>
            <rFont val="Tahoma"/>
            <family val="2"/>
          </rPr>
          <t>3Q25: +24% y/y
- growth mostly from community oncology setting
- growth more volume driven
- good uptake on both liquid and solid</t>
        </r>
        <r>
          <rPr>
            <sz val="9"/>
            <color indexed="81"/>
            <rFont val="Tahoma"/>
            <family val="2"/>
          </rPr>
          <t xml:space="preserve">
</t>
        </r>
      </text>
    </comment>
    <comment ref="FA34" authorId="0" shapeId="0" xr:uid="{6516A327-7BD9-40BA-B796-491B93A44FE9}">
      <text>
        <r>
          <rPr>
            <b/>
            <sz val="9"/>
            <color indexed="81"/>
            <rFont val="Tahoma"/>
            <family val="2"/>
          </rPr>
          <t>4Q25: +23%</t>
        </r>
        <r>
          <rPr>
            <sz val="9"/>
            <color indexed="81"/>
            <rFont val="Tahoma"/>
            <family val="2"/>
          </rPr>
          <t xml:space="preserve">
</t>
        </r>
      </text>
    </comment>
    <comment ref="FB34" authorId="0" shapeId="0" xr:uid="{049E3414-09C2-4BD0-AD42-AF9048A7AEA1}">
      <text>
        <r>
          <rPr>
            <b/>
            <sz val="9"/>
            <color indexed="81"/>
            <rFont val="Tahoma"/>
            <family val="2"/>
          </rPr>
          <t>2Q25: Opportunity to get close to 25%
1Q25: &gt;25% growth y/y
Long-term &gt;30%</t>
        </r>
        <r>
          <rPr>
            <sz val="9"/>
            <color indexed="81"/>
            <rFont val="Tahoma"/>
            <family val="2"/>
          </rPr>
          <t xml:space="preserve">
</t>
        </r>
      </text>
    </comment>
    <comment ref="FH34" authorId="0" shapeId="0" xr:uid="{BB3F27E1-4B19-4EAE-B7FA-1CB4CE3AB89F}">
      <text>
        <r>
          <rPr>
            <b/>
            <sz val="8"/>
            <color indexed="81"/>
            <rFont val="Tahoma"/>
            <family val="2"/>
          </rPr>
          <t>JPM '26: &gt;20% growth w/o PanTracer LBx
Dec '25: Layering NPIs (PanTracer, RaDar) onto '25 growth
Dec '25: 18-22% market growth, well above market in 2026
LRP (est. 1/25): &gt;25%
Long-term &gt;30%</t>
        </r>
        <r>
          <rPr>
            <sz val="9"/>
            <color indexed="81"/>
            <rFont val="Tahoma"/>
            <family val="2"/>
          </rPr>
          <t xml:space="preserve">
</t>
        </r>
      </text>
    </comment>
    <comment ref="FN34" authorId="0" shapeId="0" xr:uid="{B0B9B73E-CBD9-4582-9044-C61DAC765ED2}">
      <text>
        <r>
          <rPr>
            <b/>
            <sz val="8"/>
            <color indexed="81"/>
            <rFont val="Tahoma"/>
            <family val="2"/>
          </rPr>
          <t>Dec '25: 18-22% market growth
LRP (est. 1/25): &gt;25%
Long-term &gt;30%</t>
        </r>
        <r>
          <rPr>
            <sz val="9"/>
            <color indexed="81"/>
            <rFont val="Tahoma"/>
            <family val="2"/>
          </rPr>
          <t xml:space="preserve">
</t>
        </r>
      </text>
    </comment>
    <comment ref="FT34" authorId="0" shapeId="0" xr:uid="{C81F171B-96A4-40CF-9450-FE6A5D1DA897}">
      <text>
        <r>
          <rPr>
            <b/>
            <sz val="8"/>
            <color indexed="81"/>
            <rFont val="Tahoma"/>
            <family val="2"/>
          </rPr>
          <t>Dec '25: 18-22% market growth
LRP (est. 1/25): &gt;25%
Long-term &gt;30%</t>
        </r>
        <r>
          <rPr>
            <sz val="9"/>
            <color indexed="81"/>
            <rFont val="Tahoma"/>
            <family val="2"/>
          </rPr>
          <t xml:space="preserve">
</t>
        </r>
      </text>
    </comment>
    <comment ref="EF35" authorId="0" shapeId="0" xr:uid="{8337873E-5843-4FC7-81E5-E03DD833BF39}">
      <text>
        <r>
          <rPr>
            <b/>
            <sz val="9"/>
            <color indexed="81"/>
            <rFont val="Tahoma"/>
            <family val="2"/>
          </rPr>
          <t>1Q22: Closer to 20% revs</t>
        </r>
        <r>
          <rPr>
            <sz val="9"/>
            <color indexed="81"/>
            <rFont val="Tahoma"/>
            <family val="2"/>
          </rPr>
          <t xml:space="preserve">
</t>
        </r>
      </text>
    </comment>
    <comment ref="EG35" authorId="0" shapeId="0" xr:uid="{5956CFEC-3F32-4602-8ABD-B21F4B7E423A}">
      <text>
        <r>
          <rPr>
            <b/>
            <sz val="9"/>
            <color indexed="81"/>
            <rFont val="Tahoma"/>
            <family val="2"/>
          </rPr>
          <t>2Q22: "above 20% or so"</t>
        </r>
        <r>
          <rPr>
            <sz val="9"/>
            <color indexed="81"/>
            <rFont val="Tahoma"/>
            <family val="2"/>
          </rPr>
          <t xml:space="preserve">
</t>
        </r>
      </text>
    </comment>
    <comment ref="EN35" authorId="0" shapeId="0" xr:uid="{72A4945F-E44D-4CCB-96B2-EFA174055AA0}">
      <text>
        <r>
          <rPr>
            <b/>
            <sz val="9"/>
            <color indexed="81"/>
            <rFont val="Tahoma"/>
            <family val="2"/>
          </rPr>
          <t>3Q22: ~25%</t>
        </r>
        <r>
          <rPr>
            <sz val="9"/>
            <color indexed="81"/>
            <rFont val="Tahoma"/>
            <family val="2"/>
          </rPr>
          <t xml:space="preserve">
</t>
        </r>
      </text>
    </comment>
    <comment ref="EO35" authorId="0" shapeId="0" xr:uid="{D0FA2CFB-A1FF-4ED6-9A80-1CBFCCE3B582}">
      <text>
        <r>
          <rPr>
            <b/>
            <sz val="9"/>
            <color indexed="81"/>
            <rFont val="Tahoma"/>
            <family val="2"/>
          </rPr>
          <t>4Q23: &gt;25%</t>
        </r>
      </text>
    </comment>
    <comment ref="ER35" authorId="0" shapeId="0" xr:uid="{E6A067A9-CEED-428A-BA39-5A3457F5715A}">
      <text>
        <r>
          <rPr>
            <b/>
            <sz val="8"/>
            <color indexed="81"/>
            <rFont val="Tahoma"/>
            <family val="2"/>
          </rPr>
          <t>1Q24: approaching 30%</t>
        </r>
        <r>
          <rPr>
            <sz val="9"/>
            <color indexed="81"/>
            <rFont val="Tahoma"/>
            <family val="2"/>
          </rPr>
          <t xml:space="preserve">
</t>
        </r>
      </text>
    </comment>
    <comment ref="ES35" authorId="0" shapeId="0" xr:uid="{8E72F3C5-C056-420F-B0EB-BC9D8E5D6745}">
      <text>
        <r>
          <rPr>
            <b/>
            <sz val="8"/>
            <color indexed="81"/>
            <rFont val="Tahoma"/>
            <family val="2"/>
          </rPr>
          <t>2Q24: 30%</t>
        </r>
        <r>
          <rPr>
            <sz val="9"/>
            <color indexed="81"/>
            <rFont val="Tahoma"/>
            <family val="2"/>
          </rPr>
          <t xml:space="preserve">
</t>
        </r>
      </text>
    </comment>
    <comment ref="ET35" authorId="2" shapeId="0" xr:uid="{CD7D41B6-E46C-4B73-ADD2-C30A0438E60A}">
      <text>
        <r>
          <rPr>
            <b/>
            <sz val="8"/>
            <color indexed="81"/>
            <rFont val="Tahoma"/>
            <family val="2"/>
          </rPr>
          <t>3Q24: 31%</t>
        </r>
      </text>
    </comment>
    <comment ref="EU35" authorId="2" shapeId="0" xr:uid="{96CA160A-5539-4432-B77B-83443618BC34}">
      <text>
        <r>
          <rPr>
            <b/>
            <sz val="8"/>
            <color indexed="81"/>
            <rFont val="Tahoma"/>
            <family val="2"/>
          </rPr>
          <t>4Q24: &gt;30%</t>
        </r>
      </text>
    </comment>
    <comment ref="EZ35" authorId="0" shapeId="0" xr:uid="{729CDDBD-886E-4F5E-B639-D3734D487498}">
      <text>
        <r>
          <rPr>
            <b/>
            <sz val="8"/>
            <color indexed="81"/>
            <rFont val="Tahoma"/>
            <family val="2"/>
          </rPr>
          <t>3Q25: almost of third of total clinical revenue</t>
        </r>
        <r>
          <rPr>
            <sz val="8"/>
            <color indexed="81"/>
            <rFont val="Tahoma"/>
            <family val="2"/>
          </rPr>
          <t xml:space="preserve">
</t>
        </r>
      </text>
    </comment>
    <comment ref="EP37" authorId="0" shapeId="0" xr:uid="{046459C9-DB6E-492A-911F-40AC7D82EAD9}">
      <text>
        <r>
          <rPr>
            <b/>
            <sz val="8"/>
            <color indexed="81"/>
            <rFont val="Tahoma"/>
            <family val="2"/>
          </rPr>
          <t>Estimated NEO Comprehensive Y1 Revenue</t>
        </r>
        <r>
          <rPr>
            <sz val="9"/>
            <color indexed="81"/>
            <rFont val="Tahoma"/>
            <family val="2"/>
          </rPr>
          <t xml:space="preserve">
</t>
        </r>
      </text>
    </comment>
    <comment ref="EV37" authorId="0" shapeId="0" xr:uid="{72A8B8E5-8F52-40BA-8B82-52F7A8E88C44}">
      <text>
        <r>
          <rPr>
            <b/>
            <sz val="8"/>
            <color indexed="81"/>
            <rFont val="Tahoma"/>
            <family val="2"/>
          </rPr>
          <t>JPM '26: ~2x volumes from '23; higher ASP
Estimated NEO Comprehensive Y2 Revenue</t>
        </r>
        <r>
          <rPr>
            <sz val="8"/>
            <color indexed="81"/>
            <rFont val="Tahoma"/>
            <family val="2"/>
          </rPr>
          <t xml:space="preserve">
</t>
        </r>
      </text>
    </comment>
    <comment ref="FB37" authorId="0" shapeId="0" xr:uid="{9080DB29-BBFE-41F5-968F-F268741AED58}">
      <text>
        <r>
          <rPr>
            <b/>
            <sz val="8"/>
            <color indexed="81"/>
            <rFont val="Tahoma"/>
            <family val="2"/>
          </rPr>
          <t>JPM '26: ~60% volume increase; slight AUP increase</t>
        </r>
        <r>
          <rPr>
            <sz val="9"/>
            <color indexed="81"/>
            <rFont val="Tahoma"/>
            <charset val="1"/>
          </rPr>
          <t xml:space="preserve">
</t>
        </r>
      </text>
    </comment>
    <comment ref="FD38" authorId="0" shapeId="0" xr:uid="{B89F8162-AFCC-444D-9E43-5A1BB3E41DE2}">
      <text>
        <r>
          <rPr>
            <b/>
            <sz val="8"/>
            <color indexed="81"/>
            <rFont val="Tahoma"/>
            <family val="2"/>
          </rPr>
          <t>JPM '26: tissue growing faster since liquid rollout</t>
        </r>
        <r>
          <rPr>
            <sz val="8"/>
            <color indexed="81"/>
            <rFont val="Tahoma"/>
            <family val="2"/>
          </rPr>
          <t xml:space="preserve">
</t>
        </r>
      </text>
    </comment>
    <comment ref="C40" authorId="0" shapeId="0" xr:uid="{382DA020-B601-437C-8F15-E258EBA68376}">
      <text>
        <r>
          <rPr>
            <b/>
            <sz val="8"/>
            <color indexed="81"/>
            <rFont val="Tahoma"/>
            <family val="2"/>
          </rPr>
          <t>Another way to look at PanTracer was their initial solid tumor launch, which added 15-20% to NGS growth on year of launch (went from low 20s in ’22 to +43% in ’23 and +35% in ’24). Implied math on that is $17M in Y1 and $36M in Y2 (+$19M)</t>
        </r>
        <r>
          <rPr>
            <sz val="9"/>
            <color indexed="81"/>
            <rFont val="Tahoma"/>
            <family val="2"/>
          </rPr>
          <t xml:space="preserve">
</t>
        </r>
        <r>
          <rPr>
            <b/>
            <sz val="8"/>
            <color indexed="81"/>
            <rFont val="Tahoma"/>
            <family val="2"/>
          </rPr>
          <t xml:space="preserve">GH G360 Split ('25): Lung, Breast, Colorectal
GH (London '25): "guidelines for lung and breast recommending both tissue and liquid up front."
Caris S-1: "clinical guidelines are increasingly accepting that tissue and liquid biopsy, used in combination, can improve clinical outcomes for patients."
G360 launched mid-2014, without medicare coverage. Proceeded to pick up coverage in 2018 (lung cancer), started getting reimbursement for non-lung solid tumor cancers in 2020. 
</t>
        </r>
      </text>
    </comment>
    <comment ref="EZ41" authorId="0" shapeId="0" xr:uid="{729DFFE9-610C-415E-94C4-805140CA5BC0}">
      <text>
        <r>
          <rPr>
            <b/>
            <sz val="9"/>
            <color indexed="81"/>
            <rFont val="Tahoma"/>
            <family val="2"/>
          </rPr>
          <t xml:space="preserve">3Q25: early signs of positive uptake </t>
        </r>
      </text>
    </comment>
    <comment ref="FH41" authorId="0" shapeId="0" xr:uid="{74C710EC-7AB8-4A8B-AF4C-2C83B7B7BBC6}">
      <text>
        <r>
          <rPr>
            <b/>
            <sz val="9"/>
            <color indexed="81"/>
            <rFont val="Tahoma"/>
            <family val="2"/>
          </rPr>
          <t>GH 360 Liquid, pre MolDx coverage: full Y1: 12k, Y2: 19k, Y3: 26k
GH 360 Liquid, post MolDx coverage: Y4: 30k, Y5: 50k, Y6: 63k</t>
        </r>
        <r>
          <rPr>
            <sz val="9"/>
            <color indexed="81"/>
            <rFont val="Tahoma"/>
            <family val="2"/>
          </rPr>
          <t xml:space="preserve">
</t>
        </r>
      </text>
    </comment>
    <comment ref="FN41" authorId="0" shapeId="0" xr:uid="{E2A12C89-F6CC-437B-B7F0-43C5029FC471}">
      <text>
        <r>
          <rPr>
            <b/>
            <sz val="9"/>
            <color indexed="81"/>
            <rFont val="Tahoma"/>
            <family val="2"/>
          </rPr>
          <t xml:space="preserve">
GH 360 Liquid, pre MolDx coverage: full Y1: 12k, Y2: 19k, Y3: 26k
GH 360 Liquid, post MolDx coverage: Y4: 30k, Y5: 50k, Y6: 63k</t>
        </r>
        <r>
          <rPr>
            <sz val="9"/>
            <color indexed="81"/>
            <rFont val="Tahoma"/>
            <family val="2"/>
          </rPr>
          <t xml:space="preserve">
</t>
        </r>
      </text>
    </comment>
    <comment ref="FT41" authorId="0" shapeId="0" xr:uid="{61C1D0B1-94BD-48D7-B404-3638494CDAC6}">
      <text>
        <r>
          <rPr>
            <b/>
            <sz val="9"/>
            <color indexed="81"/>
            <rFont val="Tahoma"/>
            <family val="2"/>
          </rPr>
          <t xml:space="preserve">
GH 360 Liquid, pre MolDx coverage: full Y1: 12k, Y2: 19k, Y3: 26k
GH 360 Liquid, post MolDx coverage: Y4: 30k, Y5: 50k, Y6: 63k</t>
        </r>
        <r>
          <rPr>
            <sz val="9"/>
            <color indexed="81"/>
            <rFont val="Tahoma"/>
            <family val="2"/>
          </rPr>
          <t xml:space="preserve">
</t>
        </r>
      </text>
    </comment>
    <comment ref="EZ42" authorId="0" shapeId="0" xr:uid="{EE626DAF-128F-495F-980D-AE3D7B4EC1EF}">
      <text>
        <r>
          <rPr>
            <b/>
            <sz val="9"/>
            <color indexed="81"/>
            <rFont val="Tahoma"/>
            <family val="2"/>
          </rPr>
          <t>3Q25: now recovering COGS on LBx - assume ~$1k</t>
        </r>
        <r>
          <rPr>
            <sz val="9"/>
            <color indexed="81"/>
            <rFont val="Tahoma"/>
            <family val="2"/>
          </rPr>
          <t xml:space="preserve">
</t>
        </r>
      </text>
    </comment>
    <comment ref="FA42" authorId="0" shapeId="0" xr:uid="{29F29FC6-B052-4C90-945B-9810A0C58595}">
      <text>
        <r>
          <rPr>
            <b/>
            <sz val="9"/>
            <color indexed="81"/>
            <rFont val="Tahoma"/>
            <family val="2"/>
          </rPr>
          <t>2Q25: expect Medicare reimbursement by year-end</t>
        </r>
        <r>
          <rPr>
            <sz val="9"/>
            <color indexed="81"/>
            <rFont val="Tahoma"/>
            <family val="2"/>
          </rPr>
          <t xml:space="preserve">
</t>
        </r>
      </text>
    </comment>
    <comment ref="FN42" authorId="0" shapeId="0" xr:uid="{4E2BDBAD-D5D2-4A6A-BC93-EB69DC3EDCC9}">
      <text>
        <r>
          <rPr>
            <b/>
            <sz val="8"/>
            <color indexed="81"/>
            <rFont val="Tahoma"/>
            <family val="2"/>
          </rPr>
          <t>~$3k in-line with G360 liquid and CLFS rate</t>
        </r>
        <r>
          <rPr>
            <sz val="9"/>
            <color indexed="81"/>
            <rFont val="Tahoma"/>
            <family val="2"/>
          </rPr>
          <t xml:space="preserve">
</t>
        </r>
      </text>
    </comment>
    <comment ref="FT42" authorId="0" shapeId="0" xr:uid="{4FB52E32-C474-48C6-8F93-E8DC9864605E}">
      <text>
        <r>
          <rPr>
            <b/>
            <sz val="8"/>
            <color indexed="81"/>
            <rFont val="Tahoma"/>
            <family val="2"/>
          </rPr>
          <t>~$3k in-line with G360 liquid and CLFS rate</t>
        </r>
        <r>
          <rPr>
            <sz val="9"/>
            <color indexed="81"/>
            <rFont val="Tahoma"/>
            <family val="2"/>
          </rPr>
          <t xml:space="preserve">
</t>
        </r>
      </text>
    </comment>
    <comment ref="FF43" authorId="0" shapeId="0" xr:uid="{A6C8763D-7372-4556-B4F7-1CE49970A62D}">
      <text>
        <r>
          <rPr>
            <b/>
            <sz val="9"/>
            <color indexed="81"/>
            <rFont val="Tahoma"/>
            <family val="2"/>
          </rPr>
          <t>4Q25: current guide only assumes revenue in 2H26</t>
        </r>
        <r>
          <rPr>
            <sz val="9"/>
            <color indexed="81"/>
            <rFont val="Tahoma"/>
            <family val="2"/>
          </rPr>
          <t xml:space="preserve">
</t>
        </r>
      </text>
    </comment>
    <comment ref="FG43" authorId="0" shapeId="0" xr:uid="{AA7A16DC-EFC6-48EE-9CDD-293DF621F2B4}">
      <text>
        <r>
          <rPr>
            <b/>
            <sz val="9"/>
            <color indexed="81"/>
            <rFont val="Tahoma"/>
            <family val="2"/>
          </rPr>
          <t>4Q25: current guide only assumes revenue in 2H26</t>
        </r>
        <r>
          <rPr>
            <sz val="9"/>
            <color indexed="81"/>
            <rFont val="Tahoma"/>
            <family val="2"/>
          </rPr>
          <t xml:space="preserve">
</t>
        </r>
      </text>
    </comment>
    <comment ref="C48" authorId="0" shapeId="0" xr:uid="{98F65A49-229F-4D87-BB13-68288514FCFF}">
      <text>
        <r>
          <rPr>
            <b/>
            <sz val="8"/>
            <color indexed="81"/>
            <rFont val="Tahoma"/>
            <family val="2"/>
          </rPr>
          <t xml:space="preserve">JPM '26 update: submitted indications to expand TAM from 230k to nearly 600k
Clinical launching 1Q26 with Breast and Head/Neck coverage (near adjuvant, adjuvant, surveillance)
</t>
        </r>
        <r>
          <rPr>
            <b/>
            <u/>
            <sz val="8"/>
            <color indexed="81"/>
            <rFont val="Tahoma"/>
            <family val="2"/>
          </rPr>
          <t>Head and Neck</t>
        </r>
        <r>
          <rPr>
            <b/>
            <sz val="8"/>
            <color indexed="81"/>
            <rFont val="Tahoma"/>
            <family val="2"/>
          </rPr>
          <t xml:space="preserve">
Only MRD test for Head/Neck with MolDx approval - significant unmet need with low market penetration / less competition --&gt; more strategic focus here
Head/Neck market size: ~60k per year, estimate 20k HPV-ive patients on head and neck (roughly 1/3 of cases)
NEO: 20k addressable population
Competitors = NONE
</t>
        </r>
        <r>
          <rPr>
            <b/>
            <u/>
            <sz val="8"/>
            <color indexed="81"/>
            <rFont val="Tahoma"/>
            <family val="2"/>
          </rPr>
          <t>Breast</t>
        </r>
        <r>
          <rPr>
            <b/>
            <sz val="8"/>
            <color indexed="81"/>
            <rFont val="Tahoma"/>
            <family val="2"/>
          </rPr>
          <t xml:space="preserve">
Breast has biggest TAM in MRD - $4B (per SAGA). 379k patients annual vs. 154 CRC. HR-positive, HER-2 negative = roughly 75% of cases, so 275k patients (or roughly 2x CRC TAM). 90% early stage so call it 250k patients; SAGA recently quoted around 200k. And within that around 40% are high-risk. So call it 80-100k that could immediately benefit from intensive MRD.
NEO: 210k addressable population
Competitors: SAGA, GH Reveal, NTRA Signatera </t>
        </r>
      </text>
    </comment>
    <comment ref="FD49" authorId="0" shapeId="0" xr:uid="{7521A1CA-75D2-4FAA-ADA2-D65241F15006}">
      <text>
        <r>
          <rPr>
            <b/>
            <sz val="8"/>
            <color indexed="81"/>
            <rFont val="Tahoma"/>
            <family val="2"/>
          </rPr>
          <t>4Q25: launch by end of February
3Q25: launch in 1Q with reimbursement</t>
        </r>
        <r>
          <rPr>
            <sz val="9"/>
            <color indexed="81"/>
            <rFont val="Tahoma"/>
            <family val="2"/>
          </rPr>
          <t xml:space="preserve">
</t>
        </r>
      </text>
    </comment>
    <comment ref="FH49" authorId="0" shapeId="0" xr:uid="{7FED57F0-6BF0-4169-9F22-18C0A2ED9223}">
      <text>
        <r>
          <rPr>
            <b/>
            <sz val="9"/>
            <color indexed="81"/>
            <rFont val="Tahoma"/>
            <family val="2"/>
          </rPr>
          <t>GH Reveal with CRC Medicare coverage: full Y1: 9.5k, Y2: 17k, Y3: 34k</t>
        </r>
        <r>
          <rPr>
            <sz val="9"/>
            <color indexed="81"/>
            <rFont val="Tahoma"/>
            <family val="2"/>
          </rPr>
          <t xml:space="preserve">
</t>
        </r>
      </text>
    </comment>
    <comment ref="FN49" authorId="0" shapeId="0" xr:uid="{37F588AF-28C7-4C62-ADA1-BE1CB2ACA8CC}">
      <text>
        <r>
          <rPr>
            <b/>
            <sz val="9"/>
            <color indexed="81"/>
            <rFont val="Tahoma"/>
            <family val="2"/>
          </rPr>
          <t>GH Reveal with CRC Medicare coverage: full Y1: 9.5k, Y2: 17k, Y3: 34k</t>
        </r>
        <r>
          <rPr>
            <sz val="9"/>
            <color indexed="81"/>
            <rFont val="Tahoma"/>
            <family val="2"/>
          </rPr>
          <t xml:space="preserve">
</t>
        </r>
      </text>
    </comment>
    <comment ref="FT49" authorId="0" shapeId="0" xr:uid="{9DCA7EA6-AEF8-4BD4-AD7A-B7B047686BA9}">
      <text>
        <r>
          <rPr>
            <b/>
            <sz val="9"/>
            <color indexed="81"/>
            <rFont val="Tahoma"/>
            <family val="2"/>
          </rPr>
          <t>GH Reveal with CRC Medicare coverage: full Y1: 9.5k, Y2: 17k, Y3: 34k</t>
        </r>
        <r>
          <rPr>
            <sz val="9"/>
            <color indexed="81"/>
            <rFont val="Tahoma"/>
            <family val="2"/>
          </rPr>
          <t xml:space="preserve">
</t>
        </r>
      </text>
    </comment>
    <comment ref="FD50" authorId="0" shapeId="0" xr:uid="{C8F252A4-8F9A-4E3C-B1FA-F1C380F4554C}">
      <text>
        <r>
          <rPr>
            <b/>
            <sz val="8"/>
            <color indexed="81"/>
            <rFont val="Tahoma"/>
            <family val="2"/>
          </rPr>
          <t>Dec '25: ~$3,900 ASP for first, $1k for follow</t>
        </r>
        <r>
          <rPr>
            <b/>
            <sz val="9"/>
            <color indexed="81"/>
            <rFont val="Tahoma"/>
            <family val="2"/>
          </rPr>
          <t xml:space="preserve"> </t>
        </r>
        <r>
          <rPr>
            <sz val="9"/>
            <color indexed="81"/>
            <rFont val="Tahoma"/>
            <charset val="1"/>
          </rPr>
          <t xml:space="preserve">
</t>
        </r>
      </text>
    </comment>
    <comment ref="FH50" authorId="0" shapeId="0" xr:uid="{2F8EFF13-277F-462B-83D0-26A99BD26286}">
      <text>
        <r>
          <rPr>
            <b/>
            <sz val="8"/>
            <color indexed="81"/>
            <rFont val="Tahoma"/>
            <family val="2"/>
          </rPr>
          <t xml:space="preserve">Dec '25: ~$3,900 ASP for time-point, $1k for surveillance
DGX: $3.9k timepoint, $800k follow
Signatera: $3.9k timepoint, $1k follow; ~$1.2k realized ASP
GH Reveal: $2.9k ADLT, $800 follow; ~$700 realized ASP
GH Reveal full Y1 ASP ~$500/test - ASP </t>
        </r>
        <r>
          <rPr>
            <sz val="9"/>
            <color indexed="81"/>
            <rFont val="Tahoma"/>
            <family val="2"/>
          </rPr>
          <t xml:space="preserve">
</t>
        </r>
      </text>
    </comment>
    <comment ref="FN50" authorId="0" shapeId="0" xr:uid="{6F13F0A1-C65C-495B-9C0E-4855BEDEC89D}">
      <text>
        <r>
          <rPr>
            <b/>
            <sz val="8"/>
            <color indexed="81"/>
            <rFont val="Tahoma"/>
            <family val="2"/>
          </rPr>
          <t xml:space="preserve">Dec '25: ~$3,900 ASP for time-point, $1k for surveillance
DGX: $3.9k timepoint, $800k follow
Signatera: $3.9k timepoint, $1k follow; ~$1.2k realized ASP
GH Reveal: $2.9k ADLT, $800 follow; ~$700 realized ASP
GH Reveal full Y1 ASP ~$500/test - ASP </t>
        </r>
        <r>
          <rPr>
            <sz val="9"/>
            <color indexed="81"/>
            <rFont val="Tahoma"/>
            <family val="2"/>
          </rPr>
          <t xml:space="preserve">
</t>
        </r>
      </text>
    </comment>
    <comment ref="FT50" authorId="0" shapeId="0" xr:uid="{097DDD01-7518-4872-90D8-49C9148C7FFB}">
      <text>
        <r>
          <rPr>
            <b/>
            <sz val="8"/>
            <color indexed="81"/>
            <rFont val="Tahoma"/>
            <family val="2"/>
          </rPr>
          <t xml:space="preserve">Dec '25: ~$3,900 ASP for time-point, $1k for surveillance
DGX: $3.9k timepoint, $800k follow
Signatera: $3.9k timepoint, $1k follow; ~$1.2k realized ASP
GH Reveal: $2.9k ADLT, $800 follow; ~$700 realized ASP
GH Reveal full Y1 ASP ~$500/test - ASP </t>
        </r>
        <r>
          <rPr>
            <sz val="9"/>
            <color indexed="81"/>
            <rFont val="Tahoma"/>
            <family val="2"/>
          </rPr>
          <t xml:space="preserve">
</t>
        </r>
      </text>
    </comment>
    <comment ref="FH51" authorId="0" shapeId="0" xr:uid="{BD23A958-D06A-4FDB-A7FE-AD6B0AFAD399}">
      <text>
        <r>
          <rPr>
            <b/>
            <sz val="9"/>
            <color indexed="81"/>
            <rFont val="Tahoma"/>
            <family val="2"/>
          </rPr>
          <t>4Q25: ~$MSD</t>
        </r>
        <r>
          <rPr>
            <sz val="9"/>
            <color indexed="81"/>
            <rFont val="Tahoma"/>
            <family val="2"/>
          </rPr>
          <t xml:space="preserve">
</t>
        </r>
      </text>
    </comment>
    <comment ref="C56" authorId="0" shapeId="0" xr:uid="{6428CB7D-8AA8-4348-B4D8-902E8722CA6F}">
      <text>
        <r>
          <rPr>
            <b/>
            <sz val="8"/>
            <color indexed="81"/>
            <rFont val="Tahoma"/>
            <family val="2"/>
          </rPr>
          <t xml:space="preserve">Includes FISH, flow cytometry, cytogenetics, immunohistochemistry (IHC), other molecular
Market = "several billion" growing +4-5% per year; ~70% penetrated, NEO has "relatively low share", opportunity for market-share gains
Dec '25: growing 6-7% of in markets growing 4-5% per annum, driven by guidelines and more cancer diagnoses. Will be cannablized by NGS over time.
</t>
        </r>
      </text>
    </comment>
    <comment ref="FH57" authorId="0" shapeId="0" xr:uid="{61D8AE78-360F-442F-8885-7950786D1E06}">
      <text>
        <r>
          <rPr>
            <b/>
            <sz val="9"/>
            <color indexed="81"/>
            <rFont val="Tahoma"/>
            <family val="2"/>
          </rPr>
          <t>JPM '26: grow at least market rate (4-5%)</t>
        </r>
      </text>
    </comment>
    <comment ref="EY60" authorId="0" shapeId="0" xr:uid="{5B466050-1356-4284-A91F-7D4EC52AC9D7}">
      <text>
        <r>
          <rPr>
            <b/>
            <sz val="8"/>
            <color indexed="81"/>
            <rFont val="Tahoma"/>
            <family val="2"/>
          </rPr>
          <t>2Q25: $4.7M
1Q25: expect $3-4M</t>
        </r>
        <r>
          <rPr>
            <sz val="9"/>
            <color indexed="81"/>
            <rFont val="Tahoma"/>
            <family val="2"/>
          </rPr>
          <t xml:space="preserve">
</t>
        </r>
      </text>
    </comment>
    <comment ref="EZ60" authorId="0" shapeId="0" xr:uid="{AAE6AE88-BB6B-4269-A344-3B12B45279E0}">
      <text>
        <r>
          <rPr>
            <b/>
            <sz val="9"/>
            <color indexed="81"/>
            <rFont val="Tahoma"/>
            <family val="2"/>
          </rPr>
          <t>3Q25: $4.6M (10-Q)</t>
        </r>
        <r>
          <rPr>
            <sz val="9"/>
            <color indexed="81"/>
            <rFont val="Tahoma"/>
            <family val="2"/>
          </rPr>
          <t xml:space="preserve">
</t>
        </r>
      </text>
    </comment>
    <comment ref="FB60" authorId="0" shapeId="0" xr:uid="{92F6AA6D-9A67-4337-8CB2-D20E13E6B9E9}">
      <text>
        <r>
          <rPr>
            <b/>
            <sz val="8"/>
            <color indexed="81"/>
            <rFont val="Tahoma"/>
            <family val="2"/>
          </rPr>
          <t>1Q25: $12-14M for Pathline contribution in '25 (3 quarters, w/ transition related disruptions)</t>
        </r>
        <r>
          <rPr>
            <sz val="9"/>
            <color indexed="81"/>
            <rFont val="Tahoma"/>
            <family val="2"/>
          </rPr>
          <t xml:space="preserve">
</t>
        </r>
      </text>
    </comment>
    <comment ref="EZ66" authorId="0" shapeId="0" xr:uid="{94EBA137-521B-41FC-9313-4B89AB0C8178}">
      <text>
        <r>
          <rPr>
            <b/>
            <sz val="8"/>
            <color indexed="81"/>
            <rFont val="Tahoma"/>
            <family val="2"/>
          </rPr>
          <t>3Q25: +18%</t>
        </r>
        <r>
          <rPr>
            <sz val="8"/>
            <color indexed="81"/>
            <rFont val="Tahoma"/>
            <family val="2"/>
          </rPr>
          <t xml:space="preserve">
</t>
        </r>
      </text>
    </comment>
    <comment ref="FH66" authorId="0" shapeId="0" xr:uid="{59D0FC3E-7243-447D-9B06-EE68CE5B2815}">
      <text>
        <r>
          <rPr>
            <b/>
            <sz val="9"/>
            <color indexed="81"/>
            <rFont val="Tahoma"/>
            <family val="2"/>
          </rPr>
          <t>4Q25: ~11%</t>
        </r>
        <r>
          <rPr>
            <sz val="9"/>
            <color indexed="81"/>
            <rFont val="Tahoma"/>
            <family val="2"/>
          </rPr>
          <t xml:space="preserve">
</t>
        </r>
      </text>
    </comment>
    <comment ref="FA67" authorId="0" shapeId="0" xr:uid="{98C8EC34-A0EF-418A-A3F4-BC25FD52B564}">
      <text>
        <r>
          <rPr>
            <b/>
            <sz val="9"/>
            <color indexed="81"/>
            <rFont val="Tahoma"/>
            <family val="2"/>
          </rPr>
          <t>4Q25: +14%</t>
        </r>
        <r>
          <rPr>
            <sz val="9"/>
            <color indexed="81"/>
            <rFont val="Tahoma"/>
            <family val="2"/>
          </rPr>
          <t xml:space="preserve">
</t>
        </r>
      </text>
    </comment>
    <comment ref="FB67" authorId="0" shapeId="0" xr:uid="{98D70E7B-6051-45CD-BB84-8C42653247ED}">
      <text>
        <r>
          <rPr>
            <b/>
            <sz val="9"/>
            <color indexed="81"/>
            <rFont val="Tahoma"/>
            <family val="2"/>
          </rPr>
          <t>4Q25: +13%</t>
        </r>
        <r>
          <rPr>
            <sz val="9"/>
            <color indexed="81"/>
            <rFont val="Tahoma"/>
            <family val="2"/>
          </rPr>
          <t xml:space="preserve">
</t>
        </r>
      </text>
    </comment>
    <comment ref="FA69" authorId="0" shapeId="0" xr:uid="{5B13391C-5343-4B90-B98A-E162704E9061}">
      <text>
        <r>
          <rPr>
            <b/>
            <sz val="9"/>
            <color indexed="81"/>
            <rFont val="Tahoma"/>
            <family val="2"/>
          </rPr>
          <t>4Q25: 356,136</t>
        </r>
      </text>
    </comment>
    <comment ref="FH70" authorId="0" shapeId="0" xr:uid="{27BC255C-B372-409A-BCC3-6BB36A0856C9}">
      <text>
        <r>
          <rPr>
            <b/>
            <sz val="9"/>
            <color indexed="81"/>
            <rFont val="Tahoma"/>
            <family val="2"/>
          </rPr>
          <t>4Q25: L/MSD range</t>
        </r>
      </text>
    </comment>
    <comment ref="FN70" authorId="0" shapeId="0" xr:uid="{9BB12DA3-859F-4507-91C3-1C2B38297663}">
      <text>
        <r>
          <rPr>
            <b/>
            <sz val="9"/>
            <color indexed="81"/>
            <rFont val="Tahoma"/>
            <family val="2"/>
          </rPr>
          <t>4Q25: L/MSD range</t>
        </r>
      </text>
    </comment>
    <comment ref="FT70" authorId="0" shapeId="0" xr:uid="{EC9A75FC-4180-4B15-B79F-178B23382A3B}">
      <text>
        <r>
          <rPr>
            <b/>
            <sz val="9"/>
            <color indexed="81"/>
            <rFont val="Tahoma"/>
            <family val="2"/>
          </rPr>
          <t>4Q25: L/MSD range</t>
        </r>
      </text>
    </comment>
    <comment ref="FA71" authorId="0" shapeId="0" xr:uid="{2BCC1D75-9052-48F2-AC9B-FD9C0F48DFEF}">
      <text>
        <r>
          <rPr>
            <b/>
            <sz val="9"/>
            <color indexed="81"/>
            <rFont val="Tahoma"/>
            <family val="2"/>
          </rPr>
          <t>4Q25: +6%</t>
        </r>
        <r>
          <rPr>
            <sz val="9"/>
            <color indexed="81"/>
            <rFont val="Tahoma"/>
            <family val="2"/>
          </rPr>
          <t xml:space="preserve">
</t>
        </r>
      </text>
    </comment>
    <comment ref="FB71" authorId="0" shapeId="0" xr:uid="{8DA19BB0-DA36-43FA-8FCB-E81385BB8E8D}">
      <text>
        <r>
          <rPr>
            <b/>
            <sz val="9"/>
            <color indexed="81"/>
            <rFont val="Tahoma"/>
            <family val="2"/>
          </rPr>
          <t>4Q25: +9%</t>
        </r>
        <r>
          <rPr>
            <sz val="9"/>
            <color indexed="81"/>
            <rFont val="Tahoma"/>
            <family val="2"/>
          </rPr>
          <t xml:space="preserve">
</t>
        </r>
      </text>
    </comment>
    <comment ref="FA73" authorId="0" shapeId="0" xr:uid="{14E93013-5B3B-4B69-8C60-7D833B58A092}">
      <text>
        <r>
          <rPr>
            <b/>
            <sz val="9"/>
            <color indexed="81"/>
            <rFont val="Tahoma"/>
            <family val="2"/>
          </rPr>
          <t>4Q25: $488</t>
        </r>
      </text>
    </comment>
    <comment ref="FH74" authorId="0" shapeId="0" xr:uid="{C9F569C4-F7DF-4941-BAA3-D74B94DB2FF4}">
      <text>
        <r>
          <rPr>
            <b/>
            <sz val="9"/>
            <color indexed="81"/>
            <rFont val="Tahoma"/>
            <family val="2"/>
          </rPr>
          <t>4Q25: upper SD range</t>
        </r>
      </text>
    </comment>
    <comment ref="FN74" authorId="0" shapeId="0" xr:uid="{9987B9B4-B1BA-495D-81A4-0F159C4A3939}">
      <text>
        <r>
          <rPr>
            <b/>
            <sz val="9"/>
            <color indexed="81"/>
            <rFont val="Tahoma"/>
            <family val="2"/>
          </rPr>
          <t>4Q25: upper SD range</t>
        </r>
      </text>
    </comment>
    <comment ref="FT74" authorId="0" shapeId="0" xr:uid="{406D7894-E52C-4958-9201-2C829FD86C70}">
      <text>
        <r>
          <rPr>
            <b/>
            <sz val="9"/>
            <color indexed="81"/>
            <rFont val="Tahoma"/>
            <family val="2"/>
          </rPr>
          <t>4Q25: upper SD range</t>
        </r>
      </text>
    </comment>
    <comment ref="FA75" authorId="0" shapeId="0" xr:uid="{84FD7CFF-CC22-4EB8-BB3B-93AB00537E76}">
      <text>
        <r>
          <rPr>
            <b/>
            <sz val="9"/>
            <color indexed="81"/>
            <rFont val="Tahoma"/>
            <family val="2"/>
          </rPr>
          <t>4Q25: +7%</t>
        </r>
        <r>
          <rPr>
            <sz val="9"/>
            <color indexed="81"/>
            <rFont val="Tahoma"/>
            <family val="2"/>
          </rPr>
          <t xml:space="preserve">
</t>
        </r>
      </text>
    </comment>
    <comment ref="FB75" authorId="0" shapeId="0" xr:uid="{8AC1CAA0-31B2-4D3F-AEB1-F0F2020F072E}">
      <text>
        <r>
          <rPr>
            <b/>
            <sz val="9"/>
            <color indexed="81"/>
            <rFont val="Tahoma"/>
            <family val="2"/>
          </rPr>
          <t>4Q25: +4%</t>
        </r>
        <r>
          <rPr>
            <sz val="9"/>
            <color indexed="81"/>
            <rFont val="Tahoma"/>
            <family val="2"/>
          </rPr>
          <t xml:space="preserve">
</t>
        </r>
      </text>
    </comment>
    <comment ref="C78" authorId="0" shapeId="0" xr:uid="{D6E3AF36-514A-422F-8B89-20DE78773F1F}">
      <text>
        <r>
          <rPr>
            <b/>
            <sz val="9"/>
            <color indexed="81"/>
            <rFont val="Tahoma"/>
            <family val="2"/>
          </rPr>
          <t>Pharma = ~75% mix
Informatics = ~25% mix</t>
        </r>
        <r>
          <rPr>
            <sz val="9"/>
            <color indexed="81"/>
            <rFont val="Tahoma"/>
            <family val="2"/>
          </rPr>
          <t xml:space="preserve">
</t>
        </r>
      </text>
    </comment>
    <comment ref="EP78" authorId="0" shapeId="0" xr:uid="{8241D232-92FA-4E50-BF60-5E5A38B60C82}">
      <text>
        <r>
          <rPr>
            <b/>
            <sz val="8"/>
            <color indexed="81"/>
            <rFont val="Tahoma"/>
            <family val="2"/>
          </rPr>
          <t>3Q25: $6-7M with RaDaR</t>
        </r>
        <r>
          <rPr>
            <sz val="9"/>
            <color indexed="81"/>
            <rFont val="Tahoma"/>
            <family val="2"/>
          </rPr>
          <t xml:space="preserve">
</t>
        </r>
      </text>
    </comment>
    <comment ref="EU78" authorId="0" shapeId="0" xr:uid="{3E1F72E8-9807-4F50-B800-D38ED52E7F38}">
      <text>
        <r>
          <rPr>
            <b/>
            <sz val="8"/>
            <color indexed="81"/>
            <rFont val="Tahoma"/>
            <family val="2"/>
          </rPr>
          <t>4Q24: grew q/q, less budget flush than anticipated</t>
        </r>
        <r>
          <rPr>
            <sz val="9"/>
            <color indexed="81"/>
            <rFont val="Tahoma"/>
            <family val="2"/>
          </rPr>
          <t xml:space="preserve">
</t>
        </r>
      </text>
    </comment>
    <comment ref="EV78" authorId="0" shapeId="0" xr:uid="{629AD66B-8C10-417D-A0B3-5E97B01C92C6}">
      <text>
        <r>
          <rPr>
            <b/>
            <sz val="8"/>
            <color indexed="81"/>
            <rFont val="Tahoma"/>
            <family val="2"/>
          </rPr>
          <t>3Q25: $6-7M with RaDaR</t>
        </r>
        <r>
          <rPr>
            <sz val="9"/>
            <color indexed="81"/>
            <rFont val="Tahoma"/>
            <family val="2"/>
          </rPr>
          <t xml:space="preserve">
</t>
        </r>
      </text>
    </comment>
    <comment ref="EX78" authorId="0" shapeId="0" xr:uid="{327F3030-E8D8-4DD3-9BA1-D94CC7E12763}">
      <text>
        <r>
          <rPr>
            <b/>
            <sz val="8"/>
            <color indexed="81"/>
            <rFont val="Tahoma"/>
            <family val="2"/>
          </rPr>
          <t>1Q25: lower non-clinical revenue</t>
        </r>
        <r>
          <rPr>
            <sz val="9"/>
            <color indexed="81"/>
            <rFont val="Tahoma"/>
            <family val="2"/>
          </rPr>
          <t xml:space="preserve">
</t>
        </r>
      </text>
    </comment>
    <comment ref="FB78" authorId="0" shapeId="0" xr:uid="{A8326DA8-2FBB-4D5B-962C-0FE71081364A}">
      <text>
        <r>
          <rPr>
            <b/>
            <sz val="8"/>
            <color indexed="81"/>
            <rFont val="Tahoma"/>
            <family val="2"/>
          </rPr>
          <t>3Q25: pharma will continue to be soft in 4Q and 2026
2Q25: $7M gap will increase, cannot make up Pharma Services with clinical revs
1Q25: Down ~$7M for the year. Decline due to Pharma, offset in part by modest increase in Informatics</t>
        </r>
        <r>
          <rPr>
            <sz val="9"/>
            <color indexed="81"/>
            <rFont val="Tahoma"/>
            <family val="2"/>
          </rPr>
          <t xml:space="preserve">
</t>
        </r>
      </text>
    </comment>
    <comment ref="FD78" authorId="0" shapeId="0" xr:uid="{EFCFAF69-9FDA-47E0-ABAD-5F1F198B775D}">
      <text>
        <r>
          <rPr>
            <b/>
            <sz val="8"/>
            <color indexed="81"/>
            <rFont val="Tahoma"/>
            <family val="2"/>
          </rPr>
          <t>Jan '26: should be stable Q/Q</t>
        </r>
        <r>
          <rPr>
            <sz val="8"/>
            <color indexed="81"/>
            <rFont val="Tahoma"/>
            <family val="2"/>
          </rPr>
          <t xml:space="preserve">
</t>
        </r>
      </text>
    </comment>
    <comment ref="FE78" authorId="0" shapeId="0" xr:uid="{1C0A59FB-FCF3-40C3-9093-343C1249650E}">
      <text>
        <r>
          <rPr>
            <b/>
            <sz val="8"/>
            <color indexed="81"/>
            <rFont val="Tahoma"/>
            <family val="2"/>
          </rPr>
          <t>Jan '26: should be stable Q/Q</t>
        </r>
        <r>
          <rPr>
            <sz val="8"/>
            <color indexed="81"/>
            <rFont val="Tahoma"/>
            <family val="2"/>
          </rPr>
          <t xml:space="preserve">
</t>
        </r>
      </text>
    </comment>
    <comment ref="FF78" authorId="0" shapeId="0" xr:uid="{47030504-76BD-4D7F-92F8-38ABB6933E15}">
      <text>
        <r>
          <rPr>
            <b/>
            <sz val="8"/>
            <color indexed="81"/>
            <rFont val="Tahoma"/>
            <family val="2"/>
          </rPr>
          <t>4Q25: modest contribution from RaDaR ST
Jan '26: should be stable Q/Q</t>
        </r>
        <r>
          <rPr>
            <sz val="8"/>
            <color indexed="81"/>
            <rFont val="Tahoma"/>
            <family val="2"/>
          </rPr>
          <t xml:space="preserve">
</t>
        </r>
      </text>
    </comment>
    <comment ref="FG78" authorId="0" shapeId="0" xr:uid="{97D98091-EEDE-4A49-B8B1-3723FC971AD4}">
      <text>
        <r>
          <rPr>
            <b/>
            <sz val="8"/>
            <color indexed="81"/>
            <rFont val="Tahoma"/>
            <family val="2"/>
          </rPr>
          <t>4Q25: modest contribution from RaDaR ST
Jan '26: should be stable Q/Q</t>
        </r>
        <r>
          <rPr>
            <sz val="8"/>
            <color indexed="81"/>
            <rFont val="Tahoma"/>
            <family val="2"/>
          </rPr>
          <t xml:space="preserve">
</t>
        </r>
      </text>
    </comment>
    <comment ref="FH78" authorId="0" shapeId="0" xr:uid="{488157C0-B554-4E04-BC79-1C6C9812CDA8}">
      <text>
        <r>
          <rPr>
            <b/>
            <sz val="8"/>
            <color indexed="81"/>
            <rFont val="Tahoma"/>
            <family val="2"/>
          </rPr>
          <t>3Q25: ramp back to $6-7M in RaDaR revenues will take time</t>
        </r>
        <r>
          <rPr>
            <sz val="8"/>
            <color indexed="81"/>
            <rFont val="Tahoma"/>
            <family val="2"/>
          </rPr>
          <t xml:space="preserve">
</t>
        </r>
      </text>
    </comment>
    <comment ref="FN78" authorId="0" shapeId="0" xr:uid="{A2446E97-1F63-4C1A-8D0F-431D91186248}">
      <text>
        <r>
          <rPr>
            <b/>
            <sz val="8"/>
            <color indexed="81"/>
            <rFont val="Tahoma"/>
            <family val="2"/>
          </rPr>
          <t>3Q25: ramp back to $6-7M in RaDaR revenues will take time</t>
        </r>
        <r>
          <rPr>
            <sz val="8"/>
            <color indexed="81"/>
            <rFont val="Tahoma"/>
            <family val="2"/>
          </rPr>
          <t xml:space="preserve">
</t>
        </r>
      </text>
    </comment>
    <comment ref="FT78" authorId="0" shapeId="0" xr:uid="{3AC681F8-1D1A-4B3C-B882-1E6C1405D0A8}">
      <text>
        <r>
          <rPr>
            <b/>
            <sz val="8"/>
            <color indexed="81"/>
            <rFont val="Tahoma"/>
            <family val="2"/>
          </rPr>
          <t>3Q25: ramp back to $6-7M in RaDaR revenues will take time</t>
        </r>
        <r>
          <rPr>
            <sz val="8"/>
            <color indexed="81"/>
            <rFont val="Tahoma"/>
            <family val="2"/>
          </rPr>
          <t xml:space="preserve">
</t>
        </r>
      </text>
    </comment>
    <comment ref="EO79" authorId="0" shapeId="0" xr:uid="{AF2D802B-7E08-4291-AC1E-0A6AF0625516}">
      <text>
        <r>
          <rPr>
            <b/>
            <sz val="8"/>
            <color indexed="81"/>
            <rFont val="Tahoma"/>
            <family val="2"/>
          </rPr>
          <t>4Q23: (-) comp, macro, pharma R&amp;D</t>
        </r>
        <r>
          <rPr>
            <sz val="9"/>
            <color indexed="81"/>
            <rFont val="Tahoma"/>
            <family val="2"/>
          </rPr>
          <t xml:space="preserve">
</t>
        </r>
      </text>
    </comment>
    <comment ref="ES79" authorId="0" shapeId="0" xr:uid="{45065DA5-0D98-4B58-A45B-7D3343301B1B}">
      <text>
        <r>
          <rPr>
            <b/>
            <sz val="8"/>
            <color indexed="81"/>
            <rFont val="Tahoma"/>
            <family val="2"/>
          </rPr>
          <t>2Q24: (-) site closures, restructuring, pharma macro weakness</t>
        </r>
        <r>
          <rPr>
            <sz val="9"/>
            <color indexed="81"/>
            <rFont val="Tahoma"/>
            <family val="2"/>
          </rPr>
          <t xml:space="preserve">
</t>
        </r>
      </text>
    </comment>
    <comment ref="EV79" authorId="0" shapeId="0" xr:uid="{2B05901C-EBDD-41E0-B98F-0351476EAF9D}">
      <text>
        <r>
          <rPr>
            <b/>
            <sz val="8"/>
            <color indexed="81"/>
            <rFont val="Tahoma"/>
            <family val="2"/>
          </rPr>
          <t>4Q24: down 7%</t>
        </r>
      </text>
    </comment>
    <comment ref="FA79" authorId="0" shapeId="0" xr:uid="{66449A24-EC20-4CA7-80D8-F72109AAF6ED}">
      <text>
        <r>
          <rPr>
            <b/>
            <sz val="8"/>
            <color indexed="81"/>
            <rFont val="Tahoma"/>
            <family val="2"/>
          </rPr>
          <t>3Q25: soft pharma in 4Q</t>
        </r>
        <r>
          <rPr>
            <sz val="8"/>
            <color indexed="81"/>
            <rFont val="Tahoma"/>
            <family val="2"/>
          </rPr>
          <t xml:space="preserve">
</t>
        </r>
      </text>
    </comment>
    <comment ref="FB79" authorId="0" shapeId="0" xr:uid="{0528AEE9-8D7A-4DB1-B014-854903C585FB}">
      <text>
        <r>
          <rPr>
            <b/>
            <sz val="8"/>
            <color indexed="81"/>
            <rFont val="Tahoma"/>
            <family val="2"/>
          </rPr>
          <t>4Q24: expect growth in segment (esp. bioinformatics)</t>
        </r>
        <r>
          <rPr>
            <sz val="9"/>
            <color indexed="81"/>
            <rFont val="Tahoma"/>
            <family val="2"/>
          </rPr>
          <t xml:space="preserve">
</t>
        </r>
      </text>
    </comment>
    <comment ref="FG79" authorId="0" shapeId="0" xr:uid="{FA5DABED-93DC-4849-80A4-3E70A4A79DD8}">
      <text>
        <r>
          <rPr>
            <b/>
            <sz val="8"/>
            <color indexed="81"/>
            <rFont val="Tahoma"/>
            <family val="2"/>
          </rPr>
          <t>Dec '25: expect some contribution from RaDaR ST at end of '26</t>
        </r>
      </text>
    </comment>
    <comment ref="FH79" authorId="0" shapeId="0" xr:uid="{8843C15B-40AD-4527-96EA-AEB8E5B52CFC}">
      <text>
        <r>
          <rPr>
            <b/>
            <sz val="8"/>
            <color indexed="81"/>
            <rFont val="Tahoma"/>
            <family val="2"/>
          </rPr>
          <t>4Q25: down L/MSD
JPM '26: pharma bottomed in 3Q, expect some erosion in '26
Dec '25: modest erosion in '26
3Q25: soft pharma in '26 as well</t>
        </r>
        <r>
          <rPr>
            <sz val="8"/>
            <color indexed="81"/>
            <rFont val="Tahoma"/>
            <family val="2"/>
          </rPr>
          <t xml:space="preserve">
</t>
        </r>
      </text>
    </comment>
    <comment ref="FN79" authorId="0" shapeId="0" xr:uid="{10855F5D-6A24-4AE1-ABA4-D15486A3F8DC}">
      <text>
        <r>
          <rPr>
            <b/>
            <sz val="8"/>
            <color indexed="81"/>
            <rFont val="Tahoma"/>
            <family val="2"/>
          </rPr>
          <t>JPM '26: any growth = upside to &gt;10% LRP
3Q25: rebound to growth in '27</t>
        </r>
        <r>
          <rPr>
            <sz val="9"/>
            <color indexed="81"/>
            <rFont val="Tahoma"/>
            <family val="2"/>
          </rPr>
          <t xml:space="preserve">
</t>
        </r>
      </text>
    </comment>
    <comment ref="FT79" authorId="0" shapeId="0" xr:uid="{193055EC-E7B8-423A-A2A0-251E8AA940F9}">
      <text>
        <r>
          <rPr>
            <b/>
            <sz val="8"/>
            <color indexed="81"/>
            <rFont val="Tahoma"/>
            <family val="2"/>
          </rPr>
          <t>JPM '26: any growth = upside to &gt;10% LRP
3Q25: rebound to growth in '27</t>
        </r>
        <r>
          <rPr>
            <sz val="9"/>
            <color indexed="81"/>
            <rFont val="Tahoma"/>
            <family val="2"/>
          </rPr>
          <t xml:space="preserve">
</t>
        </r>
      </text>
    </comment>
    <comment ref="EH85" authorId="0" shapeId="0" xr:uid="{B2995A6E-DC7F-4B83-BAAA-E6964FB14DF7}">
      <text>
        <r>
          <rPr>
            <b/>
            <sz val="9"/>
            <color indexed="81"/>
            <rFont val="Tahoma"/>
            <family val="2"/>
          </rPr>
          <t>3Q22: No longer reported</t>
        </r>
        <r>
          <rPr>
            <sz val="9"/>
            <color indexed="81"/>
            <rFont val="Tahoma"/>
            <family val="2"/>
          </rPr>
          <t xml:space="preserve">
</t>
        </r>
      </text>
    </comment>
    <comment ref="ET90" authorId="0" shapeId="0" xr:uid="{BD64F84E-711C-454D-A9D6-A7CF7480C137}">
      <text>
        <r>
          <rPr>
            <b/>
            <sz val="8"/>
            <color indexed="81"/>
            <rFont val="Tahoma"/>
            <family val="2"/>
          </rPr>
          <t>2Q24: slightly higher than Q2</t>
        </r>
        <r>
          <rPr>
            <sz val="9"/>
            <color indexed="81"/>
            <rFont val="Tahoma"/>
            <family val="2"/>
          </rPr>
          <t xml:space="preserve">
</t>
        </r>
      </text>
    </comment>
    <comment ref="EV90" authorId="2" shapeId="0" xr:uid="{43C22ED4-35C0-423F-ABAA-E1FF17757BBF}">
      <text>
        <r>
          <rPr>
            <b/>
            <sz val="8"/>
            <color indexed="81"/>
            <rFont val="Tahoma"/>
            <family val="2"/>
          </rPr>
          <t>3Q24: $655m - $667m
2Q24: $655m - $667m
1Q24: $650m - $660m
4Q23: $650m - $660m</t>
        </r>
      </text>
    </comment>
    <comment ref="EX90" authorId="0" shapeId="0" xr:uid="{4FF21488-7694-414B-A89B-C1BC294CE264}">
      <text>
        <r>
          <rPr>
            <b/>
            <sz val="8"/>
            <color indexed="81"/>
            <rFont val="Tahoma"/>
            <family val="2"/>
          </rPr>
          <t>4Q24: ~23% of FY revenue
Jan '25: ~23% of FY revenue (lowest of year)</t>
        </r>
        <r>
          <rPr>
            <sz val="9"/>
            <color indexed="81"/>
            <rFont val="Tahoma"/>
            <family val="2"/>
          </rPr>
          <t xml:space="preserve">
</t>
        </r>
      </text>
    </comment>
    <comment ref="EY90" authorId="0" shapeId="0" xr:uid="{761B2CF1-A711-4B70-9BB8-EFCFC6C99E05}">
      <text>
        <r>
          <rPr>
            <b/>
            <sz val="8"/>
            <color indexed="81"/>
            <rFont val="Tahoma"/>
            <family val="2"/>
          </rPr>
          <t>1Q25: $183M to $187M</t>
        </r>
        <r>
          <rPr>
            <sz val="9"/>
            <color indexed="81"/>
            <rFont val="Tahoma"/>
            <family val="2"/>
          </rPr>
          <t xml:space="preserve">
</t>
        </r>
      </text>
    </comment>
    <comment ref="FB90" authorId="0" shapeId="0" xr:uid="{7BC843A8-4AFA-441F-953A-971A5F89F5C2}">
      <text>
        <r>
          <rPr>
            <b/>
            <sz val="8"/>
            <color indexed="81"/>
            <rFont val="Tahoma"/>
            <family val="2"/>
          </rPr>
          <t>3Q25: $720M to $726M
2Q25: $720M to $726M
1Q25: $747M to $759M
4Q24: $735M to $745M
4Q24 preprint: $735m to $745m</t>
        </r>
        <r>
          <rPr>
            <sz val="9"/>
            <color indexed="81"/>
            <rFont val="Tahoma"/>
            <family val="2"/>
          </rPr>
          <t xml:space="preserve">
</t>
        </r>
      </text>
    </comment>
    <comment ref="FH90" authorId="0" shapeId="0" xr:uid="{35854C26-D027-4EFE-9E65-E35B726B2669}">
      <text>
        <r>
          <rPr>
            <b/>
            <sz val="9"/>
            <color indexed="81"/>
            <rFont val="Tahoma"/>
            <family val="2"/>
          </rPr>
          <t>4Q25: $793-801M</t>
        </r>
        <r>
          <rPr>
            <sz val="9"/>
            <color indexed="81"/>
            <rFont val="Tahoma"/>
            <family val="2"/>
          </rPr>
          <t xml:space="preserve">
</t>
        </r>
      </text>
    </comment>
    <comment ref="FB92" authorId="2" shapeId="0" xr:uid="{B399528D-4CEA-4A68-BC1C-15E4CF112061}">
      <text>
        <r>
          <rPr>
            <b/>
            <sz val="8"/>
            <color indexed="81"/>
            <rFont val="Tahoma"/>
            <family val="2"/>
          </rPr>
          <t>4Q24: +11% to +13%</t>
        </r>
      </text>
    </comment>
    <comment ref="EU95" authorId="0" shapeId="0" xr:uid="{38DD7AFF-A613-4E0E-83C2-48ABEC3028E7}">
      <text>
        <r>
          <rPr>
            <b/>
            <sz val="8"/>
            <color indexed="81"/>
            <rFont val="Tahoma"/>
            <family val="2"/>
          </rPr>
          <t>2Q24: 2H growth more heavily weighted on 4Q; new product intros, close deals</t>
        </r>
        <r>
          <rPr>
            <sz val="9"/>
            <color indexed="81"/>
            <rFont val="Tahoma"/>
            <family val="2"/>
          </rPr>
          <t xml:space="preserve">
</t>
        </r>
      </text>
    </comment>
    <comment ref="EX95" authorId="0" shapeId="0" xr:uid="{D665C799-957A-4EE0-8430-FC9E363A4CF5}">
      <text>
        <r>
          <rPr>
            <b/>
            <sz val="8"/>
            <color indexed="81"/>
            <rFont val="Tahoma"/>
            <family val="2"/>
          </rPr>
          <t>4Q24: +8-10%</t>
        </r>
        <r>
          <rPr>
            <sz val="9"/>
            <color indexed="81"/>
            <rFont val="Tahoma"/>
            <family val="2"/>
          </rPr>
          <t xml:space="preserve">
</t>
        </r>
      </text>
    </comment>
    <comment ref="FB95" authorId="1" shapeId="0" xr:uid="{0426A927-94FE-4CDA-8ECB-0967D1CC5270}">
      <text>
        <r>
          <rPr>
            <b/>
            <sz val="8"/>
            <color indexed="81"/>
            <rFont val="Tahoma"/>
            <family val="2"/>
          </rPr>
          <t>3Q25: 9-10%
2Q25: 9-10%</t>
        </r>
      </text>
    </comment>
    <comment ref="FD95" authorId="0" shapeId="0" xr:uid="{4236DB0A-25DC-41B1-BED7-739BE80C8228}">
      <text>
        <r>
          <rPr>
            <b/>
            <sz val="8"/>
            <color indexed="81"/>
            <rFont val="Tahoma"/>
            <family val="2"/>
          </rPr>
          <t>4Q25: +10%</t>
        </r>
      </text>
    </comment>
    <comment ref="FE95" authorId="0" shapeId="0" xr:uid="{420A2752-32D0-4ED8-ABC2-FCE1989D61CE}">
      <text>
        <r>
          <rPr>
            <b/>
            <sz val="8"/>
            <color indexed="81"/>
            <rFont val="Tahoma"/>
            <family val="2"/>
          </rPr>
          <t>4Q25: +8-9%</t>
        </r>
        <r>
          <rPr>
            <sz val="9"/>
            <color indexed="81"/>
            <rFont val="Tahoma"/>
            <family val="2"/>
          </rPr>
          <t xml:space="preserve">
</t>
        </r>
      </text>
    </comment>
    <comment ref="FF95" authorId="0" shapeId="0" xr:uid="{AE946E19-E344-4C03-8C1A-F14B4822B231}">
      <text>
        <r>
          <rPr>
            <b/>
            <sz val="8"/>
            <color indexed="81"/>
            <rFont val="Tahoma"/>
            <family val="2"/>
          </rPr>
          <t>4Q25: +9-10%</t>
        </r>
        <r>
          <rPr>
            <sz val="9"/>
            <color indexed="81"/>
            <rFont val="Tahoma"/>
            <family val="2"/>
          </rPr>
          <t xml:space="preserve">
</t>
        </r>
      </text>
    </comment>
    <comment ref="FG95" authorId="0" shapeId="0" xr:uid="{2E09DE7F-5111-4BA3-A1D8-6C79DB7661B2}">
      <text>
        <r>
          <rPr>
            <b/>
            <sz val="8"/>
            <color indexed="81"/>
            <rFont val="Tahoma"/>
            <family val="2"/>
          </rPr>
          <t>4Q25: &gt;10%</t>
        </r>
        <r>
          <rPr>
            <sz val="9"/>
            <color indexed="81"/>
            <rFont val="Tahoma"/>
            <family val="2"/>
          </rPr>
          <t xml:space="preserve">
</t>
        </r>
      </text>
    </comment>
    <comment ref="FH95" authorId="0" shapeId="0" xr:uid="{F4E0B3FB-1044-4112-BD1C-D6E1AECDC02E}">
      <text>
        <r>
          <rPr>
            <b/>
            <sz val="8"/>
            <color indexed="81"/>
            <rFont val="Tahoma"/>
            <family val="2"/>
          </rPr>
          <t>4Q25: ~+10%
LRP (est. 1/25): +12-13%</t>
        </r>
        <r>
          <rPr>
            <sz val="9"/>
            <color indexed="81"/>
            <rFont val="Tahoma"/>
            <family val="2"/>
          </rPr>
          <t xml:space="preserve">
</t>
        </r>
      </text>
    </comment>
    <comment ref="FN95" authorId="0" shapeId="0" xr:uid="{DB9EA5A7-8012-4613-A631-5CC04D90273D}">
      <text>
        <r>
          <rPr>
            <b/>
            <sz val="8"/>
            <color indexed="81"/>
            <rFont val="Tahoma"/>
            <family val="2"/>
          </rPr>
          <t>LRP (est. 1/25): +12-13%</t>
        </r>
        <r>
          <rPr>
            <sz val="9"/>
            <color indexed="81"/>
            <rFont val="Tahoma"/>
            <family val="2"/>
          </rPr>
          <t xml:space="preserve">
</t>
        </r>
      </text>
    </comment>
    <comment ref="FT95" authorId="0" shapeId="0" xr:uid="{31A24C2C-60A2-4410-A59A-F1A865840013}">
      <text>
        <r>
          <rPr>
            <b/>
            <sz val="8"/>
            <color indexed="81"/>
            <rFont val="Tahoma"/>
            <family val="2"/>
          </rPr>
          <t>LRP (est. 1/25): +12-13%</t>
        </r>
        <r>
          <rPr>
            <sz val="9"/>
            <color indexed="81"/>
            <rFont val="Tahoma"/>
            <family val="2"/>
          </rPr>
          <t xml:space="preserve">
</t>
        </r>
      </text>
    </comment>
    <comment ref="EU126" authorId="0" shapeId="0" xr:uid="{D3D13198-424F-45A1-9F8E-C718829261A0}">
      <text>
        <r>
          <rPr>
            <b/>
            <sz val="8"/>
            <color indexed="81"/>
            <rFont val="Tahoma"/>
            <family val="2"/>
          </rPr>
          <t>4Q24: No longer reporting</t>
        </r>
        <r>
          <rPr>
            <sz val="9"/>
            <color indexed="81"/>
            <rFont val="Tahoma"/>
            <family val="2"/>
          </rPr>
          <t xml:space="preserve">
</t>
        </r>
      </text>
    </comment>
    <comment ref="EL142" authorId="0" shapeId="0" xr:uid="{B9618061-E7B1-4877-BDBE-4F85738162B8}">
      <text>
        <r>
          <rPr>
            <b/>
            <sz val="9"/>
            <color indexed="81"/>
            <rFont val="Tahoma"/>
            <family val="2"/>
          </rPr>
          <t>1Q25 callback: 70 two years ago</t>
        </r>
        <r>
          <rPr>
            <sz val="9"/>
            <color indexed="81"/>
            <rFont val="Tahoma"/>
            <family val="2"/>
          </rPr>
          <t xml:space="preserve">
</t>
        </r>
      </text>
    </comment>
    <comment ref="EP142" authorId="0" shapeId="0" xr:uid="{A7AFBDC2-BC30-429B-945B-279B9768AF13}">
      <text>
        <r>
          <rPr>
            <b/>
            <sz val="9"/>
            <color indexed="81"/>
            <rFont val="Tahoma"/>
            <family val="2"/>
          </rPr>
          <t>4Q25: 65</t>
        </r>
        <r>
          <rPr>
            <sz val="9"/>
            <color indexed="81"/>
            <rFont val="Tahoma"/>
            <family val="2"/>
          </rPr>
          <t xml:space="preserve">
</t>
        </r>
      </text>
    </comment>
    <comment ref="ER142" authorId="0" shapeId="0" xr:uid="{445C0DAE-F101-4484-83E9-53E29744123E}">
      <text>
        <r>
          <rPr>
            <b/>
            <sz val="9"/>
            <color indexed="81"/>
            <rFont val="Tahoma"/>
            <family val="2"/>
          </rPr>
          <t>1Q25 callback: 70 two years ago</t>
        </r>
        <r>
          <rPr>
            <sz val="9"/>
            <color indexed="81"/>
            <rFont val="Tahoma"/>
            <family val="2"/>
          </rPr>
          <t xml:space="preserve">
</t>
        </r>
      </text>
    </comment>
    <comment ref="EV142" authorId="0" shapeId="0" xr:uid="{B84E90B1-2D24-4F89-94D5-045ADA6AE108}">
      <text>
        <r>
          <rPr>
            <b/>
            <sz val="9"/>
            <color indexed="81"/>
            <rFont val="Tahoma"/>
            <family val="2"/>
          </rPr>
          <t>4Q25: 90</t>
        </r>
        <r>
          <rPr>
            <sz val="9"/>
            <color indexed="81"/>
            <rFont val="Tahoma"/>
            <family val="2"/>
          </rPr>
          <t xml:space="preserve">
</t>
        </r>
      </text>
    </comment>
    <comment ref="EX142" authorId="0" shapeId="0" xr:uid="{6D2AFFEA-90CE-424E-BCF2-78C737824A92}">
      <text>
        <r>
          <rPr>
            <b/>
            <sz val="9"/>
            <color indexed="81"/>
            <rFont val="Tahoma"/>
            <family val="2"/>
          </rPr>
          <t xml:space="preserve">1Q25 callback: 140 </t>
        </r>
        <r>
          <rPr>
            <sz val="9"/>
            <color indexed="81"/>
            <rFont val="Tahoma"/>
            <family val="2"/>
          </rPr>
          <t xml:space="preserve">
</t>
        </r>
      </text>
    </comment>
    <comment ref="FB142" authorId="0" shapeId="0" xr:uid="{F7E82092-1F41-410E-9668-6AD0F9C8E0C9}">
      <text>
        <r>
          <rPr>
            <b/>
            <sz val="9"/>
            <color indexed="81"/>
            <rFont val="Tahoma"/>
            <family val="2"/>
          </rPr>
          <t xml:space="preserve">4Q25: 140 </t>
        </r>
        <r>
          <rPr>
            <sz val="9"/>
            <color indexed="81"/>
            <rFont val="Tahoma"/>
            <family val="2"/>
          </rPr>
          <t xml:space="preserve">
</t>
        </r>
      </text>
    </comment>
    <comment ref="FD142" authorId="0" shapeId="0" xr:uid="{FA9BA7F9-88F4-43C6-8A6C-8F66AB0632F3}">
      <text>
        <r>
          <rPr>
            <b/>
            <sz val="9"/>
            <color indexed="81"/>
            <rFont val="Tahoma"/>
            <family val="2"/>
          </rPr>
          <t>4Q25: 165 in 2026</t>
        </r>
        <r>
          <rPr>
            <sz val="9"/>
            <color indexed="81"/>
            <rFont val="Tahoma"/>
            <family val="2"/>
          </rPr>
          <t xml:space="preserve">
</t>
        </r>
      </text>
    </comment>
    <comment ref="FH142" authorId="0" shapeId="0" xr:uid="{DB9F8E2E-1730-4704-93AC-23C6EE5E478E}">
      <text>
        <r>
          <rPr>
            <b/>
            <sz val="9"/>
            <color indexed="81"/>
            <rFont val="Tahoma"/>
            <family val="2"/>
          </rPr>
          <t>4Q25: 165 in 2026</t>
        </r>
        <r>
          <rPr>
            <sz val="9"/>
            <color indexed="81"/>
            <rFont val="Tahoma"/>
            <family val="2"/>
          </rPr>
          <t xml:space="preserve">
</t>
        </r>
      </text>
    </comment>
    <comment ref="EX151" authorId="0" shapeId="0" xr:uid="{56600477-F083-4B22-81A5-A67CBC84F805}">
      <text>
        <r>
          <rPr>
            <b/>
            <sz val="8"/>
            <color indexed="81"/>
            <rFont val="Tahoma"/>
            <family val="2"/>
          </rPr>
          <t xml:space="preserve">1Q25: Top 5 NGS = 23% of tests in 1Q
</t>
        </r>
      </text>
    </comment>
    <comment ref="EY151" authorId="0" shapeId="0" xr:uid="{9503ACC1-740B-48A6-90BE-2B802CC25BB0}">
      <text>
        <r>
          <rPr>
            <b/>
            <sz val="8"/>
            <color indexed="81"/>
            <rFont val="Tahoma"/>
            <family val="2"/>
          </rPr>
          <t xml:space="preserve">JEFe
</t>
        </r>
      </text>
    </comment>
    <comment ref="EZ151" authorId="0" shapeId="0" xr:uid="{466D09D9-7E41-42DE-AA12-AE62DAA8021B}">
      <text>
        <r>
          <rPr>
            <b/>
            <sz val="8"/>
            <color indexed="81"/>
            <rFont val="Tahoma"/>
            <family val="2"/>
          </rPr>
          <t xml:space="preserve">3Q25: roughly 1/4 of clinical revenue
</t>
        </r>
      </text>
    </comment>
    <comment ref="C160" authorId="0" shapeId="0" xr:uid="{32876AAB-7ED8-4F1A-B8A9-D64D559C87E7}">
      <text>
        <r>
          <rPr>
            <b/>
            <sz val="9"/>
            <color indexed="81"/>
            <rFont val="Tahoma"/>
            <family val="2"/>
          </rPr>
          <t>Nov '25: "RaDaR ST currently has Medicare coverage for HR+/HER2- breast cancer (&gt;5 years post-diagnosis) and HPV- head and neck carcinoma, with management highlighting opportunities to integrate with existing breast cancer tests for endocrine therapy decisions, and complement HPV+ offerings with an HPV- solution to support comprehensive oncology workflows." 
Per MRD model: Breast ~30% MRD market at $400M (so $9B TAM on $30B total) and head/neck maybe 5% (so maybe $1B TAM) - NEO MRD TAM at 3Q25 = $10B and less than 5% penetrated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Jack Melick</author>
  </authors>
  <commentList>
    <comment ref="FB36" authorId="0" shapeId="0" xr:uid="{710D8937-CAB0-4E94-B416-29D29738B093}">
      <text>
        <r>
          <rPr>
            <b/>
            <sz val="8"/>
            <color indexed="81"/>
            <rFont val="Tahoma"/>
            <family val="2"/>
          </rPr>
          <t>4Q24: Positive for '25</t>
        </r>
      </text>
    </comment>
    <comment ref="EV39" authorId="0" shapeId="0" xr:uid="{22CA480C-D985-4D19-B9D9-475DE758FA20}">
      <text>
        <r>
          <rPr>
            <b/>
            <sz val="8"/>
            <color indexed="81"/>
            <rFont val="Tahoma"/>
            <family val="2"/>
          </rPr>
          <t>3Q24: $35M-$40M</t>
        </r>
        <r>
          <rPr>
            <sz val="9"/>
            <color indexed="81"/>
            <rFont val="Tahoma"/>
            <family val="2"/>
          </rPr>
          <t xml:space="preserve">
</t>
        </r>
      </text>
    </comment>
    <comment ref="FB39" authorId="0" shapeId="0" xr:uid="{92285FAF-8472-4295-BA86-D30A0A1495CB}">
      <text>
        <r>
          <rPr>
            <b/>
            <sz val="8"/>
            <color indexed="81"/>
            <rFont val="Tahoma"/>
            <family val="2"/>
          </rPr>
          <t>4Q24: $30-35M</t>
        </r>
      </text>
    </comment>
    <comment ref="EX75" authorId="0" shapeId="0" xr:uid="{FB5E376B-F504-4BBF-8D82-B304D2FBEC48}">
      <text>
        <r>
          <rPr>
            <b/>
            <sz val="8"/>
            <color indexed="81"/>
            <rFont val="Tahoma"/>
            <family val="2"/>
          </rPr>
          <t>1Q25: Highest cash outflow period</t>
        </r>
        <r>
          <rPr>
            <sz val="8"/>
            <color indexed="81"/>
            <rFont val="Tahoma"/>
            <family val="2"/>
          </rPr>
          <t xml:space="preserve">
</t>
        </r>
      </text>
    </comment>
    <comment ref="FH75" authorId="0" shapeId="0" xr:uid="{B4B0166C-93AC-4568-BDDE-7A013912AD2E}">
      <text>
        <r>
          <rPr>
            <b/>
            <sz val="8"/>
            <color indexed="81"/>
            <rFont val="Tahoma"/>
            <family val="2"/>
          </rPr>
          <t>Dec '25: plan to be FCF positive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Jack Melick</author>
  </authors>
  <commentList>
    <comment ref="EY28" authorId="0" shapeId="0" xr:uid="{35810626-1D60-4D7D-8967-11B4B4E7F985}">
      <text>
        <r>
          <rPr>
            <b/>
            <sz val="8"/>
            <color indexed="81"/>
            <rFont val="Tahoma"/>
            <family val="2"/>
          </rPr>
          <t>2Q24: retirement expected in May</t>
        </r>
        <r>
          <rPr>
            <sz val="8"/>
            <color indexed="81"/>
            <rFont val="Tahoma"/>
            <family val="2"/>
          </rPr>
          <t xml:space="preserve">
</t>
        </r>
      </text>
    </comment>
    <comment ref="FB53" authorId="0" shapeId="0" xr:uid="{153CDA8F-083E-41E2-AE5E-6191B253ED8A}">
      <text>
        <r>
          <rPr>
            <b/>
            <sz val="8"/>
            <color indexed="81"/>
            <rFont val="Tahoma"/>
            <family val="2"/>
          </rPr>
          <t>4Q24: $30-$35M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<sst xmlns="http://schemas.openxmlformats.org/spreadsheetml/2006/main" count="1663" uniqueCount="730">
  <si>
    <t>This sheet contains FactSet XML data for use with this workbook's =FDS codes.  Modifying the worksheet's contents may damage the workbook's =FDS functionality.</t>
  </si>
  <si>
    <t>Tycho Peterson</t>
  </si>
  <si>
    <t xml:space="preserve">Life Science Tools &amp; Diagnostics </t>
  </si>
  <si>
    <t>212.738.5583</t>
  </si>
  <si>
    <t>tpeterson2@jefferies.com</t>
  </si>
  <si>
    <t>Matt Stanton</t>
  </si>
  <si>
    <t>615.963.8397</t>
  </si>
  <si>
    <t>mstanton@jefferies.com</t>
  </si>
  <si>
    <t>Jack Melick</t>
  </si>
  <si>
    <t>617.345.8671</t>
  </si>
  <si>
    <t>jmelick@jefferies.com</t>
  </si>
  <si>
    <t>Historical and Projected Statements of Income</t>
  </si>
  <si>
    <t>Dollars in millions, except per share amounts</t>
  </si>
  <si>
    <t>Historical results</t>
  </si>
  <si>
    <t xml:space="preserve"> </t>
  </si>
  <si>
    <t>Projections</t>
  </si>
  <si>
    <t>Total</t>
  </si>
  <si>
    <t xml:space="preserve">Total </t>
  </si>
  <si>
    <t>Net sales</t>
  </si>
  <si>
    <t>Cost of products sold</t>
  </si>
  <si>
    <t>Gross profit</t>
  </si>
  <si>
    <t xml:space="preserve">Research &amp; Development </t>
  </si>
  <si>
    <t>Other expenses</t>
  </si>
  <si>
    <t>Operating income (EBITA)</t>
  </si>
  <si>
    <t>Interest expense</t>
  </si>
  <si>
    <t>Interest income</t>
  </si>
  <si>
    <t>Other expense, net</t>
  </si>
  <si>
    <t>Income before taxes</t>
  </si>
  <si>
    <t>Income tax</t>
  </si>
  <si>
    <t>Non-GAAP Net income</t>
  </si>
  <si>
    <t>Basic average shares</t>
  </si>
  <si>
    <t>Diluted average shares</t>
  </si>
  <si>
    <t>Margin Analysis</t>
  </si>
  <si>
    <t>Gross margin</t>
  </si>
  <si>
    <t>Net margin</t>
  </si>
  <si>
    <t>Growth Analysis</t>
  </si>
  <si>
    <t>Incremental operating margins</t>
  </si>
  <si>
    <t>Operating expenses</t>
  </si>
  <si>
    <t>Q/Q growth</t>
  </si>
  <si>
    <t>y/y growth</t>
  </si>
  <si>
    <t>Research and development</t>
  </si>
  <si>
    <t>Share-based compensation expense, before taxes</t>
  </si>
  <si>
    <t>Historical and Projected Consolidated Balance Sheets</t>
  </si>
  <si>
    <t>Current Assets</t>
  </si>
  <si>
    <t>Total current assets</t>
  </si>
  <si>
    <t>Plant, property, and equipment, net</t>
  </si>
  <si>
    <t>Operating lease right-of-use assets</t>
  </si>
  <si>
    <t>Goodwill</t>
  </si>
  <si>
    <t>Intangible assets, net</t>
  </si>
  <si>
    <t>Other assets</t>
  </si>
  <si>
    <t>Total long-term assets</t>
  </si>
  <si>
    <t>Total assets</t>
  </si>
  <si>
    <t>Current Liabilities</t>
  </si>
  <si>
    <t>Accounts payable</t>
  </si>
  <si>
    <t>Total current liabilities</t>
  </si>
  <si>
    <t>Operating lease liabilities</t>
  </si>
  <si>
    <t>Term notes</t>
  </si>
  <si>
    <t>Other long-term liabilities</t>
  </si>
  <si>
    <t>Total long-term liabilities</t>
  </si>
  <si>
    <t>Total liabilities</t>
  </si>
  <si>
    <t>Preferred stock</t>
  </si>
  <si>
    <t>Common Stock</t>
  </si>
  <si>
    <t>Capital in excess of par value</t>
  </si>
  <si>
    <t>Retained earnings</t>
  </si>
  <si>
    <t>Accumulated other gain</t>
  </si>
  <si>
    <t>Noncontrolling interests</t>
  </si>
  <si>
    <t>Total stockholders’ equity</t>
  </si>
  <si>
    <t>Total liabilities and shareholders' equity</t>
  </si>
  <si>
    <t>Check Balance</t>
  </si>
  <si>
    <t>Shares issued</t>
  </si>
  <si>
    <t>Shares repurchased</t>
  </si>
  <si>
    <t>Share price</t>
  </si>
  <si>
    <t>Drivers</t>
  </si>
  <si>
    <t>Trailing-twelve month revenue</t>
  </si>
  <si>
    <t>Trailing-twelve month COGS</t>
  </si>
  <si>
    <t>Inventories</t>
  </si>
  <si>
    <t>Book value</t>
  </si>
  <si>
    <t>Book value per share</t>
  </si>
  <si>
    <t>Debt</t>
  </si>
  <si>
    <t>Cash</t>
  </si>
  <si>
    <t>Checks</t>
  </si>
  <si>
    <t>Historical and Projected Statements of Cash Flows</t>
  </si>
  <si>
    <t>Cash Flows from Operating Activities</t>
  </si>
  <si>
    <t>Net income</t>
  </si>
  <si>
    <t>Depreciation expense</t>
  </si>
  <si>
    <t>Amortization of intangible assets</t>
  </si>
  <si>
    <t>Share-based compensation expense</t>
  </si>
  <si>
    <t>Other</t>
  </si>
  <si>
    <t>Changes in operating accounts</t>
  </si>
  <si>
    <t>Accounts receivable</t>
  </si>
  <si>
    <t>Inventory</t>
  </si>
  <si>
    <t>Net cash provided by operating activities</t>
  </si>
  <si>
    <t>Cash Flows from Investing Activities</t>
  </si>
  <si>
    <t>Purchases of property and equipment</t>
  </si>
  <si>
    <t>Purchases of available-for-sale securities</t>
  </si>
  <si>
    <t>Sales of available-for-sale securities</t>
  </si>
  <si>
    <t>Net cash provided by investing activites</t>
  </si>
  <si>
    <t>Cash Flows from Financing Activities</t>
  </si>
  <si>
    <t>Net cash provided by financing activities</t>
  </si>
  <si>
    <t>Net change in cash position</t>
  </si>
  <si>
    <t>Foreign exchange</t>
  </si>
  <si>
    <t>Net change in cash post foreign exchange</t>
  </si>
  <si>
    <t>Cash and equivalents beginning of period</t>
  </si>
  <si>
    <t>Change in cash position</t>
  </si>
  <si>
    <t>Cash and equivalents end of period</t>
  </si>
  <si>
    <t>Balance Check</t>
  </si>
  <si>
    <t xml:space="preserve">Free cash flow </t>
  </si>
  <si>
    <t>growth</t>
  </si>
  <si>
    <t>% of net income</t>
  </si>
  <si>
    <t>Other Accounts</t>
  </si>
  <si>
    <t>Rate</t>
  </si>
  <si>
    <t>DEBT SCHEDULE</t>
  </si>
  <si>
    <t>Convertibles</t>
  </si>
  <si>
    <t>Unamortised costs</t>
  </si>
  <si>
    <t>Carrying amount</t>
  </si>
  <si>
    <t>Plant, property, and equipment</t>
  </si>
  <si>
    <t>Beginning value</t>
  </si>
  <si>
    <t>Quarterly adjuster</t>
  </si>
  <si>
    <t>Additions</t>
  </si>
  <si>
    <t>Depreciation</t>
  </si>
  <si>
    <t>Ending value</t>
  </si>
  <si>
    <t>Finite Life Intangibles</t>
  </si>
  <si>
    <t>Additions/adjustments</t>
  </si>
  <si>
    <t>Amortization</t>
  </si>
  <si>
    <t>Impairment</t>
  </si>
  <si>
    <t>growth y/y</t>
  </si>
  <si>
    <t>Discounted Cash Flow Model</t>
  </si>
  <si>
    <t>Revenue</t>
  </si>
  <si>
    <t>uFCF</t>
  </si>
  <si>
    <t xml:space="preserve">Terminal Value </t>
  </si>
  <si>
    <t>Revenue multiple exit</t>
  </si>
  <si>
    <t>EV/EBITDA exit</t>
  </si>
  <si>
    <t>Fair Equity Value - DCF Method</t>
  </si>
  <si>
    <t>FCF Present Value</t>
  </si>
  <si>
    <t>Terminal Value Present Value</t>
  </si>
  <si>
    <t>Enterprise Value</t>
  </si>
  <si>
    <t>Less: Minority Interest</t>
  </si>
  <si>
    <t>Implied Equity Value</t>
  </si>
  <si>
    <t>Shares Outstanding</t>
  </si>
  <si>
    <t>WACC Calculation</t>
  </si>
  <si>
    <t>WACC</t>
  </si>
  <si>
    <t>Terminal Growth Rate</t>
  </si>
  <si>
    <t>Historical and Projected Summary Valuation Analysis</t>
  </si>
  <si>
    <t>Historical</t>
  </si>
  <si>
    <t>Price</t>
  </si>
  <si>
    <t>Profitability Metrics</t>
  </si>
  <si>
    <t>Price/revenue</t>
  </si>
  <si>
    <t>EV / revenue</t>
  </si>
  <si>
    <t>Diluted earnings per share</t>
  </si>
  <si>
    <t>Price/EPS</t>
  </si>
  <si>
    <t>Cash flow from operations</t>
  </si>
  <si>
    <t>Capital spending</t>
  </si>
  <si>
    <t>Free cash flow</t>
  </si>
  <si>
    <t>Free cash flow yield</t>
  </si>
  <si>
    <t>Free cash flow per share</t>
  </si>
  <si>
    <t>Price/free cash flow</t>
  </si>
  <si>
    <t>Shares outstanding</t>
  </si>
  <si>
    <t>Market capitalization</t>
  </si>
  <si>
    <t>Enterprise value</t>
  </si>
  <si>
    <t>EBITDA (includes SBC)</t>
  </si>
  <si>
    <t>EV/EBITDA</t>
  </si>
  <si>
    <t>Operating margin</t>
  </si>
  <si>
    <t>Asset turnover</t>
  </si>
  <si>
    <t>ROA</t>
  </si>
  <si>
    <t>Interest-burden ratio</t>
  </si>
  <si>
    <t>Leverage ratio</t>
  </si>
  <si>
    <t>Tax-burden ratio</t>
  </si>
  <si>
    <t>ROE</t>
  </si>
  <si>
    <t>Balance Sheet Metrics</t>
  </si>
  <si>
    <t>Cash conversion cycle</t>
  </si>
  <si>
    <t>Total debt</t>
  </si>
  <si>
    <t>Shareholder's equity</t>
  </si>
  <si>
    <t>Debt/total capital</t>
  </si>
  <si>
    <t>Total debt / TTM EBITDA</t>
  </si>
  <si>
    <t>Net debt / TTM EBITDA</t>
  </si>
  <si>
    <t>Price to book</t>
  </si>
  <si>
    <t>Ticker</t>
  </si>
  <si>
    <t>LEGEND</t>
  </si>
  <si>
    <t>Enter Value</t>
  </si>
  <si>
    <t>NULL:FISCAL</t>
  </si>
  <si>
    <t>First Year of Data</t>
  </si>
  <si>
    <t>Lastest Actual Year</t>
  </si>
  <si>
    <t>DO NOT EDIT - BM Formula</t>
  </si>
  <si>
    <t>BASIC:FISCAL</t>
  </si>
  <si>
    <t>Latest Actual Quarter</t>
  </si>
  <si>
    <t>REQUIRED</t>
  </si>
  <si>
    <t>DILUTED:FISCAL</t>
  </si>
  <si>
    <t>GAAP:FISCAL</t>
  </si>
  <si>
    <t>Uploaded Value</t>
  </si>
  <si>
    <t>BM Formula/Status</t>
  </si>
  <si>
    <t>Time Series Grid #1</t>
  </si>
  <si>
    <t>BLUEMATRIX MNEUMONICS</t>
  </si>
  <si>
    <t>1. Ratings</t>
  </si>
  <si>
    <t>Financial Metric</t>
  </si>
  <si>
    <t>BM Time Series Code:</t>
  </si>
  <si>
    <t>Qualifer:</t>
  </si>
  <si>
    <t>Qualifer:Fiscal or Calendar</t>
  </si>
  <si>
    <t>MANAGED:FISCAL</t>
  </si>
  <si>
    <t>Price Target</t>
  </si>
  <si>
    <t>Target (high)</t>
  </si>
  <si>
    <t>Rev. (MM)</t>
  </si>
  <si>
    <t>--</t>
  </si>
  <si>
    <t>FISCAL</t>
  </si>
  <si>
    <t>Rating</t>
  </si>
  <si>
    <t>Buy</t>
  </si>
  <si>
    <t>Target (Low)</t>
  </si>
  <si>
    <t>1Q</t>
  </si>
  <si>
    <t>2Q</t>
  </si>
  <si>
    <t>3Q</t>
  </si>
  <si>
    <t>4Q</t>
  </si>
  <si>
    <t>FY</t>
  </si>
  <si>
    <t>PRIMARY:FISCAL</t>
  </si>
  <si>
    <t>Shares Out. (MM)</t>
  </si>
  <si>
    <t>Q1</t>
  </si>
  <si>
    <t>Q2</t>
  </si>
  <si>
    <t>Q3</t>
  </si>
  <si>
    <t>Q4</t>
  </si>
  <si>
    <t>AN</t>
  </si>
  <si>
    <t>BASIC:CALENDAR</t>
  </si>
  <si>
    <t>Year/Actual or Estimate</t>
  </si>
  <si>
    <t>DILUTED:CALENDAR</t>
  </si>
  <si>
    <t>2. Financial Summary</t>
  </si>
  <si>
    <t>GAAP:CALENDAR</t>
  </si>
  <si>
    <t>Book Value (MM)</t>
  </si>
  <si>
    <t>LTD/Cap</t>
  </si>
  <si>
    <t>BlueMatrix Formula/Status</t>
  </si>
  <si>
    <t>MANAGED:CALENDAR</t>
  </si>
  <si>
    <t>Book Value/Share</t>
  </si>
  <si>
    <t>Dividend Yield</t>
  </si>
  <si>
    <t>OPERATING:CALENDAR</t>
  </si>
  <si>
    <t>Return on Avg. Equity</t>
  </si>
  <si>
    <t>Cash &amp; ST Invest. (MM)</t>
  </si>
  <si>
    <t>PRIMARY:CALENDAR</t>
  </si>
  <si>
    <t>Net Debt/Capital</t>
  </si>
  <si>
    <t>NAV</t>
  </si>
  <si>
    <t>Long-Term Debt (MM)</t>
  </si>
  <si>
    <t>Net Debt/Equity</t>
  </si>
  <si>
    <t>PROFORMA:CALENDAR</t>
  </si>
  <si>
    <t>RESTATED:CALENDAR</t>
  </si>
  <si>
    <t>3. Market Data</t>
  </si>
  <si>
    <t>Insider Ownership</t>
  </si>
  <si>
    <t>Institutional Ownership</t>
  </si>
  <si>
    <t>4. EV and Market Cap</t>
  </si>
  <si>
    <t>Net Debt (MM)</t>
  </si>
  <si>
    <t>Associates (MM)</t>
  </si>
  <si>
    <t>Pension Deficit (MM)</t>
  </si>
  <si>
    <t>Other EV Adj. (MM)</t>
  </si>
  <si>
    <t>Minority Interest (MM)</t>
  </si>
  <si>
    <t>Preferred Stock</t>
  </si>
  <si>
    <t>Time Series Grid #2</t>
  </si>
  <si>
    <t>Cons. EPS</t>
  </si>
  <si>
    <t>Time Series Grid #3</t>
  </si>
  <si>
    <t>EPS</t>
  </si>
  <si>
    <t>Time Series Grid #4</t>
  </si>
  <si>
    <t>EBITDA (MM)</t>
  </si>
  <si>
    <t>For latest Time Series Descriptions and Excel Codes, refer to https://javatar.bluematrix.com/sellside/Preference.action?exceltoolkit&amp;from=3</t>
  </si>
  <si>
    <t>Time Series Name</t>
  </si>
  <si>
    <t>Financial Qualifiers</t>
  </si>
  <si>
    <t>Data Description</t>
  </si>
  <si>
    <t>Excel Code</t>
  </si>
  <si>
    <t>Qualifier:Fiscal/Calendar</t>
  </si>
  <si>
    <t>Adj Invest. Income</t>
  </si>
  <si>
    <t>NULL</t>
  </si>
  <si>
    <t>--:FISCAL</t>
  </si>
  <si>
    <t>AEV/EBITDAR</t>
  </si>
  <si>
    <t>Adjusted</t>
  </si>
  <si>
    <t>ADJUSTED</t>
  </si>
  <si>
    <t>Adjusted:FISCAL</t>
  </si>
  <si>
    <t>AFFO</t>
  </si>
  <si>
    <t>Basic</t>
  </si>
  <si>
    <t>BASIC</t>
  </si>
  <si>
    <t>Basic:FISCAL</t>
  </si>
  <si>
    <t>Ann Dividend</t>
  </si>
  <si>
    <t>Diluted</t>
  </si>
  <si>
    <t>DILUTED</t>
  </si>
  <si>
    <t>Diluted:FISCAL</t>
  </si>
  <si>
    <t>BV/Share</t>
  </si>
  <si>
    <t>GAAP</t>
  </si>
  <si>
    <t>Cash Flow</t>
  </si>
  <si>
    <t>Indicated</t>
  </si>
  <si>
    <t>INDICATED</t>
  </si>
  <si>
    <t>Indicated:FISCAL</t>
  </si>
  <si>
    <t>Cash Position</t>
  </si>
  <si>
    <t>Managed</t>
  </si>
  <si>
    <t>MANAGED</t>
  </si>
  <si>
    <t>Managed:FISCAL</t>
  </si>
  <si>
    <t>CF</t>
  </si>
  <si>
    <t>Operating</t>
  </si>
  <si>
    <t>OPERATING</t>
  </si>
  <si>
    <t>Operating:FISCAL</t>
  </si>
  <si>
    <t>Calendar/Fiscal</t>
  </si>
  <si>
    <t>CFPS</t>
  </si>
  <si>
    <t>Primary</t>
  </si>
  <si>
    <t>PRIMARY</t>
  </si>
  <si>
    <t>Primary:FISCAL</t>
  </si>
  <si>
    <t>Chg (% YoY)</t>
  </si>
  <si>
    <t>ProForma</t>
  </si>
  <si>
    <t>PROFORMA</t>
  </si>
  <si>
    <t>ProForma:FISCAL</t>
  </si>
  <si>
    <t>Comb. EBITDA (MM)</t>
  </si>
  <si>
    <t>Restated</t>
  </si>
  <si>
    <t>RESTATED</t>
  </si>
  <si>
    <t>--:CALENDAR</t>
  </si>
  <si>
    <t>CALENDAR</t>
  </si>
  <si>
    <t>Comb. Revenue (MM)</t>
  </si>
  <si>
    <t>Adjusted:CALENDAR</t>
  </si>
  <si>
    <t>Jefferies Ratings</t>
  </si>
  <si>
    <t>Combined DPS</t>
  </si>
  <si>
    <t>Basic:CALENDAR</t>
  </si>
  <si>
    <t>Combined EPS</t>
  </si>
  <si>
    <t>Diluted:CALENDAR</t>
  </si>
  <si>
    <t>Combined Ratio</t>
  </si>
  <si>
    <t>Hold</t>
  </si>
  <si>
    <t>Cons. EBITDA</t>
  </si>
  <si>
    <t>Indicated:CALENDAR</t>
  </si>
  <si>
    <t>Underperform</t>
  </si>
  <si>
    <t>Managed:CALENDAR</t>
  </si>
  <si>
    <t>Monitored</t>
  </si>
  <si>
    <t>Cons. FFO</t>
  </si>
  <si>
    <t>Operating:CALENDAR</t>
  </si>
  <si>
    <t>Restricted</t>
  </si>
  <si>
    <t>Cons. Rev.</t>
  </si>
  <si>
    <t>Primary:CALENDAR</t>
  </si>
  <si>
    <t>Coverage Suspended</t>
  </si>
  <si>
    <t>Core Earnings (MM)</t>
  </si>
  <si>
    <t>ProForma:CALENDAR</t>
  </si>
  <si>
    <t>Core EPS</t>
  </si>
  <si>
    <t>Restated:CALENDAR</t>
  </si>
  <si>
    <t>CY EPS</t>
  </si>
  <si>
    <t>DACF (MM)</t>
  </si>
  <si>
    <t>DCF</t>
  </si>
  <si>
    <t>Distributable Cash per Unit</t>
  </si>
  <si>
    <t>Dividend</t>
  </si>
  <si>
    <t>Div Yield</t>
  </si>
  <si>
    <t>Do not use</t>
  </si>
  <si>
    <t>DPS</t>
  </si>
  <si>
    <t>Earnings per Unit</t>
  </si>
  <si>
    <t>EBIT (B)</t>
  </si>
  <si>
    <t>EBIT (MM)</t>
  </si>
  <si>
    <t>EBITDA/sh</t>
  </si>
  <si>
    <t>EBITDA (B)</t>
  </si>
  <si>
    <t>EBITDA - Consensus</t>
  </si>
  <si>
    <t>EBITDA-Core</t>
  </si>
  <si>
    <t>EBITDA-GP</t>
  </si>
  <si>
    <t>EBITDAR</t>
  </si>
  <si>
    <t>EBIT Margin</t>
  </si>
  <si>
    <t>Embedded Value/Share</t>
  </si>
  <si>
    <t>EPS (c)</t>
  </si>
  <si>
    <t>EPS-GAAP</t>
  </si>
  <si>
    <t>EPS Growth</t>
  </si>
  <si>
    <t>EPS Non-GAAP</t>
  </si>
  <si>
    <t>EPS Test (c)</t>
  </si>
  <si>
    <t>EC</t>
  </si>
  <si>
    <t>EV/FCF</t>
  </si>
  <si>
    <t>EV/Fleet</t>
  </si>
  <si>
    <t>EVA</t>
  </si>
  <si>
    <t>EV Op EPS</t>
  </si>
  <si>
    <t>FCF/Share</t>
  </si>
  <si>
    <t>FCF Yield</t>
  </si>
  <si>
    <t>FFO</t>
  </si>
  <si>
    <t>FFOM</t>
  </si>
  <si>
    <t>IFRS Op EPS</t>
  </si>
  <si>
    <t>IFRS Op Profit</t>
  </si>
  <si>
    <t>Implied Yield</t>
  </si>
  <si>
    <t>KEAN_EVA_ADJUST</t>
  </si>
  <si>
    <t>LLR/NPL</t>
  </si>
  <si>
    <t>Net Burn</t>
  </si>
  <si>
    <t>Net Debt/EBITDA</t>
  </si>
  <si>
    <t>Net Debt (Cash)</t>
  </si>
  <si>
    <t>Net Gearing</t>
  </si>
  <si>
    <t>Net Profit</t>
  </si>
  <si>
    <t>Net Profit (B)</t>
  </si>
  <si>
    <t>Net Profit Non-GAAP</t>
  </si>
  <si>
    <t>NPL Ratio</t>
  </si>
  <si>
    <t>NTA/Share</t>
  </si>
  <si>
    <t>Oil Price Assumption ($/bbl)</t>
  </si>
  <si>
    <t>Operating Profit</t>
  </si>
  <si>
    <t>Operating Profit (B)</t>
  </si>
  <si>
    <t>Operational Coverage</t>
  </si>
  <si>
    <t>OP Margin</t>
  </si>
  <si>
    <t>Ordinary Profit (B)</t>
  </si>
  <si>
    <t>Organic Rev Growth</t>
  </si>
  <si>
    <t>P/B</t>
  </si>
  <si>
    <t>P/CF</t>
  </si>
  <si>
    <t>P/E</t>
  </si>
  <si>
    <t>P/FCF</t>
  </si>
  <si>
    <t>PBT (MM)</t>
  </si>
  <si>
    <t>PE/G</t>
  </si>
  <si>
    <t>PE Relative to Local Market</t>
  </si>
  <si>
    <t>Production</t>
  </si>
  <si>
    <t>Recurring Profit (B)</t>
  </si>
  <si>
    <t>Recurring Profit</t>
  </si>
  <si>
    <t>Rev. (B)</t>
  </si>
  <si>
    <t>ROAA</t>
  </si>
  <si>
    <t>ROAE</t>
  </si>
  <si>
    <t>ROCE</t>
  </si>
  <si>
    <t>RoEV</t>
  </si>
  <si>
    <t>ROIC</t>
  </si>
  <si>
    <t>RoNTA</t>
  </si>
  <si>
    <t>T1 CAR</t>
  </si>
  <si>
    <t>TEV/DACF</t>
  </si>
  <si>
    <t>Total FCF (MM)</t>
  </si>
  <si>
    <t>Working Capital/Sales</t>
  </si>
  <si>
    <t>Historical and Projected Revenue Statement</t>
  </si>
  <si>
    <t>% of revenue</t>
  </si>
  <si>
    <t>Total revenue</t>
  </si>
  <si>
    <t>Operating income</t>
  </si>
  <si>
    <t>NOPAT</t>
  </si>
  <si>
    <t>Invested capital</t>
  </si>
  <si>
    <t>Net working capital</t>
  </si>
  <si>
    <t>Cost of equity</t>
  </si>
  <si>
    <t>Cost of debt</t>
  </si>
  <si>
    <t>Other current assets</t>
  </si>
  <si>
    <t>Accrued compensation</t>
  </si>
  <si>
    <t>Equity risk premium</t>
  </si>
  <si>
    <t>Assets</t>
  </si>
  <si>
    <t>EBITDA</t>
  </si>
  <si>
    <t>Employee Stock Option Calculation</t>
  </si>
  <si>
    <t>Investing Metrics</t>
  </si>
  <si>
    <t>Reported net income</t>
  </si>
  <si>
    <t>Expected after tax economic impact</t>
  </si>
  <si>
    <t>Net income after option expense</t>
  </si>
  <si>
    <t>Reported EPS</t>
  </si>
  <si>
    <t>Dilution to EPS</t>
  </si>
  <si>
    <t>Option cost as percent of revenue</t>
  </si>
  <si>
    <t>Options granted</t>
  </si>
  <si>
    <t>Options granted as % shares out</t>
  </si>
  <si>
    <t>Current after-tax value of ESO program</t>
  </si>
  <si>
    <t>ESO program as percent of invested capital</t>
  </si>
  <si>
    <t>Outstanding options</t>
  </si>
  <si>
    <t>Beginning of year</t>
  </si>
  <si>
    <t>Granted</t>
  </si>
  <si>
    <t>Exercised</t>
  </si>
  <si>
    <t>Cancellations</t>
  </si>
  <si>
    <t>End of Year</t>
  </si>
  <si>
    <t>Stated BS value</t>
  </si>
  <si>
    <t>Weighted avg exercise price</t>
  </si>
  <si>
    <t>Expected life</t>
  </si>
  <si>
    <t>Vesting Period</t>
  </si>
  <si>
    <t>Stock price</t>
  </si>
  <si>
    <t>Risk free rate</t>
  </si>
  <si>
    <t>Volatility</t>
  </si>
  <si>
    <t>Dividend yield</t>
  </si>
  <si>
    <t>Number of basic shares</t>
  </si>
  <si>
    <t>Manual entry for total ESO</t>
  </si>
  <si>
    <t>Tranche 1</t>
  </si>
  <si>
    <t>Avg price</t>
  </si>
  <si>
    <t>Number of warrants</t>
  </si>
  <si>
    <t>Tranche 2</t>
  </si>
  <si>
    <t>Tranche 3</t>
  </si>
  <si>
    <t>Tranche 4</t>
  </si>
  <si>
    <t>Tranche 5</t>
  </si>
  <si>
    <t>Tranche 6</t>
  </si>
  <si>
    <t>Tranche 7</t>
  </si>
  <si>
    <t>Tranche 8</t>
  </si>
  <si>
    <t>Tranche 9</t>
  </si>
  <si>
    <t>Tranche 10</t>
  </si>
  <si>
    <t>Grant detail</t>
  </si>
  <si>
    <t>Number granted</t>
  </si>
  <si>
    <t>Average price</t>
  </si>
  <si>
    <t>Weighted avg BS value</t>
  </si>
  <si>
    <t>Vesting period</t>
  </si>
  <si>
    <t>3-yr avg empoyee churn</t>
  </si>
  <si>
    <t>Est options at end of vesting period</t>
  </si>
  <si>
    <t>Warrant conversion factor</t>
  </si>
  <si>
    <t>Marginal tax rate</t>
  </si>
  <si>
    <t>Expected after-tax value</t>
  </si>
  <si>
    <t>Stock splits</t>
  </si>
  <si>
    <t>stock split product</t>
  </si>
  <si>
    <t>stock split multiplier</t>
  </si>
  <si>
    <t>Value of option program</t>
  </si>
  <si>
    <t>Current pre-tax value</t>
  </si>
  <si>
    <t>Current after-tax value</t>
  </si>
  <si>
    <t>Value of call option</t>
  </si>
  <si>
    <t>Years until options vest</t>
  </si>
  <si>
    <t>Estimated options at vesting end</t>
  </si>
  <si>
    <t>Fair value for each warrant</t>
  </si>
  <si>
    <t>Pre-tax value of tranche</t>
  </si>
  <si>
    <t>After-tax value of tranche</t>
  </si>
  <si>
    <t>Cash, Ending</t>
  </si>
  <si>
    <t>Net debt (cash)</t>
  </si>
  <si>
    <t>Share based compensation</t>
  </si>
  <si>
    <t>Non-GAAP Diluted E.P.S.</t>
  </si>
  <si>
    <t>Current portion of operating lease liabilities</t>
  </si>
  <si>
    <t>Pharma contract liability</t>
  </si>
  <si>
    <t>Deferred income tax liability, net</t>
  </si>
  <si>
    <t>Prepaid assets</t>
  </si>
  <si>
    <t>Accrued expenses and other liabilities</t>
  </si>
  <si>
    <t>Marketable securities</t>
  </si>
  <si>
    <t>Cash and cash equivalents</t>
  </si>
  <si>
    <t>Restricted cash</t>
  </si>
  <si>
    <t>Assets held for sale</t>
  </si>
  <si>
    <t>Loan receivable from non-consolidated affiliate</t>
  </si>
  <si>
    <t>Prepaid lease asset</t>
  </si>
  <si>
    <t>Investment in non-consolidated affiliate</t>
  </si>
  <si>
    <t>Accounts receivables</t>
  </si>
  <si>
    <t>Current portion of equipment financing obligations</t>
  </si>
  <si>
    <t>Finance leases</t>
  </si>
  <si>
    <t>Loss on disposal of assets</t>
  </si>
  <si>
    <t>Loss on termination of cash flow hedge</t>
  </si>
  <si>
    <t>Gain on investment in and loan receivable from non-consolidated affiliate, net</t>
  </si>
  <si>
    <t>Interest receivable on loan receivable from non-consolidated affiliate</t>
  </si>
  <si>
    <t>Write-off of COVID-19 PCR testing inventory and equipment</t>
  </si>
  <si>
    <t>Impairment of assets</t>
  </si>
  <si>
    <t>Other non-cash items</t>
  </si>
  <si>
    <t>Loss on debt extinguishment</t>
  </si>
  <si>
    <t>Amortization of debt issue costs</t>
  </si>
  <si>
    <t>Amortization of convertible debt discount</t>
  </si>
  <si>
    <t>Non-cash operating lease expense</t>
  </si>
  <si>
    <t>Gain on sale of assets held for sale</t>
  </si>
  <si>
    <t>Prepaid and other assets</t>
  </si>
  <si>
    <t>Accounts payable, accrued and other liabilities</t>
  </si>
  <si>
    <t>Deferred income tax liabilities, net</t>
  </si>
  <si>
    <t>Proceeds from assets held for sale</t>
  </si>
  <si>
    <t>Acquisition working capital adjustment</t>
  </si>
  <si>
    <t>Proceeds from term loan</t>
  </si>
  <si>
    <t>Repayment of term loan</t>
  </si>
  <si>
    <t>Advances on revolving credit facility</t>
  </si>
  <si>
    <t>Repayment of equipment financing obligations</t>
  </si>
  <si>
    <t>Redemption of preferred stock</t>
  </si>
  <si>
    <t>Issuance of common stock, net</t>
  </si>
  <si>
    <t>Proceeds from equity offering, net of issuance costs</t>
  </si>
  <si>
    <t>Proceeds from convertible debt, net</t>
  </si>
  <si>
    <t>G&amp;A</t>
  </si>
  <si>
    <t>Sales and Marketing</t>
  </si>
  <si>
    <t>SBC</t>
  </si>
  <si>
    <t>Acquisition related charges</t>
  </si>
  <si>
    <t>General and administrative</t>
  </si>
  <si>
    <t>Clinical Services</t>
  </si>
  <si>
    <t>Advanced Diagnostics</t>
  </si>
  <si>
    <t>Client direct billing</t>
  </si>
  <si>
    <t>Commercial Insurance</t>
  </si>
  <si>
    <t>Medicare and Medicaid</t>
  </si>
  <si>
    <t>Self-Pay</t>
  </si>
  <si>
    <t>Total cost of revenue</t>
  </si>
  <si>
    <t>Cost of revenue</t>
  </si>
  <si>
    <t>GAAP Net income</t>
  </si>
  <si>
    <t>Adjusted EBITDA</t>
  </si>
  <si>
    <t>1.25% Convertible Senior Notes due 2025</t>
  </si>
  <si>
    <t>0.25% Convertible Senior Notes due 2028</t>
  </si>
  <si>
    <t>Cash paid for dividend</t>
  </si>
  <si>
    <t>Principal amount</t>
  </si>
  <si>
    <t>Unamortised portion</t>
  </si>
  <si>
    <t>Carrying value</t>
  </si>
  <si>
    <t>Debt - current portion</t>
  </si>
  <si>
    <t>Debt - Long term</t>
  </si>
  <si>
    <t>Others</t>
  </si>
  <si>
    <t>Adjustements:</t>
  </si>
  <si>
    <t>Revolving credit facilities</t>
  </si>
  <si>
    <t>Total NEO stockholders’ equity</t>
  </si>
  <si>
    <t>% of Revenue</t>
  </si>
  <si>
    <t xml:space="preserve">Liabilities </t>
  </si>
  <si>
    <t>Acquisition, net of cash</t>
  </si>
  <si>
    <t>Other financing activities</t>
  </si>
  <si>
    <t>Adj. EBITDA</t>
  </si>
  <si>
    <t>Basic E.P.S. (non GAAP)</t>
  </si>
  <si>
    <t>Diluted E.P.S. (non GAAP)</t>
  </si>
  <si>
    <t>NeoGenomics</t>
  </si>
  <si>
    <t>Nasdaq: NEO</t>
  </si>
  <si>
    <t>ASP/test</t>
  </si>
  <si>
    <t>Volume</t>
  </si>
  <si>
    <t>Source: NeoGenomics and Jefferies LLC estimates.</t>
  </si>
  <si>
    <t>Y1</t>
  </si>
  <si>
    <t>Y2</t>
  </si>
  <si>
    <t>Y3</t>
  </si>
  <si>
    <t>Y4</t>
  </si>
  <si>
    <t>Y5</t>
  </si>
  <si>
    <t>Upside</t>
  </si>
  <si>
    <t>Growth</t>
  </si>
  <si>
    <t>Op margin</t>
  </si>
  <si>
    <t>Capex</t>
  </si>
  <si>
    <t>EBITDA margin (%)</t>
  </si>
  <si>
    <t>Downside</t>
  </si>
  <si>
    <t>operating margin (%)</t>
  </si>
  <si>
    <t>Income tax rate</t>
  </si>
  <si>
    <t>Income tax expense</t>
  </si>
  <si>
    <t>NOPAT margin (%)</t>
  </si>
  <si>
    <t>% of sales</t>
  </si>
  <si>
    <t>CAPEX</t>
  </si>
  <si>
    <t>Change in working capital</t>
  </si>
  <si>
    <t>Implied Value per Share</t>
  </si>
  <si>
    <t>Current price</t>
  </si>
  <si>
    <t>Upside/Downside</t>
  </si>
  <si>
    <t>10Y Treasury Yield</t>
  </si>
  <si>
    <t>Mkt Value of Equity</t>
  </si>
  <si>
    <t>Equity weight</t>
  </si>
  <si>
    <t>Debt weight</t>
  </si>
  <si>
    <t>After-tax cost of debt</t>
  </si>
  <si>
    <t>NEO</t>
  </si>
  <si>
    <t>Revolver</t>
  </si>
  <si>
    <t>Other debts</t>
  </si>
  <si>
    <t>Interest rate</t>
  </si>
  <si>
    <t>Reported interest expense</t>
  </si>
  <si>
    <t>Current</t>
  </si>
  <si>
    <t>Estimated cash interest expense</t>
  </si>
  <si>
    <t>Long-term</t>
  </si>
  <si>
    <t>Estimated amortized discount/premium</t>
  </si>
  <si>
    <t>Estimated interest expense</t>
  </si>
  <si>
    <t>Basic avg shares outstanding, beg</t>
  </si>
  <si>
    <t>Basic avg shares outstanding, end</t>
  </si>
  <si>
    <t>Dilutive avg shares outstanding, end</t>
  </si>
  <si>
    <t>Potentially dilutive shares</t>
  </si>
  <si>
    <t>Net changes in debt</t>
  </si>
  <si>
    <t>Working capital drivers</t>
  </si>
  <si>
    <t>A/R: DSO</t>
  </si>
  <si>
    <t>Inventory: DIO</t>
  </si>
  <si>
    <t>A/P: DPO</t>
  </si>
  <si>
    <t>Accrued expenses and other</t>
  </si>
  <si>
    <t>change</t>
  </si>
  <si>
    <t>Debt to capital</t>
  </si>
  <si>
    <t>Net debt to capital</t>
  </si>
  <si>
    <t>Debt to equity</t>
  </si>
  <si>
    <t>Financial leverage</t>
  </si>
  <si>
    <t>Net leverage: net debt / EBITDA</t>
  </si>
  <si>
    <t>Operating assets</t>
  </si>
  <si>
    <t>Operating liabilities</t>
  </si>
  <si>
    <t>Net operating assets</t>
  </si>
  <si>
    <t>Operating B/S</t>
  </si>
  <si>
    <t>Financial assets</t>
  </si>
  <si>
    <t>Financial obligations</t>
  </si>
  <si>
    <t>Net financial obligations</t>
  </si>
  <si>
    <t>Common shareholders equity</t>
  </si>
  <si>
    <t>NOA turnover</t>
  </si>
  <si>
    <t>NOA per $ Revenue</t>
  </si>
  <si>
    <t>Change in NOA</t>
  </si>
  <si>
    <t>Change due to scale</t>
  </si>
  <si>
    <t>Change due to efficiency</t>
  </si>
  <si>
    <t>Transition/restructuring</t>
  </si>
  <si>
    <t>Financing (below the line)</t>
  </si>
  <si>
    <t>Financing</t>
  </si>
  <si>
    <t>EBITDA Adjustments</t>
  </si>
  <si>
    <t>EPS Adjustments</t>
  </si>
  <si>
    <t>COGS Adjustments</t>
  </si>
  <si>
    <t>Requisitions</t>
  </si>
  <si>
    <t>Tests per case</t>
  </si>
  <si>
    <t>Booked contracts end</t>
  </si>
  <si>
    <t>Contract adds</t>
  </si>
  <si>
    <t>Core ASP</t>
  </si>
  <si>
    <t>COVID revenues</t>
  </si>
  <si>
    <t>Advanced Dx (FKA Pharma Services)</t>
  </si>
  <si>
    <t>NGS</t>
  </si>
  <si>
    <t>% of clinical services</t>
  </si>
  <si>
    <t>Ex-NGS</t>
  </si>
  <si>
    <t>EBITDA margin</t>
  </si>
  <si>
    <t>Y10</t>
  </si>
  <si>
    <t>Noah Kava</t>
  </si>
  <si>
    <t>212.323.3939</t>
  </si>
  <si>
    <t>nkava@jefferies.com</t>
  </si>
  <si>
    <t>Mid-year convention</t>
  </si>
  <si>
    <t>PV uFCF</t>
  </si>
  <si>
    <t>Plus: Cash</t>
  </si>
  <si>
    <t>Less: Debt</t>
  </si>
  <si>
    <t>Intrinsic value multiples</t>
  </si>
  <si>
    <t>growth q/q (%)</t>
  </si>
  <si>
    <t>growth q/q ($)</t>
  </si>
  <si>
    <t>Adjusted cost of revenue</t>
  </si>
  <si>
    <t>Adjusted gross profit</t>
  </si>
  <si>
    <t>Total gross profit</t>
  </si>
  <si>
    <t>Total clinical servcies</t>
  </si>
  <si>
    <t>10Y Beta (adjusted)</t>
  </si>
  <si>
    <t>%  of revenue</t>
  </si>
  <si>
    <t>3Q24</t>
  </si>
  <si>
    <t xml:space="preserve">Low </t>
  </si>
  <si>
    <t>Mid</t>
  </si>
  <si>
    <t>High</t>
  </si>
  <si>
    <t>Prev</t>
  </si>
  <si>
    <t>Change (%)</t>
  </si>
  <si>
    <t>Change ($)</t>
  </si>
  <si>
    <t>Prior Yr</t>
  </si>
  <si>
    <t>2Q24</t>
  </si>
  <si>
    <t>1Q24</t>
  </si>
  <si>
    <t>4Q23</t>
  </si>
  <si>
    <t>Quarterly Variance</t>
  </si>
  <si>
    <t>($ in millions, except per share)</t>
  </si>
  <si>
    <t>Jefferies Estimate</t>
  </si>
  <si>
    <t>Consensus</t>
  </si>
  <si>
    <t>Notes</t>
  </si>
  <si>
    <t>Reported</t>
  </si>
  <si>
    <t>Prior Year</t>
  </si>
  <si>
    <t>Forecast</t>
  </si>
  <si>
    <t>∆</t>
  </si>
  <si>
    <t>Other interest expense (income)</t>
  </si>
  <si>
    <t>Diluted E.P.S.</t>
  </si>
  <si>
    <t>Sales by Group</t>
  </si>
  <si>
    <t>Source: FactSet, company reports, Jefferies estimates</t>
  </si>
  <si>
    <t>Note: Adjusted basis</t>
  </si>
  <si>
    <t>Sales and marketing</t>
  </si>
  <si>
    <t>Time Series Grid #5</t>
  </si>
  <si>
    <t>Time Series Grid #6</t>
  </si>
  <si>
    <t>EBITDA Phasing</t>
  </si>
  <si>
    <t>Clinical Revenue Mix (OLD, 3Q24)</t>
  </si>
  <si>
    <t>Total Revenue Mix (NEW, 4Q24)</t>
  </si>
  <si>
    <t>CFO / GAAP NI</t>
  </si>
  <si>
    <t>4Q24</t>
  </si>
  <si>
    <t>1Q25</t>
  </si>
  <si>
    <t xml:space="preserve">Pathline </t>
  </si>
  <si>
    <t>M&amp;A contribution ($)</t>
  </si>
  <si>
    <t>M&amp;A contribution (%)</t>
  </si>
  <si>
    <t>organic growth ($)</t>
  </si>
  <si>
    <t>organic growth (%)</t>
  </si>
  <si>
    <t>Priya Patel</t>
  </si>
  <si>
    <t>332.204.0140</t>
  </si>
  <si>
    <t xml:space="preserve">ppatel5@jefferies.com </t>
  </si>
  <si>
    <t>Base case</t>
  </si>
  <si>
    <t>Clinical Services (ex. Pathline)</t>
  </si>
  <si>
    <t>ASP (implied)</t>
  </si>
  <si>
    <t>Total Clinical Services</t>
  </si>
  <si>
    <t>ASP</t>
  </si>
  <si>
    <t>Lauren Timmins, PhD</t>
  </si>
  <si>
    <t>212.778.8267</t>
  </si>
  <si>
    <t>ltimmins@jefferies.com</t>
  </si>
  <si>
    <t>Sales force</t>
  </si>
  <si>
    <t>Top-5 NGS Tests</t>
  </si>
  <si>
    <t>Share of test volume</t>
  </si>
  <si>
    <t>RaDaR</t>
  </si>
  <si>
    <t>Q/Q volume growth</t>
  </si>
  <si>
    <t>NGS revenue per test</t>
  </si>
  <si>
    <t>Pantracer Liquid</t>
  </si>
  <si>
    <t>Volumes</t>
  </si>
  <si>
    <t>contribution to NGS</t>
  </si>
  <si>
    <t>RaDaR ST Clinical</t>
  </si>
  <si>
    <t>contribution to clinical</t>
  </si>
  <si>
    <t>same store sales y/y</t>
  </si>
  <si>
    <t>same store volumes y/y</t>
  </si>
  <si>
    <t>same store ASP y/y</t>
  </si>
  <si>
    <t>Pantracer Tissue</t>
  </si>
  <si>
    <t>NI</t>
  </si>
  <si>
    <t>OCF</t>
  </si>
  <si>
    <t>PEG</t>
  </si>
  <si>
    <t>EBITDA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</si>
</sst>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00_ ;_ * \-#,##0.00_ ;_ * &quot;-&quot;??_ ;_ @_ "/>
    <numFmt numFmtId="165" formatCode="mmmm\ d\,\ yyyy"/>
    <numFmt numFmtId="166" formatCode="&quot;$&quot;#,##0.0_);[Red]\(&quot;$&quot;#,##0.0\)"/>
    <numFmt numFmtId="167" formatCode="#,##0.000"/>
    <numFmt numFmtId="168" formatCode="#,##0.0"/>
    <numFmt numFmtId="169" formatCode="#,##0.0%\ ;[Red]\(#,##0.0%\)"/>
    <numFmt numFmtId="170" formatCode="&quot;$&quot;#,##0.0"/>
    <numFmt numFmtId="171" formatCode="0.0%"/>
    <numFmt numFmtId="172" formatCode="&quot;$&quot;#,##0.0_);\(&quot;$&quot;#,##0.0\)"/>
    <numFmt numFmtId="173" formatCode="#,##0.0_);[Red]\(#,##0.0\)"/>
    <numFmt numFmtId="174" formatCode="0.0\x;[Red]\(0.0\x\)"/>
    <numFmt numFmtId="175" formatCode="0.0%_)"/>
    <numFmt numFmtId="176" formatCode="#,##0.0000"/>
    <numFmt numFmtId="177" formatCode="0.0"/>
    <numFmt numFmtId="178" formatCode="_(* #,##0.0_);_(* \(#,##0.0\);_(* &quot;-&quot;??_);_(@_)"/>
    <numFmt numFmtId="179" formatCode="\€#,##0_);\(\€#,##0\)"/>
    <numFmt numFmtId="180" formatCode="0.0%;[Red]\(0.0%\)"/>
    <numFmt numFmtId="181" formatCode="#,##0.00%\ ;[Red]\(#,##0.00%\)"/>
    <numFmt numFmtId="182" formatCode="&quot;$&quot;#,##0.000_);[Red]\(&quot;$&quot;#,##0.000\)"/>
    <numFmt numFmtId="183" formatCode="_-* #,##0.00_-;\-* #,##0.00_-;_-* &quot;-&quot;??_-;_-@_-"/>
    <numFmt numFmtId="184" formatCode="#,##0%\ ;[Red]\(#,##0%\)"/>
    <numFmt numFmtId="185" formatCode="#,##0%_);[Red]\(#,##0%\)"/>
    <numFmt numFmtId="186" formatCode="0%;\(0%\)"/>
    <numFmt numFmtId="187" formatCode="#,##0.000000_);[Red]\(#,##0.000000\)"/>
    <numFmt numFmtId="188" formatCode="0.0\x;\(0.0\x\)"/>
    <numFmt numFmtId="189" formatCode="0%_)"/>
    <numFmt numFmtId="190" formatCode="0.0%;\(0.0%\)"/>
    <numFmt numFmtId="191" formatCode="0%;[Red]\(0%\)"/>
    <numFmt numFmtId="192" formatCode="#,##0.0_);\(#,##0.0\)"/>
    <numFmt numFmtId="193" formatCode="_(* #,##0_);_(* \(#,##0\);_(* &quot;-&quot;??_);_(@_)"/>
    <numFmt numFmtId="194" formatCode="0\x;[Red]\(0\x\)"/>
    <numFmt numFmtId="195" formatCode="#,##0.00000"/>
    <numFmt numFmtId="196" formatCode="&quot;$&quot;#,##0"/>
    <numFmt numFmtId="197" formatCode="&quot;$&quot;#,##0.000_);\(&quot;$&quot;#,##0.000\)"/>
    <numFmt numFmtId="198" formatCode="&quot;$&quot;#,##0.00"/>
    <numFmt numFmtId="199" formatCode="0_);\(0\)"/>
    <numFmt numFmtId="200" formatCode="[$-409]mmm\-yy;@"/>
    <numFmt numFmtId="201" formatCode="_(* #,##0.000_);_(* \(#,##0.000\);_(* &quot;-&quot;_);_(@_)"/>
    <numFmt numFmtId="202" formatCode="_(* #,##0.0000_);_(* \(#,##0.0000\);_(* &quot;-&quot;_);_(@_)"/>
    <numFmt numFmtId="203" formatCode="0.00_);[Red]\(0.00\)"/>
    <numFmt numFmtId="204" formatCode="0&quot;E&quot;"/>
    <numFmt numFmtId="205" formatCode="0\x;\(0\x\)"/>
    <numFmt numFmtId="206" formatCode="#,##0.0&quot;x&quot;"/>
    <numFmt numFmtId="207" formatCode="&quot;Guide Quarter &quot;0"/>
    <numFmt numFmtId="208" formatCode="#,##0.00%_);[Red]\(#,##0.00%\)"/>
    <numFmt numFmtId="209" formatCode="#,##0.0%_);[Red]\(#,##0.0%\)"/>
    <numFmt numFmtId="210" formatCode="&quot;+&quot;#,##0.0%\ ;[Red]\(#,##0.0%\)"/>
    <numFmt numFmtId="211" formatCode="&quot;+&quot;#,##0&quot; bps&quot;_);[Red]\(#,##0&quot; bps&quot;\)"/>
    <numFmt numFmtId="212" formatCode="#,##0&quot; bps&quot;_);[Red]\(#,##0&quot; bps&quot;\)"/>
    <numFmt numFmtId="213" formatCode="&quot;$&quot;#,##0.000"/>
  </numFmts>
  <fonts count="167">
    <font>
      <sz val="9"/>
      <name val="Futura Md BT"/>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20"/>
      <name val="Arial"/>
      <family val="2"/>
    </font>
    <font>
      <b/>
      <sz val="13"/>
      <color indexed="8"/>
      <name val="Arial"/>
      <family val="2"/>
    </font>
    <font>
      <b/>
      <sz val="10"/>
      <color indexed="8"/>
      <name val="Arial"/>
      <family val="2"/>
    </font>
    <font>
      <sz val="10"/>
      <name val="Arial Narrow"/>
      <family val="2"/>
    </font>
    <font>
      <b/>
      <sz val="10"/>
      <name val="Arial Narrow"/>
      <family val="2"/>
    </font>
    <font>
      <u/>
      <sz val="10"/>
      <name val="Arial Narrow"/>
      <family val="2"/>
    </font>
    <font>
      <sz val="10"/>
      <name val="GillSans"/>
    </font>
    <font>
      <sz val="10"/>
      <color indexed="12"/>
      <name val="Arial Narrow"/>
      <family val="2"/>
    </font>
    <font>
      <b/>
      <sz val="8"/>
      <color indexed="81"/>
      <name val="Tahoma"/>
      <family val="2"/>
    </font>
    <font>
      <sz val="8"/>
      <color indexed="81"/>
      <name val="Tahoma"/>
      <family val="2"/>
    </font>
    <font>
      <sz val="10"/>
      <name val="Arial Narrow MT"/>
      <family val="2"/>
    </font>
    <font>
      <b/>
      <u/>
      <sz val="10"/>
      <name val="Arial Narrow"/>
      <family val="2"/>
    </font>
    <font>
      <i/>
      <sz val="10"/>
      <name val="Arial Narrow"/>
      <family val="2"/>
    </font>
    <font>
      <sz val="10"/>
      <color indexed="17"/>
      <name val="Arial Narrow"/>
      <family val="2"/>
    </font>
    <font>
      <sz val="8"/>
      <name val="Arial"/>
      <family val="2"/>
    </font>
    <font>
      <sz val="9"/>
      <name val="Arial"/>
      <family val="2"/>
    </font>
    <font>
      <sz val="10"/>
      <color indexed="8"/>
      <name val="MS Sans Serif"/>
      <family val="2"/>
    </font>
    <font>
      <sz val="10"/>
      <color rgb="FF0000FF"/>
      <name val="Arial Narrow"/>
      <family val="2"/>
    </font>
    <font>
      <sz val="12"/>
      <name val="Arial"/>
      <family val="2"/>
    </font>
    <font>
      <sz val="12"/>
      <name val="Arial"/>
      <family val="2"/>
    </font>
    <font>
      <u/>
      <sz val="10"/>
      <color rgb="FF0000FF"/>
      <name val="Arial Narrow"/>
      <family val="2"/>
    </font>
    <font>
      <u/>
      <sz val="10"/>
      <color theme="1"/>
      <name val="Arial Narrow"/>
      <family val="2"/>
    </font>
    <font>
      <sz val="10"/>
      <color theme="1"/>
      <name val="Arial Narrow"/>
      <family val="2"/>
    </font>
    <font>
      <b/>
      <sz val="10"/>
      <color theme="1"/>
      <name val="Arial Narrow"/>
      <family val="2"/>
    </font>
    <font>
      <b/>
      <sz val="11"/>
      <color indexed="8"/>
      <name val="Arial"/>
      <family val="2"/>
    </font>
    <font>
      <sz val="6"/>
      <name val="ITC Stone Sans Com Medium"/>
    </font>
    <font>
      <b/>
      <sz val="9"/>
      <name val="Arial"/>
      <family val="2"/>
    </font>
    <font>
      <sz val="8"/>
      <name val="Helvetica"/>
    </font>
    <font>
      <b/>
      <sz val="16"/>
      <color rgb="FFFF0000"/>
      <name val="Cambria"/>
      <family val="2"/>
      <scheme val="major"/>
    </font>
    <font>
      <sz val="10"/>
      <name val="Calibri"/>
      <family val="1"/>
    </font>
    <font>
      <b/>
      <sz val="10"/>
      <name val="Calibri"/>
      <family val="2"/>
    </font>
    <font>
      <sz val="10"/>
      <name val="Cambria"/>
      <family val="2"/>
      <scheme val="major"/>
    </font>
    <font>
      <b/>
      <sz val="10"/>
      <color rgb="FFFF0000"/>
      <name val="Calibri"/>
      <family val="2"/>
    </font>
    <font>
      <sz val="11"/>
      <color theme="1"/>
      <name val="Cambria"/>
      <family val="2"/>
    </font>
    <font>
      <b/>
      <sz val="10"/>
      <color indexed="25"/>
      <name val="Cambria"/>
      <family val="2"/>
      <scheme val="major"/>
    </font>
    <font>
      <b/>
      <sz val="10"/>
      <color indexed="25"/>
      <name val="Calibri"/>
      <family val="1"/>
    </font>
    <font>
      <b/>
      <sz val="10"/>
      <name val="Cambria"/>
      <family val="2"/>
    </font>
    <font>
      <sz val="10"/>
      <color theme="0"/>
      <name val="Calibri"/>
      <family val="2"/>
    </font>
    <font>
      <b/>
      <sz val="16"/>
      <color theme="0"/>
      <name val="Calibri"/>
      <family val="2"/>
    </font>
    <font>
      <b/>
      <u/>
      <sz val="10"/>
      <name val="Calibri"/>
      <family val="1"/>
    </font>
    <font>
      <b/>
      <sz val="12"/>
      <color rgb="FFFF0000"/>
      <name val="Calibri"/>
      <family val="2"/>
    </font>
    <font>
      <u/>
      <sz val="10"/>
      <color indexed="12"/>
      <name val="Arial"/>
      <family val="2"/>
    </font>
    <font>
      <sz val="10"/>
      <color rgb="FFFF0000"/>
      <name val="Calibri"/>
      <family val="1"/>
    </font>
    <font>
      <b/>
      <sz val="16"/>
      <name val="Cambria"/>
      <family val="1"/>
    </font>
    <font>
      <sz val="16"/>
      <name val="Calibri"/>
      <family val="1"/>
    </font>
    <font>
      <sz val="16"/>
      <color rgb="FF0070C0"/>
      <name val="Calibri"/>
      <family val="1"/>
    </font>
    <font>
      <sz val="10"/>
      <color theme="0" tint="-0.249977111117893"/>
      <name val="Calibri"/>
      <family val="1"/>
    </font>
    <font>
      <sz val="10"/>
      <name val="Cambria"/>
      <family val="1"/>
    </font>
    <font>
      <b/>
      <sz val="12"/>
      <color rgb="FF0000FF"/>
      <name val="Calibri"/>
      <family val="2"/>
    </font>
    <font>
      <b/>
      <sz val="16"/>
      <color rgb="FF0070C0"/>
      <name val="Calibri"/>
      <family val="2"/>
    </font>
    <font>
      <sz val="10"/>
      <name val="Calibri"/>
      <family val="2"/>
    </font>
    <font>
      <sz val="12"/>
      <color rgb="FFFF0000"/>
      <name val="Cambria"/>
      <family val="2"/>
    </font>
    <font>
      <sz val="10"/>
      <color rgb="FFFF0000"/>
      <name val="Cambria"/>
      <family val="1"/>
    </font>
    <font>
      <b/>
      <sz val="10"/>
      <color rgb="FF0070C0"/>
      <name val="Calibri"/>
      <family val="2"/>
    </font>
    <font>
      <sz val="10"/>
      <name val="Cambria"/>
      <family val="2"/>
    </font>
    <font>
      <sz val="8"/>
      <name val="Helvetica"/>
      <family val="2"/>
    </font>
    <font>
      <b/>
      <sz val="12"/>
      <name val="Calibri"/>
      <family val="2"/>
    </font>
    <font>
      <sz val="12"/>
      <color rgb="FF0000FF"/>
      <name val="Calibri"/>
      <family val="2"/>
    </font>
    <font>
      <sz val="12"/>
      <name val="Calibri"/>
      <family val="2"/>
    </font>
    <font>
      <b/>
      <i/>
      <u/>
      <sz val="10"/>
      <color indexed="25"/>
      <name val="Calibri"/>
      <family val="1"/>
    </font>
    <font>
      <sz val="12"/>
      <name val="Cambria"/>
      <family val="2"/>
    </font>
    <font>
      <b/>
      <sz val="10"/>
      <name val="Calibri"/>
      <family val="1"/>
    </font>
    <font>
      <sz val="12"/>
      <color rgb="FF0000FF"/>
      <name val="Cambria"/>
      <family val="1"/>
    </font>
    <font>
      <u/>
      <sz val="8.5"/>
      <color indexed="12"/>
      <name val="Arial"/>
      <family val="2"/>
    </font>
    <font>
      <b/>
      <sz val="10"/>
      <name val="Cambria"/>
      <family val="2"/>
      <scheme val="major"/>
    </font>
    <font>
      <b/>
      <u/>
      <sz val="10"/>
      <color rgb="FF0070C0"/>
      <name val="Calibri"/>
      <family val="1"/>
    </font>
    <font>
      <b/>
      <sz val="16"/>
      <name val="Cambria"/>
      <family val="2"/>
    </font>
    <font>
      <b/>
      <sz val="16"/>
      <name val="Calibri"/>
      <family val="1"/>
    </font>
    <font>
      <sz val="16"/>
      <color rgb="FF0070C0"/>
      <name val="Calibri"/>
      <family val="2"/>
    </font>
    <font>
      <u/>
      <sz val="10"/>
      <name val="Calibri"/>
      <family val="1"/>
    </font>
    <font>
      <b/>
      <sz val="10"/>
      <color rgb="FF0000FF"/>
      <name val="Arial Narrow"/>
      <family val="2"/>
    </font>
    <font>
      <sz val="11"/>
      <color theme="1"/>
      <name val="Calibri"/>
      <family val="2"/>
    </font>
    <font>
      <i/>
      <sz val="10"/>
      <color indexed="12"/>
      <name val="Arial Narrow"/>
      <family val="2"/>
    </font>
    <font>
      <i/>
      <sz val="10"/>
      <color rgb="FF0000FF"/>
      <name val="Arial Narrow"/>
      <family val="2"/>
    </font>
    <font>
      <i/>
      <sz val="10"/>
      <color indexed="53"/>
      <name val="Arial Narrow"/>
      <family val="2"/>
    </font>
    <font>
      <sz val="9"/>
      <color indexed="81"/>
      <name val="Tahoma"/>
      <family val="2"/>
    </font>
    <font>
      <sz val="8"/>
      <color theme="1"/>
      <name val="ITC Stone Sans Com Medium"/>
    </font>
    <font>
      <b/>
      <sz val="12"/>
      <name val="Arial"/>
      <family val="2"/>
    </font>
    <font>
      <b/>
      <i/>
      <sz val="10"/>
      <color indexed="12"/>
      <name val="Arial Narrow"/>
      <family val="2"/>
    </font>
    <font>
      <i/>
      <sz val="10"/>
      <color theme="1"/>
      <name val="Arial Narrow"/>
      <family val="2"/>
    </font>
    <font>
      <sz val="8"/>
      <name val="Times New Roman"/>
      <family val="1"/>
    </font>
    <font>
      <b/>
      <i/>
      <sz val="10"/>
      <color rgb="FF0000FF"/>
      <name val="Arial Narrow"/>
      <family val="2"/>
    </font>
    <font>
      <b/>
      <sz val="9"/>
      <color indexed="81"/>
      <name val="Tahoma"/>
      <family val="2"/>
    </font>
    <font>
      <sz val="10"/>
      <name val="Arial"/>
      <family val="2"/>
    </font>
    <font>
      <sz val="9"/>
      <name val="Calibri"/>
      <family val="2"/>
    </font>
    <font>
      <sz val="9"/>
      <color theme="0"/>
      <name val="Calibri"/>
      <family val="2"/>
    </font>
    <font>
      <sz val="9"/>
      <color theme="8" tint="0.39994506668294322"/>
      <name val="Calibri"/>
      <family val="2"/>
    </font>
    <font>
      <b/>
      <sz val="9"/>
      <name val="Calibri"/>
      <family val="2"/>
    </font>
    <font>
      <sz val="9"/>
      <color indexed="9"/>
      <name val="Calibri"/>
      <family val="2"/>
    </font>
    <font>
      <i/>
      <sz val="9"/>
      <name val="Calibri"/>
      <family val="2"/>
    </font>
    <font>
      <sz val="9"/>
      <color rgb="FFFF0000"/>
      <name val="Calibri"/>
      <family val="2"/>
    </font>
    <font>
      <i/>
      <sz val="9"/>
      <color rgb="FFFF0000"/>
      <name val="Calibri"/>
      <family val="2"/>
    </font>
    <font>
      <sz val="9"/>
      <color rgb="FF00B050"/>
      <name val="Calibri"/>
      <family val="2"/>
    </font>
    <font>
      <sz val="10"/>
      <name val="Arial Narrow"/>
      <family val="2"/>
    </font>
    <font>
      <u/>
      <sz val="10"/>
      <name val="Arial Narrow"/>
      <family val="2"/>
    </font>
    <font>
      <sz val="10"/>
      <color rgb="FF0000FF"/>
      <name val="Arial Narrow"/>
      <family val="2"/>
    </font>
    <font>
      <sz val="9"/>
      <name val="Calibri"/>
      <family val="2"/>
    </font>
    <font>
      <b/>
      <sz val="10"/>
      <name val="Arial Narrow"/>
      <family val="2"/>
    </font>
    <font>
      <b/>
      <sz val="9"/>
      <name val="Calibri"/>
      <family val="2"/>
    </font>
    <font>
      <sz val="9"/>
      <color rgb="FF808080"/>
      <name val="Calibri"/>
      <family val="2"/>
    </font>
    <font>
      <i/>
      <sz val="10"/>
      <name val="Arial Narrow"/>
      <family val="2"/>
    </font>
    <font>
      <sz val="10"/>
      <color theme="0" tint="-0.34998626667073579"/>
      <name val="Arial Narrow"/>
      <family val="2"/>
    </font>
    <font>
      <sz val="9"/>
      <color theme="0" tint="-0.34998626667073579"/>
      <name val="Futura Md BT"/>
      <family val="2"/>
    </font>
    <font>
      <i/>
      <sz val="9"/>
      <color theme="0" tint="-0.34998626667073579"/>
      <name val="Calibri"/>
      <family val="2"/>
    </font>
    <font>
      <sz val="10"/>
      <color theme="0" tint="-0.499984740745262"/>
      <name val="Arial Narrow"/>
      <family val="2"/>
    </font>
    <font>
      <sz val="10"/>
      <color rgb="FFFF0000"/>
      <name val="Arial Narrow"/>
      <family val="2"/>
    </font>
    <font>
      <sz val="9"/>
      <color rgb="FFFF0000"/>
      <name val="Futura Md BT"/>
      <family val="2"/>
    </font>
    <font>
      <sz val="10"/>
      <color rgb="FFFF0000"/>
      <name val="Arial Narrow"/>
      <family val="2"/>
    </font>
    <font>
      <u/>
      <sz val="10"/>
      <color rgb="FFFF0000"/>
      <name val="Arial Narrow"/>
      <family val="2"/>
    </font>
    <font>
      <b/>
      <sz val="10"/>
      <color rgb="FFFF0000"/>
      <name val="Arial Narrow"/>
      <family val="2"/>
    </font>
    <font>
      <b/>
      <sz val="10"/>
      <color theme="0" tint="-0.34998626667073579"/>
      <name val="Arial Narrow"/>
      <family val="2"/>
    </font>
    <font>
      <b/>
      <sz val="9"/>
      <color theme="0" tint="-0.34998626667073579"/>
      <name val="Futura Md BT"/>
      <family val="2"/>
    </font>
    <font>
      <u/>
      <sz val="9"/>
      <name val="Futura Md BT"/>
      <family val="2"/>
    </font>
    <font>
      <b/>
      <i/>
      <sz val="10"/>
      <name val="Arial Narrow"/>
      <family val="2"/>
    </font>
    <font>
      <b/>
      <sz val="9"/>
      <name val="Futura Md BT"/>
      <family val="2"/>
    </font>
    <font>
      <b/>
      <sz val="10"/>
      <name val="Roboto"/>
    </font>
    <font>
      <sz val="10"/>
      <color theme="1"/>
      <name val="Roboto"/>
    </font>
    <font>
      <sz val="10"/>
      <name val="Roboto"/>
    </font>
    <font>
      <sz val="10"/>
      <color rgb="FFFF0000"/>
      <name val="Roboto"/>
    </font>
    <font>
      <b/>
      <sz val="10"/>
      <color theme="0"/>
      <name val="Roboto"/>
    </font>
    <font>
      <sz val="10"/>
      <color theme="0"/>
      <name val="Roboto"/>
    </font>
    <font>
      <b/>
      <i/>
      <sz val="10"/>
      <color theme="0"/>
      <name val="Roboto"/>
    </font>
    <font>
      <i/>
      <sz val="10"/>
      <color theme="1"/>
      <name val="Roboto"/>
    </font>
    <font>
      <b/>
      <sz val="10"/>
      <color theme="1"/>
      <name val="Roboto"/>
    </font>
    <font>
      <sz val="10"/>
      <color rgb="FF0000FF"/>
      <name val="Roboto"/>
    </font>
    <font>
      <b/>
      <sz val="10"/>
      <color rgb="FF0000FF"/>
      <name val="Roboto"/>
    </font>
    <font>
      <i/>
      <sz val="10"/>
      <name val="Roboto"/>
    </font>
    <font>
      <u/>
      <sz val="10"/>
      <name val="Roboto"/>
    </font>
    <font>
      <i/>
      <sz val="9"/>
      <name val="Futura Md BT"/>
      <family val="2"/>
    </font>
    <font>
      <i/>
      <sz val="9"/>
      <color rgb="FFFF0000"/>
      <name val="Futura Md BT"/>
      <family val="2"/>
    </font>
    <font>
      <sz val="9"/>
      <name val="Futura Md BT"/>
      <family val="2"/>
    </font>
    <font>
      <u val="singleAccounting"/>
      <sz val="10"/>
      <name val="Arial Narrow"/>
      <family val="2"/>
    </font>
    <font>
      <b/>
      <sz val="10"/>
      <color indexed="12"/>
      <name val="Arial Narrow"/>
      <family val="2"/>
    </font>
    <font>
      <sz val="11"/>
      <color theme="0"/>
      <name val="Futura Md BT"/>
      <family val="2"/>
    </font>
    <font>
      <b/>
      <sz val="10"/>
      <name val="Futura Md BT"/>
    </font>
    <font>
      <b/>
      <u/>
      <sz val="9"/>
      <name val="Futura Md BT"/>
    </font>
    <font>
      <sz val="9"/>
      <color rgb="FF0000FF"/>
      <name val="Futura Md BT"/>
      <family val="2"/>
    </font>
    <font>
      <i/>
      <sz val="9"/>
      <name val="Futura Md BT"/>
    </font>
    <font>
      <sz val="9"/>
      <color theme="0"/>
      <name val="Arial"/>
      <family val="2"/>
    </font>
    <font>
      <b/>
      <sz val="9"/>
      <color theme="0"/>
      <name val="Arial"/>
      <family val="2"/>
    </font>
    <font>
      <b/>
      <sz val="9"/>
      <color theme="0"/>
      <name val="Futura Md BT"/>
    </font>
    <font>
      <u/>
      <sz val="9"/>
      <name val="Arial"/>
      <family val="2"/>
    </font>
    <font>
      <u/>
      <sz val="9"/>
      <name val="Calibri"/>
      <family val="2"/>
    </font>
    <font>
      <sz val="8"/>
      <name val="Futura Md BT"/>
      <family val="2"/>
    </font>
    <font>
      <i/>
      <sz val="9"/>
      <name val="Arial"/>
      <family val="2"/>
    </font>
    <font>
      <b/>
      <sz val="9"/>
      <color rgb="FF0000FF"/>
      <name val="Arial"/>
      <family val="2"/>
    </font>
    <font>
      <sz val="9"/>
      <color rgb="FF0000FF"/>
      <name val="Arial"/>
      <family val="2"/>
    </font>
    <font>
      <i/>
      <u/>
      <sz val="9"/>
      <name val="Arial"/>
      <family val="2"/>
    </font>
    <font>
      <u/>
      <sz val="8"/>
      <name val="Arial"/>
      <family val="2"/>
    </font>
    <font>
      <b/>
      <sz val="10"/>
      <color theme="9"/>
      <name val="Arial Narrow"/>
      <family val="2"/>
    </font>
    <font>
      <i/>
      <sz val="10"/>
      <color theme="9"/>
      <name val="Arial Narrow"/>
      <family val="2"/>
    </font>
    <font>
      <b/>
      <i/>
      <sz val="10"/>
      <color theme="9"/>
      <name val="Arial Narrow"/>
      <family val="2"/>
    </font>
    <font>
      <sz val="10"/>
      <color theme="9"/>
      <name val="Arial Narrow"/>
      <family val="2"/>
    </font>
    <font>
      <b/>
      <sz val="9"/>
      <name val="Futura Md BT"/>
    </font>
    <font>
      <i/>
      <sz val="10"/>
      <color theme="9" tint="-0.249977111117893"/>
      <name val="Arial Narrow"/>
      <family val="2"/>
    </font>
    <font>
      <b/>
      <sz val="10"/>
      <color theme="9" tint="-0.249977111117893"/>
      <name val="Arial Narrow"/>
      <family val="2"/>
    </font>
    <font>
      <sz val="9"/>
      <color indexed="81"/>
      <name val="Tahoma"/>
      <charset val="1"/>
    </font>
    <font>
      <b/>
      <sz val="9"/>
      <color indexed="81"/>
      <name val="Tahoma"/>
      <charset val="1"/>
    </font>
    <font>
      <b/>
      <u/>
      <sz val="8"/>
      <color indexed="81"/>
      <name val="Tahoma"/>
      <family val="2"/>
    </font>
  </fonts>
  <fills count="1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indexed="9"/>
      </patternFill>
    </fill>
    <fill>
      <patternFill patternType="solid">
        <fgColor rgb="FFFFFF00"/>
        <bgColor indexed="64"/>
      </patternFill>
    </fill>
    <fill>
      <patternFill patternType="solid">
        <fgColor rgb="FFFFFFCC"/>
        <bgColor indexed="64"/>
      </patternFill>
    </fill>
    <fill>
      <patternFill patternType="solid">
        <fgColor theme="0" tint="-0.249977111117893"/>
        <bgColor indexed="64"/>
      </patternFill>
    </fill>
    <fill>
      <patternFill patternType="solid">
        <fgColor rgb="FFCCECFF"/>
        <bgColor indexed="64"/>
      </patternFill>
    </fill>
    <fill>
      <patternFill patternType="solid">
        <fgColor theme="1"/>
        <bgColor indexed="64"/>
      </patternFill>
    </fill>
    <fill>
      <patternFill patternType="solid">
        <fgColor rgb="FFFFFFFF"/>
        <bgColor indexed="64"/>
      </patternFill>
    </fill>
    <fill>
      <patternFill patternType="solid">
        <fgColor rgb="FFEEEEEE"/>
        <bgColor indexed="64"/>
      </patternFill>
    </fill>
    <fill>
      <patternFill patternType="solid">
        <fgColor rgb="FF0E3F70"/>
        <bgColor indexed="64"/>
      </patternFill>
    </fill>
    <fill>
      <patternFill patternType="solid">
        <fgColor rgb="FF002060"/>
        <bgColor indexed="64"/>
      </patternFill>
    </fill>
    <fill>
      <patternFill patternType="solid">
        <fgColor theme="6" tint="0.59999389629810485"/>
        <bgColor indexed="64"/>
      </patternFill>
    </fill>
  </fills>
  <borders count="46">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auto="1"/>
      </right>
      <top style="medium">
        <color auto="1"/>
      </top>
      <bottom style="medium">
        <color auto="1"/>
      </bottom>
      <diagonal/>
    </border>
    <border>
      <left/>
      <right style="medium">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right/>
      <top style="thin">
        <color theme="0" tint="-0.34998626667073579"/>
      </top>
      <bottom style="thin">
        <color theme="0" tint="-0.34998626667073579"/>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auto="1"/>
      </top>
      <bottom style="thin">
        <color auto="1"/>
      </bottom>
      <diagonal/>
    </border>
  </borders>
  <cellStyleXfs count="62">
    <xf numFmtId="0" fontId="0" fillId="0" borderId="0" applyNumberFormat="0"/>
    <xf numFmtId="43" fontId="14" fillId="0" borderId="0" applyFont="0" applyFill="0" applyBorder="0" applyAlignment="0" applyProtection="0"/>
    <xf numFmtId="5" fontId="14" fillId="0" borderId="0" applyFont="0" applyFill="0" applyBorder="0" applyAlignment="0" applyProtection="0"/>
    <xf numFmtId="9" fontId="14" fillId="0" borderId="0" applyFont="0" applyFill="0" applyBorder="0" applyAlignment="0" applyProtection="0"/>
    <xf numFmtId="0" fontId="18" fillId="0" borderId="0" applyNumberFormat="0"/>
    <xf numFmtId="0" fontId="7" fillId="0" borderId="0"/>
    <xf numFmtId="0" fontId="22" fillId="0" borderId="3" applyNumberFormat="0" applyFill="0" applyAlignment="0" applyProtection="0"/>
    <xf numFmtId="179" fontId="23" fillId="0" borderId="0"/>
    <xf numFmtId="37" fontId="11" fillId="2" borderId="0" applyAlignment="0"/>
    <xf numFmtId="3" fontId="23" fillId="0" borderId="0"/>
    <xf numFmtId="0" fontId="24" fillId="0" borderId="0" applyNumberFormat="0" applyFont="0" applyFill="0" applyBorder="0" applyAlignment="0" applyProtection="0"/>
    <xf numFmtId="0" fontId="26" fillId="5" borderId="0"/>
    <xf numFmtId="0" fontId="27" fillId="5" borderId="0"/>
    <xf numFmtId="183"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0" fontId="35" fillId="0" borderId="0"/>
    <xf numFmtId="0" fontId="7" fillId="0" borderId="0"/>
    <xf numFmtId="0" fontId="41" fillId="0" borderId="0"/>
    <xf numFmtId="0" fontId="63" fillId="0" borderId="0"/>
    <xf numFmtId="0" fontId="71" fillId="0" borderId="0" applyNumberFormat="0" applyFill="0" applyBorder="0" applyAlignment="0" applyProtection="0">
      <alignment vertical="top"/>
      <protection locked="0"/>
    </xf>
    <xf numFmtId="0" fontId="7" fillId="0" borderId="0"/>
    <xf numFmtId="0" fontId="5" fillId="0" borderId="0"/>
    <xf numFmtId="9"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0" fontId="4" fillId="0" borderId="0"/>
    <xf numFmtId="9" fontId="4" fillId="0" borderId="0" applyFont="0" applyFill="0" applyBorder="0" applyAlignment="0" applyProtection="0"/>
    <xf numFmtId="0" fontId="7" fillId="0" borderId="0"/>
    <xf numFmtId="43" fontId="4" fillId="0" borderId="0" applyFont="0" applyFill="0" applyBorder="0" applyAlignment="0" applyProtection="0"/>
    <xf numFmtId="44" fontId="4" fillId="0" borderId="0" applyFont="0" applyFill="0" applyBorder="0" applyAlignment="0" applyProtection="0"/>
    <xf numFmtId="0" fontId="79"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9" fontId="2" fillId="0" borderId="0" applyFont="0" applyFill="0" applyBorder="0" applyAlignment="0" applyProtection="0"/>
    <xf numFmtId="40" fontId="88" fillId="0" borderId="0" applyFont="0" applyFill="0" applyBorder="0" applyAlignment="0" applyProtection="0"/>
    <xf numFmtId="0" fontId="49" fillId="0" borderId="0" applyNumberFormat="0" applyFill="0" applyBorder="0" applyAlignment="0" applyProtection="0">
      <alignment vertical="top"/>
      <protection locked="0"/>
    </xf>
    <xf numFmtId="0" fontId="41" fillId="0" borderId="0"/>
    <xf numFmtId="0" fontId="91" fillId="0" borderId="0"/>
    <xf numFmtId="9" fontId="92" fillId="0" borderId="0" applyFont="0" applyFill="0" applyBorder="0" applyAlignment="0" applyProtection="0"/>
    <xf numFmtId="9"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6" fillId="5"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cellStyleXfs>
  <cellXfs count="980">
    <xf numFmtId="0" fontId="0" fillId="0" borderId="0" xfId="0"/>
    <xf numFmtId="165" fontId="6" fillId="2" borderId="0" xfId="0" applyNumberFormat="1" applyFont="1" applyFill="1" applyAlignment="1">
      <alignment horizontal="left"/>
    </xf>
    <xf numFmtId="0" fontId="7" fillId="2" borderId="0" xfId="0" applyFont="1" applyFill="1"/>
    <xf numFmtId="0" fontId="0" fillId="2" borderId="0" xfId="0" applyFill="1"/>
    <xf numFmtId="18" fontId="6" fillId="2" borderId="0" xfId="0" applyNumberFormat="1" applyFont="1" applyFill="1" applyAlignment="1">
      <alignment horizontal="left"/>
    </xf>
    <xf numFmtId="0" fontId="8" fillId="2" borderId="0" xfId="0" applyFont="1" applyFill="1"/>
    <xf numFmtId="0" fontId="9" fillId="2" borderId="0" xfId="0" applyFont="1" applyFill="1"/>
    <xf numFmtId="0" fontId="10" fillId="2" borderId="0" xfId="0" applyFont="1" applyFill="1"/>
    <xf numFmtId="4" fontId="11" fillId="0" borderId="0" xfId="0" applyNumberFormat="1" applyFont="1"/>
    <xf numFmtId="4" fontId="12" fillId="0" borderId="0" xfId="0" applyNumberFormat="1" applyFont="1" applyAlignment="1">
      <alignment horizontal="centerContinuous"/>
    </xf>
    <xf numFmtId="4" fontId="11" fillId="0" borderId="0" xfId="0" applyNumberFormat="1" applyFont="1" applyAlignment="1">
      <alignment horizontal="centerContinuous"/>
    </xf>
    <xf numFmtId="4" fontId="11" fillId="0" borderId="1" xfId="0" applyNumberFormat="1" applyFont="1" applyBorder="1" applyAlignment="1">
      <alignment horizontal="centerContinuous"/>
    </xf>
    <xf numFmtId="4" fontId="11" fillId="0" borderId="0" xfId="0" applyNumberFormat="1" applyFont="1" applyAlignment="1">
      <alignment horizontal="left"/>
    </xf>
    <xf numFmtId="0" fontId="11" fillId="0" borderId="0" xfId="0" applyNumberFormat="1" applyFont="1"/>
    <xf numFmtId="0" fontId="11" fillId="0" borderId="1" xfId="0" applyNumberFormat="1" applyFont="1" applyBorder="1" applyAlignment="1">
      <alignment horizontal="centerContinuous"/>
    </xf>
    <xf numFmtId="17" fontId="11" fillId="0" borderId="0" xfId="0" applyNumberFormat="1" applyFont="1"/>
    <xf numFmtId="17" fontId="11" fillId="0" borderId="0" xfId="0" applyNumberFormat="1" applyFont="1" applyAlignment="1">
      <alignment horizontal="right"/>
    </xf>
    <xf numFmtId="166" fontId="11" fillId="0" borderId="0" xfId="0" applyNumberFormat="1" applyFont="1"/>
    <xf numFmtId="166" fontId="13" fillId="0" borderId="0" xfId="0" applyNumberFormat="1" applyFont="1"/>
    <xf numFmtId="4" fontId="13" fillId="0" borderId="0" xfId="0" applyNumberFormat="1" applyFont="1"/>
    <xf numFmtId="9" fontId="11" fillId="0" borderId="0" xfId="3" applyFont="1"/>
    <xf numFmtId="168" fontId="11" fillId="0" borderId="0" xfId="0" applyNumberFormat="1" applyFont="1"/>
    <xf numFmtId="8" fontId="11" fillId="0" borderId="0" xfId="0" applyNumberFormat="1" applyFont="1"/>
    <xf numFmtId="4" fontId="11" fillId="0" borderId="1" xfId="0" applyNumberFormat="1" applyFont="1" applyBorder="1"/>
    <xf numFmtId="4" fontId="12" fillId="0" borderId="0" xfId="0" applyNumberFormat="1" applyFont="1"/>
    <xf numFmtId="169" fontId="11" fillId="0" borderId="0" xfId="0" applyNumberFormat="1" applyFont="1"/>
    <xf numFmtId="169" fontId="11" fillId="0" borderId="1" xfId="0" applyNumberFormat="1" applyFont="1" applyBorder="1"/>
    <xf numFmtId="169" fontId="12" fillId="0" borderId="0" xfId="0" applyNumberFormat="1" applyFont="1"/>
    <xf numFmtId="167" fontId="11" fillId="0" borderId="0" xfId="0" applyNumberFormat="1" applyFont="1"/>
    <xf numFmtId="166" fontId="12" fillId="0" borderId="0" xfId="4" applyNumberFormat="1" applyFont="1"/>
    <xf numFmtId="166" fontId="11" fillId="0" borderId="0" xfId="4" applyNumberFormat="1" applyFont="1"/>
    <xf numFmtId="4" fontId="11" fillId="0" borderId="0" xfId="4" applyNumberFormat="1" applyFont="1"/>
    <xf numFmtId="17" fontId="12" fillId="0" borderId="0" xfId="0" applyNumberFormat="1" applyFont="1"/>
    <xf numFmtId="171" fontId="11" fillId="0" borderId="0" xfId="3" applyNumberFormat="1" applyFont="1"/>
    <xf numFmtId="171" fontId="11" fillId="0" borderId="0" xfId="3" applyNumberFormat="1" applyFont="1" applyFill="1"/>
    <xf numFmtId="0" fontId="11" fillId="0" borderId="0" xfId="0" applyNumberFormat="1" applyFont="1" applyAlignment="1">
      <alignment horizontal="left"/>
    </xf>
    <xf numFmtId="166" fontId="13" fillId="0" borderId="0" xfId="4" applyNumberFormat="1" applyFont="1"/>
    <xf numFmtId="173" fontId="11" fillId="0" borderId="0" xfId="4" applyNumberFormat="1" applyFont="1"/>
    <xf numFmtId="173" fontId="21" fillId="0" borderId="0" xfId="4" applyNumberFormat="1" applyFont="1"/>
    <xf numFmtId="168" fontId="11" fillId="0" borderId="0" xfId="4" applyNumberFormat="1" applyFont="1"/>
    <xf numFmtId="168" fontId="15" fillId="0" borderId="0" xfId="4" applyNumberFormat="1" applyFont="1"/>
    <xf numFmtId="170" fontId="11" fillId="0" borderId="0" xfId="4" applyNumberFormat="1" applyFont="1"/>
    <xf numFmtId="8" fontId="11" fillId="0" borderId="0" xfId="4" applyNumberFormat="1" applyFont="1"/>
    <xf numFmtId="38" fontId="11" fillId="0" borderId="0" xfId="0" applyNumberFormat="1" applyFont="1"/>
    <xf numFmtId="38" fontId="12" fillId="0" borderId="0" xfId="0" applyNumberFormat="1" applyFont="1" applyAlignment="1">
      <alignment horizontal="centerContinuous"/>
    </xf>
    <xf numFmtId="38" fontId="11" fillId="0" borderId="0" xfId="4" applyNumberFormat="1" applyFont="1" applyAlignment="1">
      <alignment horizontal="centerContinuous"/>
    </xf>
    <xf numFmtId="38" fontId="11" fillId="0" borderId="0" xfId="4" applyNumberFormat="1" applyFont="1"/>
    <xf numFmtId="38" fontId="11" fillId="0" borderId="1" xfId="4" applyNumberFormat="1" applyFont="1" applyBorder="1" applyAlignment="1">
      <alignment horizontal="centerContinuous"/>
    </xf>
    <xf numFmtId="0" fontId="11" fillId="0" borderId="0" xfId="4" applyNumberFormat="1" applyFont="1"/>
    <xf numFmtId="0" fontId="13" fillId="0" borderId="0" xfId="4" applyNumberFormat="1" applyFont="1" applyAlignment="1">
      <alignment horizontal="center"/>
    </xf>
    <xf numFmtId="38" fontId="19" fillId="0" borderId="0" xfId="4" applyNumberFormat="1" applyFont="1"/>
    <xf numFmtId="7" fontId="11" fillId="0" borderId="0" xfId="4" applyNumberFormat="1" applyFont="1"/>
    <xf numFmtId="172" fontId="13" fillId="0" borderId="0" xfId="4" applyNumberFormat="1" applyFont="1"/>
    <xf numFmtId="38" fontId="12" fillId="0" borderId="0" xfId="4" applyNumberFormat="1" applyFont="1"/>
    <xf numFmtId="174" fontId="12" fillId="0" borderId="0" xfId="0" applyNumberFormat="1" applyFont="1"/>
    <xf numFmtId="172" fontId="11" fillId="0" borderId="0" xfId="4" applyNumberFormat="1" applyFont="1"/>
    <xf numFmtId="7" fontId="13" fillId="0" borderId="0" xfId="4" applyNumberFormat="1" applyFont="1"/>
    <xf numFmtId="38" fontId="12" fillId="0" borderId="2" xfId="4" applyNumberFormat="1" applyFont="1" applyBorder="1"/>
    <xf numFmtId="5" fontId="11" fillId="0" borderId="0" xfId="4" applyNumberFormat="1" applyFont="1"/>
    <xf numFmtId="38" fontId="12" fillId="0" borderId="0" xfId="4" applyNumberFormat="1" applyFont="1" applyAlignment="1">
      <alignment horizontal="center"/>
    </xf>
    <xf numFmtId="175" fontId="11" fillId="0" borderId="0" xfId="3" applyNumberFormat="1" applyFont="1"/>
    <xf numFmtId="175" fontId="11" fillId="0" borderId="0" xfId="3" applyNumberFormat="1" applyFont="1" applyFill="1"/>
    <xf numFmtId="174" fontId="13" fillId="0" borderId="0" xfId="0" applyNumberFormat="1" applyFont="1"/>
    <xf numFmtId="175" fontId="12" fillId="0" borderId="0" xfId="3" applyNumberFormat="1" applyFont="1" applyBorder="1"/>
    <xf numFmtId="175" fontId="12" fillId="0" borderId="0" xfId="3" applyNumberFormat="1" applyFont="1" applyFill="1" applyBorder="1"/>
    <xf numFmtId="174" fontId="11" fillId="0" borderId="0" xfId="0" applyNumberFormat="1" applyFont="1"/>
    <xf numFmtId="4" fontId="12" fillId="0" borderId="0" xfId="4" applyNumberFormat="1" applyFont="1"/>
    <xf numFmtId="166" fontId="12" fillId="0" borderId="0" xfId="0" applyNumberFormat="1" applyFont="1"/>
    <xf numFmtId="176" fontId="11" fillId="0" borderId="0" xfId="0" applyNumberFormat="1" applyFont="1"/>
    <xf numFmtId="4" fontId="11" fillId="0" borderId="0" xfId="0" applyNumberFormat="1" applyFont="1" applyAlignment="1">
      <alignment horizontal="center"/>
    </xf>
    <xf numFmtId="4" fontId="11" fillId="0" borderId="0" xfId="4" applyNumberFormat="1" applyFont="1" applyAlignment="1">
      <alignment horizontal="left"/>
    </xf>
    <xf numFmtId="0" fontId="11" fillId="0" borderId="0" xfId="0" applyFont="1" applyAlignment="1">
      <alignment horizontal="left"/>
    </xf>
    <xf numFmtId="0" fontId="11" fillId="0" borderId="0" xfId="0" applyFont="1"/>
    <xf numFmtId="3" fontId="11" fillId="0" borderId="0" xfId="4" applyNumberFormat="1" applyFont="1"/>
    <xf numFmtId="0" fontId="11" fillId="0" borderId="0" xfId="5" applyFont="1"/>
    <xf numFmtId="165" fontId="15" fillId="0" borderId="0" xfId="5" applyNumberFormat="1" applyFont="1" applyAlignment="1">
      <alignment horizontal="centerContinuous"/>
    </xf>
    <xf numFmtId="0" fontId="11" fillId="0" borderId="0" xfId="5" applyFont="1" applyAlignment="1">
      <alignment horizontal="centerContinuous"/>
    </xf>
    <xf numFmtId="165" fontId="11" fillId="0" borderId="0" xfId="5" applyNumberFormat="1" applyFont="1" applyAlignment="1">
      <alignment horizontal="left"/>
    </xf>
    <xf numFmtId="0" fontId="12" fillId="0" borderId="0" xfId="5" applyFont="1"/>
    <xf numFmtId="166" fontId="11" fillId="0" borderId="0" xfId="5" applyNumberFormat="1" applyFont="1"/>
    <xf numFmtId="166" fontId="11" fillId="0" borderId="0" xfId="5" applyNumberFormat="1" applyFont="1" applyAlignment="1">
      <alignment horizontal="left"/>
    </xf>
    <xf numFmtId="8" fontId="11" fillId="0" borderId="0" xfId="5" applyNumberFormat="1" applyFont="1"/>
    <xf numFmtId="178" fontId="11" fillId="0" borderId="0" xfId="5" applyNumberFormat="1" applyFont="1"/>
    <xf numFmtId="178" fontId="11" fillId="0" borderId="0" xfId="1" applyNumberFormat="1" applyFont="1" applyBorder="1"/>
    <xf numFmtId="166" fontId="11" fillId="0" borderId="0" xfId="1" applyNumberFormat="1" applyFont="1" applyBorder="1"/>
    <xf numFmtId="178" fontId="15" fillId="0" borderId="0" xfId="5" applyNumberFormat="1" applyFont="1"/>
    <xf numFmtId="178" fontId="15" fillId="0" borderId="0" xfId="1" applyNumberFormat="1" applyFont="1" applyBorder="1"/>
    <xf numFmtId="177" fontId="11" fillId="0" borderId="0" xfId="5" applyNumberFormat="1" applyFont="1"/>
    <xf numFmtId="8" fontId="15" fillId="0" borderId="0" xfId="5" applyNumberFormat="1" applyFont="1"/>
    <xf numFmtId="8" fontId="11" fillId="0" borderId="0" xfId="5" applyNumberFormat="1" applyFont="1" applyAlignment="1">
      <alignment horizontal="left"/>
    </xf>
    <xf numFmtId="10" fontId="15" fillId="0" borderId="0" xfId="5" applyNumberFormat="1" applyFont="1"/>
    <xf numFmtId="9" fontId="15" fillId="0" borderId="0" xfId="5" applyNumberFormat="1" applyFont="1"/>
    <xf numFmtId="178" fontId="21" fillId="0" borderId="0" xfId="1" applyNumberFormat="1" applyFont="1" applyBorder="1"/>
    <xf numFmtId="173" fontId="15" fillId="0" borderId="0" xfId="5" applyNumberFormat="1" applyFont="1"/>
    <xf numFmtId="43" fontId="11" fillId="0" borderId="0" xfId="5" applyNumberFormat="1" applyFont="1"/>
    <xf numFmtId="8" fontId="11" fillId="0" borderId="0" xfId="2" applyNumberFormat="1" applyFont="1" applyBorder="1"/>
    <xf numFmtId="9" fontId="11" fillId="0" borderId="0" xfId="5" applyNumberFormat="1" applyFont="1"/>
    <xf numFmtId="173" fontId="11" fillId="0" borderId="0" xfId="5" applyNumberFormat="1" applyFont="1"/>
    <xf numFmtId="173" fontId="11" fillId="0" borderId="0" xfId="5" applyNumberFormat="1" applyFont="1" applyAlignment="1">
      <alignment horizontal="left"/>
    </xf>
    <xf numFmtId="165" fontId="15" fillId="0" borderId="0" xfId="5" applyNumberFormat="1" applyFont="1" applyAlignment="1">
      <alignment horizontal="left"/>
    </xf>
    <xf numFmtId="4" fontId="20" fillId="0" borderId="0" xfId="4" applyNumberFormat="1" applyFont="1" applyAlignment="1">
      <alignment horizontal="right"/>
    </xf>
    <xf numFmtId="180" fontId="11" fillId="0" borderId="0" xfId="3" applyNumberFormat="1" applyFont="1" applyFill="1"/>
    <xf numFmtId="6" fontId="11" fillId="0" borderId="0" xfId="4" applyNumberFormat="1" applyFont="1"/>
    <xf numFmtId="5" fontId="13" fillId="0" borderId="0" xfId="4" applyNumberFormat="1" applyFont="1"/>
    <xf numFmtId="181" fontId="11" fillId="0" borderId="0" xfId="0" applyNumberFormat="1" applyFont="1"/>
    <xf numFmtId="6" fontId="20" fillId="0" borderId="0" xfId="4" applyNumberFormat="1" applyFont="1"/>
    <xf numFmtId="182" fontId="11" fillId="0" borderId="0" xfId="0" applyNumberFormat="1" applyFont="1"/>
    <xf numFmtId="182" fontId="11" fillId="0" borderId="0" xfId="4" applyNumberFormat="1" applyFont="1"/>
    <xf numFmtId="166" fontId="11" fillId="4" borderId="0" xfId="4" applyNumberFormat="1" applyFont="1" applyFill="1"/>
    <xf numFmtId="166" fontId="25" fillId="0" borderId="0" xfId="0" applyNumberFormat="1" applyFont="1"/>
    <xf numFmtId="184" fontId="20" fillId="0" borderId="0" xfId="0" applyNumberFormat="1" applyFont="1"/>
    <xf numFmtId="180" fontId="12" fillId="0" borderId="0" xfId="3" applyNumberFormat="1" applyFont="1" applyBorder="1"/>
    <xf numFmtId="173" fontId="25" fillId="0" borderId="0" xfId="4" applyNumberFormat="1" applyFont="1"/>
    <xf numFmtId="184" fontId="11" fillId="0" borderId="0" xfId="0" applyNumberFormat="1" applyFont="1"/>
    <xf numFmtId="166" fontId="28" fillId="0" borderId="0" xfId="0" applyNumberFormat="1" applyFont="1"/>
    <xf numFmtId="4" fontId="19" fillId="0" borderId="0" xfId="0" applyNumberFormat="1" applyFont="1"/>
    <xf numFmtId="171" fontId="25" fillId="0" borderId="0" xfId="3" applyNumberFormat="1" applyFont="1"/>
    <xf numFmtId="166" fontId="29" fillId="0" borderId="0" xfId="0" applyNumberFormat="1" applyFont="1"/>
    <xf numFmtId="166" fontId="30" fillId="0" borderId="0" xfId="4" applyNumberFormat="1" applyFont="1"/>
    <xf numFmtId="166" fontId="29" fillId="0" borderId="0" xfId="4" applyNumberFormat="1" applyFont="1"/>
    <xf numFmtId="4" fontId="25" fillId="0" borderId="0" xfId="0" applyNumberFormat="1" applyFont="1"/>
    <xf numFmtId="187" fontId="21" fillId="0" borderId="0" xfId="4" applyNumberFormat="1" applyFont="1"/>
    <xf numFmtId="166" fontId="25" fillId="0" borderId="0" xfId="4" applyNumberFormat="1" applyFont="1"/>
    <xf numFmtId="188" fontId="12" fillId="0" borderId="0" xfId="0" applyNumberFormat="1" applyFont="1"/>
    <xf numFmtId="189" fontId="11" fillId="0" borderId="0" xfId="3" applyNumberFormat="1" applyFont="1"/>
    <xf numFmtId="189" fontId="11" fillId="0" borderId="0" xfId="3" applyNumberFormat="1" applyFont="1" applyFill="1"/>
    <xf numFmtId="188" fontId="11" fillId="0" borderId="0" xfId="0" applyNumberFormat="1" applyFont="1"/>
    <xf numFmtId="17" fontId="30" fillId="0" borderId="0" xfId="0" applyNumberFormat="1" applyFont="1" applyAlignment="1">
      <alignment horizontal="right"/>
    </xf>
    <xf numFmtId="17" fontId="30" fillId="0" borderId="0" xfId="0" applyNumberFormat="1" applyFont="1"/>
    <xf numFmtId="166" fontId="30" fillId="0" borderId="0" xfId="0" applyNumberFormat="1" applyFont="1"/>
    <xf numFmtId="4" fontId="30" fillId="0" borderId="0" xfId="0" applyNumberFormat="1" applyFont="1"/>
    <xf numFmtId="168" fontId="30" fillId="0" borderId="0" xfId="0" applyNumberFormat="1" applyFont="1"/>
    <xf numFmtId="8" fontId="30" fillId="0" borderId="0" xfId="0" applyNumberFormat="1" applyFont="1"/>
    <xf numFmtId="4" fontId="30" fillId="0" borderId="1" xfId="0" applyNumberFormat="1" applyFont="1" applyBorder="1"/>
    <xf numFmtId="169" fontId="30" fillId="0" borderId="0" xfId="0" applyNumberFormat="1" applyFont="1"/>
    <xf numFmtId="184" fontId="30" fillId="0" borderId="0" xfId="0" applyNumberFormat="1" applyFont="1"/>
    <xf numFmtId="169" fontId="30" fillId="0" borderId="1" xfId="0" applyNumberFormat="1" applyFont="1" applyBorder="1"/>
    <xf numFmtId="173" fontId="30" fillId="0" borderId="0" xfId="4" applyNumberFormat="1" applyFont="1"/>
    <xf numFmtId="184" fontId="11" fillId="0" borderId="0" xfId="0" applyNumberFormat="1" applyFont="1" applyAlignment="1">
      <alignment horizontal="right"/>
    </xf>
    <xf numFmtId="0" fontId="32" fillId="3" borderId="0" xfId="0" applyFont="1" applyFill="1" applyAlignment="1">
      <alignment vertical="center"/>
    </xf>
    <xf numFmtId="4" fontId="11" fillId="0" borderId="0" xfId="0" applyNumberFormat="1" applyFont="1" applyAlignment="1">
      <alignment horizontal="right"/>
    </xf>
    <xf numFmtId="188" fontId="13" fillId="0" borderId="0" xfId="0" applyNumberFormat="1" applyFont="1"/>
    <xf numFmtId="190" fontId="12" fillId="0" borderId="0" xfId="3" applyNumberFormat="1" applyFont="1" applyBorder="1"/>
    <xf numFmtId="169" fontId="11" fillId="0" borderId="1" xfId="0" applyNumberFormat="1" applyFont="1" applyBorder="1" applyAlignment="1">
      <alignment horizontal="right"/>
    </xf>
    <xf numFmtId="184" fontId="11" fillId="0" borderId="0" xfId="0" applyNumberFormat="1" applyFont="1" applyAlignment="1">
      <alignment horizontal="center"/>
    </xf>
    <xf numFmtId="169" fontId="11" fillId="0" borderId="0" xfId="0" applyNumberFormat="1" applyFont="1" applyAlignment="1">
      <alignment horizontal="right"/>
    </xf>
    <xf numFmtId="174" fontId="12" fillId="0" borderId="0" xfId="0" applyNumberFormat="1" applyFont="1" applyAlignment="1">
      <alignment horizontal="right"/>
    </xf>
    <xf numFmtId="186" fontId="12" fillId="0" borderId="0" xfId="3" applyNumberFormat="1" applyFont="1" applyBorder="1"/>
    <xf numFmtId="0" fontId="33" fillId="3" borderId="0" xfId="0" applyFont="1" applyFill="1" applyAlignment="1">
      <alignment horizontal="left" vertical="center"/>
    </xf>
    <xf numFmtId="0" fontId="10" fillId="0" borderId="0" xfId="0" applyFont="1" applyAlignment="1">
      <alignment vertical="center"/>
    </xf>
    <xf numFmtId="9" fontId="20" fillId="0" borderId="0" xfId="3" applyFont="1" applyFill="1"/>
    <xf numFmtId="9" fontId="20" fillId="0" borderId="0" xfId="0" applyNumberFormat="1" applyFont="1"/>
    <xf numFmtId="0" fontId="34" fillId="2" borderId="0" xfId="0" applyFont="1" applyFill="1"/>
    <xf numFmtId="0" fontId="34" fillId="3" borderId="0" xfId="0" applyFont="1" applyFill="1"/>
    <xf numFmtId="0" fontId="34" fillId="3" borderId="0" xfId="0" applyFont="1" applyFill="1" applyAlignment="1">
      <alignment vertical="center"/>
    </xf>
    <xf numFmtId="10" fontId="11" fillId="0" borderId="0" xfId="0" applyNumberFormat="1" applyFont="1"/>
    <xf numFmtId="4" fontId="20" fillId="0" borderId="0" xfId="0" applyNumberFormat="1" applyFont="1"/>
    <xf numFmtId="4" fontId="20" fillId="0" borderId="0" xfId="0" applyNumberFormat="1" applyFont="1" applyAlignment="1">
      <alignment horizontal="right"/>
    </xf>
    <xf numFmtId="166" fontId="20" fillId="0" borderId="0" xfId="0" applyNumberFormat="1" applyFont="1"/>
    <xf numFmtId="9" fontId="20" fillId="0" borderId="0" xfId="3" applyFont="1"/>
    <xf numFmtId="0" fontId="36" fillId="0" borderId="6" xfId="19" applyFont="1" applyBorder="1"/>
    <xf numFmtId="0" fontId="36" fillId="7" borderId="7" xfId="19" applyFont="1" applyFill="1" applyBorder="1" applyAlignment="1">
      <alignment horizontal="center"/>
    </xf>
    <xf numFmtId="0" fontId="37" fillId="8" borderId="8" xfId="19" applyFont="1" applyFill="1" applyBorder="1" applyAlignment="1">
      <alignment horizontal="left"/>
    </xf>
    <xf numFmtId="0" fontId="37" fillId="7" borderId="7" xfId="19" applyFont="1" applyFill="1" applyBorder="1" applyAlignment="1">
      <alignment horizontal="center" vertical="center" wrapText="1"/>
    </xf>
    <xf numFmtId="0" fontId="39" fillId="0" borderId="0" xfId="20" applyFont="1" applyAlignment="1">
      <alignment horizontal="left"/>
    </xf>
    <xf numFmtId="0" fontId="39" fillId="0" borderId="0" xfId="20" applyFont="1"/>
    <xf numFmtId="0" fontId="37" fillId="0" borderId="0" xfId="20" applyFont="1"/>
    <xf numFmtId="0" fontId="37" fillId="0" borderId="0" xfId="19" applyFont="1" applyAlignment="1">
      <alignment horizontal="left"/>
    </xf>
    <xf numFmtId="0" fontId="7" fillId="0" borderId="0" xfId="20" applyAlignment="1">
      <alignment horizontal="left" vertical="center"/>
    </xf>
    <xf numFmtId="0" fontId="36" fillId="0" borderId="12" xfId="19" applyFont="1" applyBorder="1"/>
    <xf numFmtId="0" fontId="36" fillId="7" borderId="13" xfId="19" applyFont="1" applyFill="1" applyBorder="1" applyAlignment="1">
      <alignment horizontal="center"/>
    </xf>
    <xf numFmtId="0" fontId="37" fillId="8" borderId="0" xfId="19" applyFont="1" applyFill="1" applyAlignment="1">
      <alignment horizontal="left"/>
    </xf>
    <xf numFmtId="0" fontId="37" fillId="7" borderId="13" xfId="19" applyFont="1" applyFill="1" applyBorder="1" applyAlignment="1">
      <alignment horizontal="center" vertical="center" wrapText="1"/>
    </xf>
    <xf numFmtId="0" fontId="36" fillId="0" borderId="17" xfId="19" applyFont="1" applyBorder="1"/>
    <xf numFmtId="1" fontId="36" fillId="7" borderId="18" xfId="19" applyNumberFormat="1" applyFont="1" applyFill="1" applyBorder="1" applyAlignment="1">
      <alignment horizontal="center"/>
    </xf>
    <xf numFmtId="0" fontId="37" fillId="9" borderId="18" xfId="19" applyFont="1" applyFill="1" applyBorder="1" applyAlignment="1">
      <alignment horizontal="center" vertical="center" wrapText="1"/>
    </xf>
    <xf numFmtId="0" fontId="39" fillId="0" borderId="0" xfId="20" applyFont="1" applyAlignment="1">
      <alignment vertical="center"/>
    </xf>
    <xf numFmtId="0" fontId="36" fillId="0" borderId="19" xfId="19" applyFont="1" applyBorder="1"/>
    <xf numFmtId="0" fontId="36" fillId="7" borderId="20" xfId="19" applyFont="1" applyFill="1" applyBorder="1" applyAlignment="1">
      <alignment horizontal="center"/>
    </xf>
    <xf numFmtId="0" fontId="38" fillId="8" borderId="21" xfId="19" applyFont="1" applyFill="1" applyBorder="1" applyAlignment="1">
      <alignment horizontal="left"/>
    </xf>
    <xf numFmtId="0" fontId="40" fillId="0" borderId="20" xfId="19" applyFont="1" applyBorder="1" applyAlignment="1">
      <alignment horizontal="center" vertical="center" wrapText="1"/>
    </xf>
    <xf numFmtId="0" fontId="42" fillId="0" borderId="0" xfId="21" applyFont="1" applyAlignment="1">
      <alignment horizontal="center"/>
    </xf>
    <xf numFmtId="0" fontId="43" fillId="0" borderId="0" xfId="21" applyFont="1" applyAlignment="1">
      <alignment horizontal="center"/>
    </xf>
    <xf numFmtId="0" fontId="37" fillId="0" borderId="15" xfId="20" applyFont="1" applyBorder="1" applyAlignment="1">
      <alignment vertical="center"/>
    </xf>
    <xf numFmtId="0" fontId="44" fillId="0" borderId="5" xfId="19" applyFont="1" applyBorder="1"/>
    <xf numFmtId="0" fontId="37" fillId="0" borderId="0" xfId="19" applyFont="1" applyAlignment="1">
      <alignment horizontal="center"/>
    </xf>
    <xf numFmtId="1" fontId="37" fillId="0" borderId="0" xfId="21" applyNumberFormat="1" applyFont="1" applyAlignment="1">
      <alignment horizontal="center"/>
    </xf>
    <xf numFmtId="0" fontId="37" fillId="0" borderId="0" xfId="20" applyFont="1" applyAlignment="1">
      <alignment horizontal="right"/>
    </xf>
    <xf numFmtId="0" fontId="37" fillId="0" borderId="0" xfId="20" applyFont="1" applyAlignment="1">
      <alignment wrapText="1"/>
    </xf>
    <xf numFmtId="0" fontId="37" fillId="4" borderId="25" xfId="20" applyFont="1" applyFill="1" applyBorder="1"/>
    <xf numFmtId="0" fontId="38" fillId="0" borderId="26" xfId="20" applyFont="1" applyBorder="1" applyAlignment="1">
      <alignment horizontal="center" vertical="center"/>
    </xf>
    <xf numFmtId="0" fontId="38" fillId="0" borderId="26" xfId="20" applyFont="1" applyBorder="1" applyAlignment="1">
      <alignment horizontal="center" vertical="center" wrapText="1"/>
    </xf>
    <xf numFmtId="0" fontId="37" fillId="4" borderId="27" xfId="20" applyFont="1" applyFill="1" applyBorder="1" applyAlignment="1">
      <alignment vertical="center"/>
    </xf>
    <xf numFmtId="0" fontId="38" fillId="0" borderId="28" xfId="20" applyFont="1" applyBorder="1" applyAlignment="1">
      <alignment horizontal="center" vertical="center" wrapText="1"/>
    </xf>
    <xf numFmtId="0" fontId="38" fillId="0" borderId="6" xfId="20" applyFont="1" applyBorder="1" applyAlignment="1">
      <alignment horizontal="center" wrapText="1"/>
    </xf>
    <xf numFmtId="0" fontId="37" fillId="8" borderId="8" xfId="20" applyFont="1" applyFill="1" applyBorder="1"/>
    <xf numFmtId="0" fontId="47" fillId="0" borderId="17" xfId="19" applyFont="1" applyBorder="1" applyAlignment="1">
      <alignment horizontal="center" vertical="center" wrapText="1"/>
    </xf>
    <xf numFmtId="0" fontId="37" fillId="8" borderId="0" xfId="19" applyFont="1" applyFill="1" applyAlignment="1">
      <alignment horizontal="center" wrapText="1"/>
    </xf>
    <xf numFmtId="0" fontId="38" fillId="0" borderId="4" xfId="20" applyFont="1" applyBorder="1" applyAlignment="1">
      <alignment horizontal="center" vertical="center" wrapText="1"/>
    </xf>
    <xf numFmtId="0" fontId="47" fillId="0" borderId="4" xfId="19" applyFont="1" applyBorder="1" applyAlignment="1">
      <alignment horizontal="center" vertical="center" wrapText="1"/>
    </xf>
    <xf numFmtId="0" fontId="47" fillId="0" borderId="13" xfId="19" applyFont="1" applyBorder="1" applyAlignment="1">
      <alignment horizontal="center" vertical="center" wrapText="1"/>
    </xf>
    <xf numFmtId="1" fontId="39" fillId="0" borderId="0" xfId="21" applyNumberFormat="1" applyFont="1" applyAlignment="1">
      <alignment horizontal="center"/>
    </xf>
    <xf numFmtId="0" fontId="48" fillId="0" borderId="6" xfId="20" applyFont="1" applyBorder="1" applyAlignment="1">
      <alignment horizontal="left" vertical="center"/>
    </xf>
    <xf numFmtId="0" fontId="50" fillId="9" borderId="29" xfId="20" applyFont="1" applyFill="1" applyBorder="1" applyAlignment="1">
      <alignment horizontal="left" vertical="center"/>
    </xf>
    <xf numFmtId="0" fontId="48" fillId="0" borderId="29" xfId="20" applyFont="1" applyBorder="1" applyAlignment="1">
      <alignment horizontal="left" vertical="center"/>
    </xf>
    <xf numFmtId="0" fontId="50" fillId="9" borderId="7" xfId="20" applyFont="1" applyFill="1" applyBorder="1" applyAlignment="1">
      <alignment horizontal="left" vertical="center"/>
    </xf>
    <xf numFmtId="0" fontId="51" fillId="6" borderId="17" xfId="19" applyFont="1" applyFill="1" applyBorder="1" applyAlignment="1">
      <alignment horizontal="center"/>
    </xf>
    <xf numFmtId="0" fontId="52" fillId="8" borderId="0" xfId="19" applyFont="1" applyFill="1" applyAlignment="1">
      <alignment horizontal="center"/>
    </xf>
    <xf numFmtId="0" fontId="48" fillId="0" borderId="17" xfId="20" applyFont="1" applyBorder="1" applyAlignment="1">
      <alignment horizontal="left" vertical="center"/>
    </xf>
    <xf numFmtId="0" fontId="48" fillId="7" borderId="30" xfId="20" applyFont="1" applyFill="1" applyBorder="1" applyAlignment="1">
      <alignment horizontal="center" vertical="center" wrapText="1"/>
    </xf>
    <xf numFmtId="0" fontId="50" fillId="9" borderId="30" xfId="20" applyFont="1" applyFill="1" applyBorder="1" applyAlignment="1">
      <alignment horizontal="left" vertical="center"/>
    </xf>
    <xf numFmtId="0" fontId="48" fillId="0" borderId="30" xfId="20" applyFont="1" applyBorder="1" applyAlignment="1">
      <alignment horizontal="left" vertical="center"/>
    </xf>
    <xf numFmtId="0" fontId="50" fillId="9" borderId="18" xfId="20" applyFont="1" applyFill="1" applyBorder="1" applyAlignment="1">
      <alignment horizontal="left" vertical="center"/>
    </xf>
    <xf numFmtId="0" fontId="37" fillId="0" borderId="0" xfId="21" applyFont="1" applyAlignment="1">
      <alignment horizontal="center"/>
    </xf>
    <xf numFmtId="0" fontId="37" fillId="8" borderId="15" xfId="19" applyFont="1" applyFill="1" applyBorder="1" applyAlignment="1">
      <alignment horizontal="center"/>
    </xf>
    <xf numFmtId="0" fontId="54" fillId="8" borderId="0" xfId="19" applyFont="1" applyFill="1" applyAlignment="1">
      <alignment horizontal="center"/>
    </xf>
    <xf numFmtId="0" fontId="54" fillId="8" borderId="0" xfId="20" applyFont="1" applyFill="1" applyAlignment="1">
      <alignment horizontal="center"/>
    </xf>
    <xf numFmtId="0" fontId="54" fillId="8" borderId="16" xfId="20" applyFont="1" applyFill="1" applyBorder="1" applyAlignment="1">
      <alignment horizontal="center" wrapText="1"/>
    </xf>
    <xf numFmtId="0" fontId="39" fillId="0" borderId="0" xfId="21" applyFont="1" applyAlignment="1">
      <alignment horizontal="center"/>
    </xf>
    <xf numFmtId="0" fontId="48" fillId="0" borderId="31" xfId="20" applyFont="1" applyBorder="1" applyAlignment="1">
      <alignment horizontal="left" vertical="center"/>
    </xf>
    <xf numFmtId="177" fontId="56" fillId="7" borderId="31" xfId="19" applyNumberFormat="1" applyFont="1" applyFill="1" applyBorder="1" applyAlignment="1">
      <alignment horizontal="center"/>
    </xf>
    <xf numFmtId="0" fontId="50" fillId="9" borderId="20" xfId="19" applyFont="1" applyFill="1" applyBorder="1" applyAlignment="1">
      <alignment horizontal="left"/>
    </xf>
    <xf numFmtId="0" fontId="57" fillId="0" borderId="30" xfId="21" applyFont="1" applyBorder="1" applyAlignment="1">
      <alignment horizontal="center"/>
    </xf>
    <xf numFmtId="0" fontId="57" fillId="0" borderId="18" xfId="21" applyFont="1" applyBorder="1" applyAlignment="1">
      <alignment horizontal="center" wrapText="1"/>
    </xf>
    <xf numFmtId="0" fontId="59" fillId="0" borderId="0" xfId="19" applyFont="1" applyAlignment="1">
      <alignment horizontal="center"/>
    </xf>
    <xf numFmtId="0" fontId="50" fillId="0" borderId="0" xfId="19" applyFont="1" applyAlignment="1">
      <alignment horizontal="left"/>
    </xf>
    <xf numFmtId="0" fontId="60" fillId="0" borderId="0" xfId="21" applyFont="1" applyAlignment="1">
      <alignment horizontal="left"/>
    </xf>
    <xf numFmtId="0" fontId="37" fillId="0" borderId="0" xfId="19" applyFont="1"/>
    <xf numFmtId="0" fontId="37" fillId="0" borderId="17" xfId="19" applyFont="1" applyBorder="1" applyAlignment="1">
      <alignment horizontal="center"/>
    </xf>
    <xf numFmtId="0" fontId="61" fillId="0" borderId="30" xfId="21" applyFont="1" applyBorder="1" applyAlignment="1">
      <alignment horizontal="center"/>
    </xf>
    <xf numFmtId="0" fontId="61" fillId="0" borderId="18" xfId="21" applyFont="1" applyBorder="1" applyAlignment="1">
      <alignment horizontal="center" wrapText="1"/>
    </xf>
    <xf numFmtId="0" fontId="46" fillId="10" borderId="10" xfId="20" applyFont="1" applyFill="1" applyBorder="1" applyAlignment="1">
      <alignment horizontal="left"/>
    </xf>
    <xf numFmtId="0" fontId="46" fillId="10" borderId="8" xfId="20" applyFont="1" applyFill="1" applyBorder="1" applyAlignment="1">
      <alignment horizontal="left"/>
    </xf>
    <xf numFmtId="0" fontId="46" fillId="10" borderId="11" xfId="20" applyFont="1" applyFill="1" applyBorder="1" applyAlignment="1">
      <alignment horizontal="left"/>
    </xf>
    <xf numFmtId="41" fontId="62" fillId="0" borderId="0" xfId="21" applyNumberFormat="1" applyFont="1" applyAlignment="1">
      <alignment horizontal="center"/>
    </xf>
    <xf numFmtId="0" fontId="57" fillId="0" borderId="17" xfId="21" applyFont="1" applyBorder="1" applyAlignment="1">
      <alignment horizontal="center"/>
    </xf>
    <xf numFmtId="41" fontId="39" fillId="0" borderId="0" xfId="21" applyNumberFormat="1" applyFont="1" applyAlignment="1">
      <alignment horizontal="center"/>
    </xf>
    <xf numFmtId="0" fontId="64" fillId="0" borderId="6" xfId="20" applyFont="1" applyBorder="1" applyAlignment="1">
      <alignment horizontal="left" vertical="center"/>
    </xf>
    <xf numFmtId="0" fontId="64" fillId="0" borderId="29" xfId="20" applyFont="1" applyBorder="1" applyAlignment="1">
      <alignment horizontal="left" vertical="center"/>
    </xf>
    <xf numFmtId="177" fontId="66" fillId="7" borderId="29" xfId="19" applyNumberFormat="1" applyFont="1" applyFill="1" applyBorder="1" applyAlignment="1">
      <alignment horizontal="center"/>
    </xf>
    <xf numFmtId="0" fontId="58" fillId="9" borderId="7" xfId="20" applyFont="1" applyFill="1" applyBorder="1"/>
    <xf numFmtId="2" fontId="62" fillId="0" borderId="0" xfId="21" applyNumberFormat="1" applyFont="1"/>
    <xf numFmtId="0" fontId="67" fillId="8" borderId="15" xfId="19" applyFont="1" applyFill="1" applyBorder="1" applyAlignment="1">
      <alignment horizontal="center"/>
    </xf>
    <xf numFmtId="0" fontId="37" fillId="9" borderId="30" xfId="19" applyFont="1" applyFill="1" applyBorder="1" applyAlignment="1">
      <alignment horizontal="left"/>
    </xf>
    <xf numFmtId="0" fontId="37" fillId="9" borderId="18" xfId="19" applyFont="1" applyFill="1" applyBorder="1" applyAlignment="1">
      <alignment horizontal="left"/>
    </xf>
    <xf numFmtId="2" fontId="39" fillId="0" borderId="0" xfId="21" applyNumberFormat="1" applyFont="1"/>
    <xf numFmtId="0" fontId="64" fillId="0" borderId="17" xfId="20" applyFont="1" applyBorder="1" applyAlignment="1">
      <alignment horizontal="left" vertical="center"/>
    </xf>
    <xf numFmtId="0" fontId="64" fillId="0" borderId="30" xfId="20" applyFont="1" applyBorder="1" applyAlignment="1">
      <alignment horizontal="left" vertical="center"/>
    </xf>
    <xf numFmtId="171" fontId="66" fillId="7" borderId="30" xfId="3" applyNumberFormat="1" applyFont="1" applyFill="1" applyBorder="1" applyAlignment="1">
      <alignment horizontal="center"/>
    </xf>
    <xf numFmtId="0" fontId="58" fillId="9" borderId="18" xfId="20" applyFont="1" applyFill="1" applyBorder="1"/>
    <xf numFmtId="0" fontId="62" fillId="0" borderId="0" xfId="21" applyFont="1" applyAlignment="1">
      <alignment horizontal="center"/>
    </xf>
    <xf numFmtId="0" fontId="37" fillId="8" borderId="0" xfId="19" applyFont="1" applyFill="1" applyAlignment="1">
      <alignment horizontal="center"/>
    </xf>
    <xf numFmtId="0" fontId="37" fillId="8" borderId="0" xfId="20" applyFont="1" applyFill="1" applyAlignment="1">
      <alignment horizontal="center"/>
    </xf>
    <xf numFmtId="0" fontId="37" fillId="8" borderId="16" xfId="20" applyFont="1" applyFill="1" applyBorder="1" applyAlignment="1">
      <alignment horizontal="center" wrapText="1"/>
    </xf>
    <xf numFmtId="177" fontId="68" fillId="7" borderId="30" xfId="19" applyNumberFormat="1" applyFont="1" applyFill="1" applyBorder="1" applyAlignment="1">
      <alignment horizontal="center"/>
    </xf>
    <xf numFmtId="177" fontId="66" fillId="7" borderId="30" xfId="19" applyNumberFormat="1" applyFont="1" applyFill="1" applyBorder="1" applyAlignment="1">
      <alignment horizontal="center"/>
    </xf>
    <xf numFmtId="0" fontId="62" fillId="0" borderId="0" xfId="19" applyFont="1"/>
    <xf numFmtId="0" fontId="62" fillId="0" borderId="0" xfId="20" applyFont="1"/>
    <xf numFmtId="0" fontId="64" fillId="0" borderId="19" xfId="20" applyFont="1" applyBorder="1" applyAlignment="1">
      <alignment horizontal="left" vertical="center"/>
    </xf>
    <xf numFmtId="177" fontId="66" fillId="7" borderId="31" xfId="19" applyNumberFormat="1" applyFont="1" applyFill="1" applyBorder="1" applyAlignment="1">
      <alignment horizontal="center"/>
    </xf>
    <xf numFmtId="0" fontId="58" fillId="9" borderId="31" xfId="19" applyFont="1" applyFill="1" applyBorder="1" applyAlignment="1">
      <alignment horizontal="left"/>
    </xf>
    <xf numFmtId="0" fontId="64" fillId="0" borderId="31" xfId="20" applyFont="1" applyBorder="1" applyAlignment="1">
      <alignment horizontal="left" vertical="center"/>
    </xf>
    <xf numFmtId="0" fontId="58" fillId="9" borderId="20" xfId="20" applyFont="1" applyFill="1" applyBorder="1"/>
    <xf numFmtId="0" fontId="37" fillId="8" borderId="0" xfId="20" applyFont="1" applyFill="1" applyAlignment="1">
      <alignment horizontal="left"/>
    </xf>
    <xf numFmtId="0" fontId="37" fillId="8" borderId="16" xfId="20" applyFont="1" applyFill="1" applyBorder="1" applyAlignment="1">
      <alignment horizontal="left" wrapText="1"/>
    </xf>
    <xf numFmtId="0" fontId="68" fillId="7" borderId="29" xfId="19" applyFont="1" applyFill="1" applyBorder="1" applyAlignment="1">
      <alignment horizontal="center"/>
    </xf>
    <xf numFmtId="0" fontId="58" fillId="9" borderId="29" xfId="19" applyFont="1" applyFill="1" applyBorder="1" applyAlignment="1">
      <alignment horizontal="left"/>
    </xf>
    <xf numFmtId="0" fontId="52" fillId="7" borderId="30" xfId="19" applyFont="1" applyFill="1" applyBorder="1" applyAlignment="1">
      <alignment horizontal="center"/>
    </xf>
    <xf numFmtId="0" fontId="52" fillId="7" borderId="30" xfId="20" applyFont="1" applyFill="1" applyBorder="1" applyAlignment="1">
      <alignment horizontal="center"/>
    </xf>
    <xf numFmtId="0" fontId="68" fillId="7" borderId="31" xfId="19" applyFont="1" applyFill="1" applyBorder="1" applyAlignment="1">
      <alignment horizontal="center"/>
    </xf>
    <xf numFmtId="0" fontId="58" fillId="9" borderId="31" xfId="20" applyFont="1" applyFill="1" applyBorder="1" applyAlignment="1">
      <alignment vertical="center"/>
    </xf>
    <xf numFmtId="0" fontId="68" fillId="0" borderId="0" xfId="19" applyFont="1" applyAlignment="1">
      <alignment horizontal="center"/>
    </xf>
    <xf numFmtId="0" fontId="55" fillId="0" borderId="0" xfId="21" applyFont="1" applyAlignment="1">
      <alignment horizontal="left"/>
    </xf>
    <xf numFmtId="0" fontId="69" fillId="0" borderId="0" xfId="20" applyFont="1" applyAlignment="1">
      <alignment horizontal="center"/>
    </xf>
    <xf numFmtId="177" fontId="70" fillId="7" borderId="29" xfId="19" applyNumberFormat="1" applyFont="1" applyFill="1" applyBorder="1" applyAlignment="1">
      <alignment horizontal="center"/>
    </xf>
    <xf numFmtId="177" fontId="68" fillId="7" borderId="29" xfId="22" applyNumberFormat="1" applyFont="1" applyFill="1" applyBorder="1" applyAlignment="1">
      <alignment horizontal="center"/>
    </xf>
    <xf numFmtId="0" fontId="37" fillId="9" borderId="7" xfId="23" applyFont="1" applyFill="1" applyBorder="1" applyAlignment="1" applyProtection="1">
      <alignment vertical="center"/>
    </xf>
    <xf numFmtId="177" fontId="68" fillId="7" borderId="31" xfId="22" applyNumberFormat="1" applyFont="1" applyFill="1" applyBorder="1" applyAlignment="1">
      <alignment horizontal="center"/>
    </xf>
    <xf numFmtId="0" fontId="37" fillId="9" borderId="31" xfId="23" applyFont="1" applyFill="1" applyBorder="1" applyAlignment="1" applyProtection="1">
      <alignment vertical="center"/>
    </xf>
    <xf numFmtId="0" fontId="37" fillId="0" borderId="0" xfId="20" applyFont="1" applyAlignment="1">
      <alignment horizontal="center"/>
    </xf>
    <xf numFmtId="0" fontId="62" fillId="0" borderId="0" xfId="21" applyFont="1" applyAlignment="1">
      <alignment horizontal="center" vertical="center" wrapText="1"/>
    </xf>
    <xf numFmtId="0" fontId="39" fillId="0" borderId="0" xfId="20" applyFont="1" applyAlignment="1">
      <alignment horizontal="left" vertical="center" wrapText="1"/>
    </xf>
    <xf numFmtId="0" fontId="39" fillId="0" borderId="0" xfId="20" applyFont="1" applyAlignment="1">
      <alignment vertical="center" wrapText="1"/>
    </xf>
    <xf numFmtId="0" fontId="39" fillId="0" borderId="0" xfId="21" applyFont="1" applyAlignment="1">
      <alignment horizontal="center" vertical="center" wrapText="1"/>
    </xf>
    <xf numFmtId="0" fontId="37" fillId="0" borderId="0" xfId="19" applyFont="1" applyAlignment="1">
      <alignment horizontal="left" vertical="center" wrapText="1"/>
    </xf>
    <xf numFmtId="0" fontId="37" fillId="0" borderId="0" xfId="20" applyFont="1" applyAlignment="1">
      <alignment vertical="center" wrapText="1"/>
    </xf>
    <xf numFmtId="0" fontId="37" fillId="8" borderId="23" xfId="19" applyFont="1" applyFill="1" applyBorder="1" applyAlignment="1">
      <alignment horizontal="center"/>
    </xf>
    <xf numFmtId="0" fontId="37" fillId="8" borderId="21" xfId="19" applyFont="1" applyFill="1" applyBorder="1" applyAlignment="1">
      <alignment horizontal="center"/>
    </xf>
    <xf numFmtId="0" fontId="37" fillId="8" borderId="21" xfId="20" applyFont="1" applyFill="1" applyBorder="1" applyAlignment="1">
      <alignment horizontal="center"/>
    </xf>
    <xf numFmtId="0" fontId="37" fillId="8" borderId="24" xfId="20" applyFont="1" applyFill="1" applyBorder="1" applyAlignment="1">
      <alignment horizontal="center" wrapText="1"/>
    </xf>
    <xf numFmtId="0" fontId="72" fillId="0" borderId="0" xfId="20" applyFont="1" applyAlignment="1">
      <alignment horizontal="center"/>
    </xf>
    <xf numFmtId="0" fontId="69" fillId="0" borderId="0" xfId="19" applyFont="1" applyAlignment="1">
      <alignment horizontal="center"/>
    </xf>
    <xf numFmtId="0" fontId="37" fillId="0" borderId="0" xfId="20" applyFont="1" applyAlignment="1">
      <alignment horizontal="center" wrapText="1"/>
    </xf>
    <xf numFmtId="0" fontId="39" fillId="0" borderId="0" xfId="20" applyFont="1" applyAlignment="1">
      <alignment horizontal="center"/>
    </xf>
    <xf numFmtId="0" fontId="73" fillId="0" borderId="0" xfId="19" applyFont="1" applyAlignment="1">
      <alignment horizontal="center"/>
    </xf>
    <xf numFmtId="0" fontId="37" fillId="8" borderId="0" xfId="19" applyFont="1" applyFill="1" applyAlignment="1">
      <alignment horizontal="center" vertical="center" wrapText="1"/>
    </xf>
    <xf numFmtId="0" fontId="38" fillId="0" borderId="30" xfId="20" applyFont="1" applyBorder="1" applyAlignment="1">
      <alignment horizontal="center" vertical="center" wrapText="1"/>
    </xf>
    <xf numFmtId="0" fontId="47" fillId="0" borderId="30" xfId="19" applyFont="1" applyBorder="1" applyAlignment="1">
      <alignment horizontal="center" vertical="center" wrapText="1"/>
    </xf>
    <xf numFmtId="0" fontId="47" fillId="0" borderId="18" xfId="19" applyFont="1" applyBorder="1" applyAlignment="1">
      <alignment horizontal="center" vertical="center" wrapText="1"/>
    </xf>
    <xf numFmtId="1" fontId="53" fillId="0" borderId="4" xfId="21" applyNumberFormat="1" applyFont="1" applyBorder="1" applyAlignment="1">
      <alignment horizontal="center"/>
    </xf>
    <xf numFmtId="0" fontId="51" fillId="6" borderId="4" xfId="19" applyFont="1" applyFill="1" applyBorder="1"/>
    <xf numFmtId="0" fontId="51" fillId="6" borderId="13" xfId="19" applyFont="1" applyFill="1" applyBorder="1" applyAlignment="1">
      <alignment wrapText="1"/>
    </xf>
    <xf numFmtId="0" fontId="69" fillId="0" borderId="6" xfId="19" applyFont="1" applyBorder="1" applyAlignment="1">
      <alignment horizontal="center" vertical="center" wrapText="1"/>
    </xf>
    <xf numFmtId="0" fontId="74" fillId="6" borderId="12" xfId="19" applyFont="1" applyFill="1" applyBorder="1" applyAlignment="1">
      <alignment horizontal="center"/>
    </xf>
    <xf numFmtId="0" fontId="75" fillId="8" borderId="0" xfId="19" applyFont="1" applyFill="1" applyAlignment="1">
      <alignment horizontal="center"/>
    </xf>
    <xf numFmtId="1" fontId="76" fillId="0" borderId="4" xfId="21" applyNumberFormat="1" applyFont="1" applyBorder="1" applyAlignment="1">
      <alignment horizontal="center"/>
    </xf>
    <xf numFmtId="0" fontId="74" fillId="6" borderId="4" xfId="19" applyFont="1" applyFill="1" applyBorder="1"/>
    <xf numFmtId="0" fontId="74" fillId="6" borderId="13" xfId="19" applyFont="1" applyFill="1" applyBorder="1" applyAlignment="1">
      <alignment wrapText="1"/>
    </xf>
    <xf numFmtId="0" fontId="37" fillId="8" borderId="21" xfId="19" applyFont="1" applyFill="1" applyBorder="1" applyAlignment="1">
      <alignment horizontal="left"/>
    </xf>
    <xf numFmtId="0" fontId="37" fillId="8" borderId="21" xfId="20" applyFont="1" applyFill="1" applyBorder="1" applyAlignment="1">
      <alignment horizontal="left"/>
    </xf>
    <xf numFmtId="0" fontId="37" fillId="8" borderId="24" xfId="20" applyFont="1" applyFill="1" applyBorder="1" applyAlignment="1">
      <alignment horizontal="left" wrapText="1"/>
    </xf>
    <xf numFmtId="0" fontId="74" fillId="6" borderId="17" xfId="19" applyFont="1" applyFill="1" applyBorder="1" applyAlignment="1">
      <alignment horizontal="center"/>
    </xf>
    <xf numFmtId="1" fontId="76" fillId="0" borderId="30" xfId="21" applyNumberFormat="1" applyFont="1" applyBorder="1" applyAlignment="1">
      <alignment horizontal="center"/>
    </xf>
    <xf numFmtId="0" fontId="74" fillId="6" borderId="30" xfId="19" applyFont="1" applyFill="1" applyBorder="1"/>
    <xf numFmtId="0" fontId="74" fillId="6" borderId="18" xfId="19" applyFont="1" applyFill="1" applyBorder="1" applyAlignment="1">
      <alignment wrapText="1"/>
    </xf>
    <xf numFmtId="0" fontId="69" fillId="0" borderId="0" xfId="19" applyFont="1" applyAlignment="1">
      <alignment horizontal="center" vertical="center" wrapText="1"/>
    </xf>
    <xf numFmtId="0" fontId="62" fillId="0" borderId="0" xfId="20" applyFont="1" applyAlignment="1">
      <alignment horizontal="left" indent="1"/>
    </xf>
    <xf numFmtId="0" fontId="77" fillId="0" borderId="0" xfId="19" applyFont="1" applyAlignment="1">
      <alignment horizontal="left"/>
    </xf>
    <xf numFmtId="0" fontId="37" fillId="0" borderId="0" xfId="24" applyFont="1"/>
    <xf numFmtId="3" fontId="37" fillId="0" borderId="0" xfId="24" applyNumberFormat="1" applyFont="1"/>
    <xf numFmtId="0" fontId="6" fillId="0" borderId="0" xfId="20" applyFont="1"/>
    <xf numFmtId="0" fontId="7" fillId="0" borderId="0" xfId="20"/>
    <xf numFmtId="3" fontId="39" fillId="0" borderId="0" xfId="24" applyNumberFormat="1" applyFont="1" applyAlignment="1">
      <alignment horizontal="left"/>
    </xf>
    <xf numFmtId="3" fontId="39" fillId="0" borderId="0" xfId="24" applyNumberFormat="1" applyFont="1"/>
    <xf numFmtId="0" fontId="72" fillId="0" borderId="0" xfId="20" applyFont="1" applyAlignment="1">
      <alignment horizontal="left"/>
    </xf>
    <xf numFmtId="0" fontId="72" fillId="0" borderId="0" xfId="20" applyFont="1"/>
    <xf numFmtId="0" fontId="72" fillId="0" borderId="0" xfId="19" applyFont="1" applyAlignment="1">
      <alignment horizontal="left"/>
    </xf>
    <xf numFmtId="0" fontId="72" fillId="0" borderId="1" xfId="20" applyFont="1" applyBorder="1"/>
    <xf numFmtId="0" fontId="72" fillId="0" borderId="1" xfId="19" applyFont="1" applyBorder="1" applyAlignment="1">
      <alignment horizontal="left"/>
    </xf>
    <xf numFmtId="0" fontId="39" fillId="11" borderId="0" xfId="20" applyFont="1" applyFill="1" applyAlignment="1">
      <alignment vertical="center" wrapText="1"/>
    </xf>
    <xf numFmtId="0" fontId="39" fillId="12" borderId="0" xfId="20" applyFont="1" applyFill="1" applyAlignment="1">
      <alignment vertical="center" wrapText="1"/>
    </xf>
    <xf numFmtId="0" fontId="7" fillId="0" borderId="0" xfId="20" applyAlignment="1">
      <alignment wrapText="1"/>
    </xf>
    <xf numFmtId="0" fontId="39" fillId="0" borderId="0" xfId="19" applyFont="1"/>
    <xf numFmtId="0" fontId="39" fillId="0" borderId="0" xfId="19" applyFont="1" applyAlignment="1">
      <alignment horizontal="left"/>
    </xf>
    <xf numFmtId="168" fontId="25" fillId="0" borderId="0" xfId="0" applyNumberFormat="1" applyFont="1"/>
    <xf numFmtId="194" fontId="78" fillId="0" borderId="0" xfId="0" applyNumberFormat="1" applyFont="1"/>
    <xf numFmtId="9" fontId="25" fillId="0" borderId="0" xfId="4" applyNumberFormat="1" applyFont="1"/>
    <xf numFmtId="0" fontId="11" fillId="0" borderId="1" xfId="0" applyFont="1" applyBorder="1" applyAlignment="1">
      <alignment horizontal="centerContinuous"/>
    </xf>
    <xf numFmtId="17" fontId="11" fillId="0" borderId="0" xfId="0" applyNumberFormat="1" applyFont="1" applyAlignment="1">
      <alignment horizontal="left"/>
    </xf>
    <xf numFmtId="171" fontId="80" fillId="0" borderId="0" xfId="3" applyNumberFormat="1" applyFont="1"/>
    <xf numFmtId="17" fontId="25" fillId="0" borderId="0" xfId="0" applyNumberFormat="1" applyFont="1"/>
    <xf numFmtId="3" fontId="11" fillId="0" borderId="0" xfId="0" applyNumberFormat="1" applyFont="1"/>
    <xf numFmtId="195" fontId="11" fillId="0" borderId="0" xfId="0" applyNumberFormat="1" applyFont="1"/>
    <xf numFmtId="196" fontId="11" fillId="0" borderId="0" xfId="4" applyNumberFormat="1" applyFont="1"/>
    <xf numFmtId="6" fontId="12" fillId="0" borderId="0" xfId="0" applyNumberFormat="1" applyFont="1"/>
    <xf numFmtId="166" fontId="20" fillId="0" borderId="0" xfId="0" applyNumberFormat="1" applyFont="1" applyAlignment="1">
      <alignment horizontal="right"/>
    </xf>
    <xf numFmtId="0" fontId="84" fillId="0" borderId="0" xfId="0" applyFont="1" applyAlignment="1">
      <alignment horizontal="left"/>
    </xf>
    <xf numFmtId="0" fontId="85" fillId="2" borderId="0" xfId="0" applyFont="1" applyFill="1"/>
    <xf numFmtId="166" fontId="11" fillId="0" borderId="0" xfId="0" applyNumberFormat="1" applyFont="1" applyAlignment="1">
      <alignment horizontal="right"/>
    </xf>
    <xf numFmtId="8" fontId="25" fillId="0" borderId="0" xfId="4" applyNumberFormat="1" applyFont="1"/>
    <xf numFmtId="166" fontId="78" fillId="0" borderId="0" xfId="0" applyNumberFormat="1" applyFont="1"/>
    <xf numFmtId="191" fontId="82" fillId="0" borderId="0" xfId="0" applyNumberFormat="1" applyFont="1" applyAlignment="1">
      <alignment horizontal="right"/>
    </xf>
    <xf numFmtId="9" fontId="11" fillId="0" borderId="0" xfId="3" applyFont="1" applyFill="1"/>
    <xf numFmtId="197" fontId="11" fillId="0" borderId="0" xfId="2" applyNumberFormat="1" applyFont="1" applyFill="1"/>
    <xf numFmtId="6" fontId="11" fillId="0" borderId="0" xfId="0" applyNumberFormat="1" applyFont="1"/>
    <xf numFmtId="169" fontId="81" fillId="0" borderId="0" xfId="0" applyNumberFormat="1" applyFont="1"/>
    <xf numFmtId="0" fontId="11" fillId="0" borderId="0" xfId="0" applyNumberFormat="1" applyFont="1" applyAlignment="1">
      <alignment horizontal="right"/>
    </xf>
    <xf numFmtId="1" fontId="11" fillId="0" borderId="0" xfId="0" applyNumberFormat="1" applyFont="1" applyAlignment="1">
      <alignment horizontal="right"/>
    </xf>
    <xf numFmtId="166" fontId="12" fillId="0" borderId="0" xfId="0" applyNumberFormat="1" applyFont="1" applyAlignment="1">
      <alignment horizontal="right"/>
    </xf>
    <xf numFmtId="174" fontId="30" fillId="0" borderId="0" xfId="37" applyNumberFormat="1" applyFont="1"/>
    <xf numFmtId="178" fontId="11" fillId="0" borderId="0" xfId="1" applyNumberFormat="1" applyFont="1"/>
    <xf numFmtId="2" fontId="48" fillId="7" borderId="29" xfId="40" applyNumberFormat="1" applyFont="1" applyFill="1" applyBorder="1" applyAlignment="1" applyProtection="1">
      <alignment horizontal="center" vertical="center"/>
    </xf>
    <xf numFmtId="0" fontId="58" fillId="0" borderId="0" xfId="40" applyFont="1" applyFill="1" applyBorder="1" applyAlignment="1" applyProtection="1">
      <alignment vertical="center"/>
    </xf>
    <xf numFmtId="166" fontId="52" fillId="7" borderId="30" xfId="19" applyNumberFormat="1" applyFont="1" applyFill="1" applyBorder="1" applyAlignment="1">
      <alignment horizontal="center"/>
    </xf>
    <xf numFmtId="177" fontId="65" fillId="7" borderId="29" xfId="40" applyNumberFormat="1" applyFont="1" applyFill="1" applyBorder="1" applyAlignment="1" applyProtection="1">
      <alignment horizontal="center" vertical="center"/>
    </xf>
    <xf numFmtId="0" fontId="58" fillId="9" borderId="29" xfId="40" applyFont="1" applyFill="1" applyBorder="1" applyAlignment="1" applyProtection="1">
      <alignment horizontal="left" vertical="center"/>
    </xf>
    <xf numFmtId="177" fontId="66" fillId="7" borderId="30" xfId="40" applyNumberFormat="1" applyFont="1" applyFill="1" applyBorder="1" applyAlignment="1" applyProtection="1">
      <alignment horizontal="center" vertical="center"/>
    </xf>
    <xf numFmtId="0" fontId="58" fillId="9" borderId="30" xfId="40" applyFont="1" applyFill="1" applyBorder="1" applyAlignment="1" applyProtection="1">
      <alignment horizontal="left" vertical="center"/>
    </xf>
    <xf numFmtId="0" fontId="50" fillId="9" borderId="29" xfId="40" applyFont="1" applyFill="1" applyBorder="1" applyAlignment="1" applyProtection="1">
      <alignment vertical="center"/>
    </xf>
    <xf numFmtId="0" fontId="37" fillId="9" borderId="30" xfId="40" applyFont="1" applyFill="1" applyBorder="1" applyAlignment="1" applyProtection="1">
      <alignment vertical="center"/>
    </xf>
    <xf numFmtId="1" fontId="76" fillId="0" borderId="4" xfId="41" applyNumberFormat="1" applyFont="1" applyBorder="1" applyAlignment="1">
      <alignment horizontal="center"/>
    </xf>
    <xf numFmtId="8" fontId="52" fillId="7" borderId="30" xfId="19" applyNumberFormat="1" applyFont="1" applyFill="1" applyBorder="1" applyAlignment="1">
      <alignment horizontal="center"/>
    </xf>
    <xf numFmtId="198" fontId="11" fillId="0" borderId="0" xfId="4" applyNumberFormat="1" applyFont="1"/>
    <xf numFmtId="198" fontId="11" fillId="0" borderId="0" xfId="0" applyNumberFormat="1" applyFont="1"/>
    <xf numFmtId="198" fontId="11" fillId="0" borderId="0" xfId="0" applyNumberFormat="1" applyFont="1" applyAlignment="1">
      <alignment horizontal="right"/>
    </xf>
    <xf numFmtId="198" fontId="80" fillId="0" borderId="0" xfId="3" applyNumberFormat="1" applyFont="1"/>
    <xf numFmtId="198" fontId="25" fillId="0" borderId="0" xfId="0" applyNumberFormat="1" applyFont="1"/>
    <xf numFmtId="198" fontId="11" fillId="0" borderId="0" xfId="0" applyNumberFormat="1" applyFont="1" applyAlignment="1">
      <alignment horizontal="left"/>
    </xf>
    <xf numFmtId="198" fontId="12" fillId="0" borderId="0" xfId="0" applyNumberFormat="1" applyFont="1"/>
    <xf numFmtId="198" fontId="78" fillId="0" borderId="0" xfId="0" applyNumberFormat="1" applyFont="1"/>
    <xf numFmtId="170" fontId="11" fillId="0" borderId="0" xfId="0" applyNumberFormat="1" applyFont="1"/>
    <xf numFmtId="198" fontId="12" fillId="0" borderId="0" xfId="4" applyNumberFormat="1" applyFont="1"/>
    <xf numFmtId="198" fontId="12" fillId="0" borderId="0" xfId="0" applyNumberFormat="1" applyFont="1" applyAlignment="1">
      <alignment horizontal="right"/>
    </xf>
    <xf numFmtId="198" fontId="86" fillId="0" borderId="0" xfId="3" applyNumberFormat="1" applyFont="1"/>
    <xf numFmtId="198" fontId="12" fillId="0" borderId="0" xfId="0" applyNumberFormat="1" applyFont="1" applyAlignment="1">
      <alignment horizontal="left"/>
    </xf>
    <xf numFmtId="170" fontId="12" fillId="0" borderId="0" xfId="0" applyNumberFormat="1" applyFont="1" applyAlignment="1">
      <alignment horizontal="right"/>
    </xf>
    <xf numFmtId="170" fontId="12" fillId="0" borderId="0" xfId="4" applyNumberFormat="1" applyFont="1"/>
    <xf numFmtId="170" fontId="12" fillId="0" borderId="0" xfId="0" applyNumberFormat="1" applyFont="1"/>
    <xf numFmtId="198" fontId="89" fillId="0" borderId="0" xfId="0" applyNumberFormat="1" applyFont="1"/>
    <xf numFmtId="198" fontId="20" fillId="0" borderId="0" xfId="0" applyNumberFormat="1" applyFont="1" applyAlignment="1">
      <alignment horizontal="right"/>
    </xf>
    <xf numFmtId="191" fontId="20" fillId="0" borderId="0" xfId="0" applyNumberFormat="1" applyFont="1" applyAlignment="1">
      <alignment horizontal="right"/>
    </xf>
    <xf numFmtId="0" fontId="92" fillId="0" borderId="0" xfId="42" applyFont="1"/>
    <xf numFmtId="0" fontId="92" fillId="0" borderId="0" xfId="42" applyFont="1" applyAlignment="1">
      <alignment horizontal="center"/>
    </xf>
    <xf numFmtId="0" fontId="96" fillId="0" borderId="0" xfId="42" applyFont="1"/>
    <xf numFmtId="171" fontId="92" fillId="0" borderId="0" xfId="42" applyNumberFormat="1" applyFont="1"/>
    <xf numFmtId="192" fontId="92" fillId="0" borderId="0" xfId="42" applyNumberFormat="1" applyFont="1"/>
    <xf numFmtId="37" fontId="92" fillId="0" borderId="0" xfId="42" applyNumberFormat="1" applyFont="1"/>
    <xf numFmtId="9" fontId="92" fillId="0" borderId="0" xfId="42" applyNumberFormat="1" applyFont="1"/>
    <xf numFmtId="9" fontId="92" fillId="0" borderId="0" xfId="43" applyFont="1" applyFill="1" applyBorder="1" applyAlignment="1"/>
    <xf numFmtId="37" fontId="98" fillId="0" borderId="0" xfId="42" applyNumberFormat="1" applyFont="1"/>
    <xf numFmtId="37" fontId="99" fillId="0" borderId="0" xfId="42" applyNumberFormat="1" applyFont="1"/>
    <xf numFmtId="37" fontId="100" fillId="0" borderId="0" xfId="42" applyNumberFormat="1" applyFont="1"/>
    <xf numFmtId="37" fontId="95" fillId="0" borderId="0" xfId="42" applyNumberFormat="1" applyFont="1"/>
    <xf numFmtId="1" fontId="92" fillId="0" borderId="0" xfId="42" applyNumberFormat="1" applyFont="1"/>
    <xf numFmtId="199" fontId="92" fillId="0" borderId="0" xfId="42" applyNumberFormat="1" applyFont="1"/>
    <xf numFmtId="37" fontId="92" fillId="0" borderId="0" xfId="45" applyNumberFormat="1" applyFont="1" applyFill="1" applyBorder="1" applyAlignment="1"/>
    <xf numFmtId="6" fontId="92" fillId="0" borderId="0" xfId="42" applyNumberFormat="1" applyFont="1"/>
    <xf numFmtId="0" fontId="92" fillId="0" borderId="0" xfId="42" applyFont="1" applyAlignment="1">
      <alignment horizontal="right"/>
    </xf>
    <xf numFmtId="38" fontId="92" fillId="0" borderId="0" xfId="42" applyNumberFormat="1" applyFont="1" applyAlignment="1">
      <alignment horizontal="right"/>
    </xf>
    <xf numFmtId="9" fontId="92" fillId="0" borderId="0" xfId="42" applyNumberFormat="1" applyFont="1" applyAlignment="1">
      <alignment horizontal="right"/>
    </xf>
    <xf numFmtId="9" fontId="97" fillId="0" borderId="0" xfId="42" applyNumberFormat="1" applyFont="1" applyAlignment="1">
      <alignment horizontal="right"/>
    </xf>
    <xf numFmtId="37" fontId="92" fillId="0" borderId="0" xfId="42" applyNumberFormat="1" applyFont="1" applyAlignment="1">
      <alignment horizontal="right"/>
    </xf>
    <xf numFmtId="9" fontId="92" fillId="0" borderId="0" xfId="43" applyFont="1" applyAlignment="1">
      <alignment horizontal="right"/>
    </xf>
    <xf numFmtId="4" fontId="101" fillId="0" borderId="0" xfId="0" applyNumberFormat="1" applyFont="1"/>
    <xf numFmtId="4" fontId="101" fillId="0" borderId="1" xfId="0" applyNumberFormat="1" applyFont="1" applyBorder="1"/>
    <xf numFmtId="171" fontId="92" fillId="0" borderId="0" xfId="42" applyNumberFormat="1" applyFont="1" applyAlignment="1">
      <alignment horizontal="right"/>
    </xf>
    <xf numFmtId="200" fontId="101" fillId="0" borderId="0" xfId="4" applyNumberFormat="1" applyFont="1"/>
    <xf numFmtId="4" fontId="12" fillId="0" borderId="0" xfId="0" applyNumberFormat="1" applyFont="1" applyAlignment="1">
      <alignment horizontal="left" indent="1"/>
    </xf>
    <xf numFmtId="4" fontId="105" fillId="0" borderId="0" xfId="0" applyNumberFormat="1" applyFont="1" applyAlignment="1">
      <alignment horizontal="left" indent="1"/>
    </xf>
    <xf numFmtId="9" fontId="101" fillId="0" borderId="0" xfId="3" applyFont="1"/>
    <xf numFmtId="9" fontId="11" fillId="0" borderId="0" xfId="3" applyFont="1" applyBorder="1"/>
    <xf numFmtId="6" fontId="101" fillId="0" borderId="0" xfId="4" applyNumberFormat="1" applyFont="1"/>
    <xf numFmtId="9" fontId="104" fillId="0" borderId="0" xfId="42" applyNumberFormat="1" applyFont="1"/>
    <xf numFmtId="37" fontId="106" fillId="0" borderId="0" xfId="42" applyNumberFormat="1" applyFont="1"/>
    <xf numFmtId="9" fontId="107" fillId="0" borderId="0" xfId="42" applyNumberFormat="1" applyFont="1" applyAlignment="1">
      <alignment horizontal="right"/>
    </xf>
    <xf numFmtId="6" fontId="30" fillId="0" borderId="0" xfId="0" applyNumberFormat="1" applyFont="1"/>
    <xf numFmtId="4" fontId="101" fillId="0" borderId="0" xfId="0" applyNumberFormat="1" applyFont="1" applyAlignment="1">
      <alignment horizontal="centerContinuous"/>
    </xf>
    <xf numFmtId="0" fontId="101" fillId="0" borderId="0" xfId="0" applyFont="1"/>
    <xf numFmtId="17" fontId="101" fillId="0" borderId="0" xfId="0" applyNumberFormat="1" applyFont="1" applyAlignment="1">
      <alignment horizontal="right"/>
    </xf>
    <xf numFmtId="17" fontId="101" fillId="0" borderId="0" xfId="0" applyNumberFormat="1" applyFont="1"/>
    <xf numFmtId="171" fontId="104" fillId="0" borderId="0" xfId="42" applyNumberFormat="1" applyFont="1" applyAlignment="1">
      <alignment horizontal="right"/>
    </xf>
    <xf numFmtId="200" fontId="92" fillId="0" borderId="0" xfId="42" applyNumberFormat="1" applyFont="1"/>
    <xf numFmtId="6" fontId="13" fillId="0" borderId="0" xfId="4" applyNumberFormat="1" applyFont="1"/>
    <xf numFmtId="6" fontId="11" fillId="0" borderId="0" xfId="3" applyNumberFormat="1" applyFont="1" applyFill="1"/>
    <xf numFmtId="6" fontId="11" fillId="0" borderId="0" xfId="1" applyNumberFormat="1" applyFont="1" applyFill="1"/>
    <xf numFmtId="0" fontId="20" fillId="0" borderId="0" xfId="0" applyFont="1"/>
    <xf numFmtId="1" fontId="11" fillId="0" borderId="0" xfId="4" applyNumberFormat="1" applyFont="1"/>
    <xf numFmtId="5" fontId="25" fillId="0" borderId="0" xfId="4" applyNumberFormat="1" applyFont="1"/>
    <xf numFmtId="5" fontId="11" fillId="0" borderId="0" xfId="3" applyNumberFormat="1" applyFont="1" applyFill="1"/>
    <xf numFmtId="5" fontId="15" fillId="0" borderId="0" xfId="3" applyNumberFormat="1" applyFont="1" applyFill="1"/>
    <xf numFmtId="5" fontId="12" fillId="0" borderId="0" xfId="4" applyNumberFormat="1" applyFont="1"/>
    <xf numFmtId="5" fontId="101" fillId="0" borderId="0" xfId="4" applyNumberFormat="1" applyFont="1"/>
    <xf numFmtId="5" fontId="11" fillId="4" borderId="0" xfId="4" applyNumberFormat="1" applyFont="1" applyFill="1"/>
    <xf numFmtId="5" fontId="103" fillId="0" borderId="0" xfId="4" applyNumberFormat="1" applyFont="1"/>
    <xf numFmtId="5" fontId="102" fillId="0" borderId="0" xfId="4" applyNumberFormat="1" applyFont="1"/>
    <xf numFmtId="5" fontId="15" fillId="0" borderId="0" xfId="4" applyNumberFormat="1" applyFont="1"/>
    <xf numFmtId="5" fontId="13" fillId="0" borderId="0" xfId="0" applyNumberFormat="1" applyFont="1"/>
    <xf numFmtId="5" fontId="28" fillId="0" borderId="0" xfId="4" applyNumberFormat="1" applyFont="1"/>
    <xf numFmtId="9" fontId="11" fillId="0" borderId="0" xfId="4" applyNumberFormat="1" applyFont="1"/>
    <xf numFmtId="0" fontId="11" fillId="0" borderId="37" xfId="0" applyNumberFormat="1" applyFont="1" applyBorder="1" applyAlignment="1">
      <alignment horizontal="centerContinuous"/>
    </xf>
    <xf numFmtId="38" fontId="12" fillId="0" borderId="37" xfId="4" applyNumberFormat="1" applyFont="1" applyBorder="1"/>
    <xf numFmtId="175" fontId="12" fillId="0" borderId="37" xfId="3" applyNumberFormat="1" applyFont="1" applyBorder="1"/>
    <xf numFmtId="180" fontId="12" fillId="0" borderId="37" xfId="3" applyNumberFormat="1" applyFont="1" applyBorder="1"/>
    <xf numFmtId="190" fontId="12" fillId="0" borderId="37" xfId="3" applyNumberFormat="1" applyFont="1" applyBorder="1"/>
    <xf numFmtId="190" fontId="12" fillId="0" borderId="38" xfId="3" applyNumberFormat="1" applyFont="1" applyBorder="1"/>
    <xf numFmtId="1" fontId="101" fillId="0" borderId="0" xfId="0" applyNumberFormat="1" applyFont="1"/>
    <xf numFmtId="166" fontId="101" fillId="0" borderId="0" xfId="0" applyNumberFormat="1" applyFont="1"/>
    <xf numFmtId="4" fontId="108" fillId="0" borderId="0" xfId="0" applyNumberFormat="1" applyFont="1"/>
    <xf numFmtId="6" fontId="11" fillId="0" borderId="0" xfId="3" applyNumberFormat="1" applyFont="1"/>
    <xf numFmtId="6" fontId="21" fillId="0" borderId="0" xfId="4" applyNumberFormat="1" applyFont="1"/>
    <xf numFmtId="6" fontId="25" fillId="0" borderId="0" xfId="4" applyNumberFormat="1" applyFont="1"/>
    <xf numFmtId="6" fontId="103" fillId="0" borderId="0" xfId="4" applyNumberFormat="1" applyFont="1"/>
    <xf numFmtId="9" fontId="13" fillId="0" borderId="0" xfId="3" applyFont="1" applyFill="1"/>
    <xf numFmtId="9" fontId="101" fillId="0" borderId="0" xfId="3" applyFont="1" applyFill="1"/>
    <xf numFmtId="9" fontId="102" fillId="0" borderId="0" xfId="3" applyFont="1" applyFill="1"/>
    <xf numFmtId="9" fontId="0" fillId="0" borderId="0" xfId="3" applyFont="1"/>
    <xf numFmtId="6" fontId="0" fillId="0" borderId="0" xfId="0" applyNumberFormat="1"/>
    <xf numFmtId="186" fontId="101" fillId="0" borderId="0" xfId="4" applyNumberFormat="1" applyFont="1"/>
    <xf numFmtId="186" fontId="11" fillId="0" borderId="0" xfId="4" applyNumberFormat="1" applyFont="1"/>
    <xf numFmtId="41" fontId="112" fillId="0" borderId="0" xfId="4" applyNumberFormat="1" applyFont="1"/>
    <xf numFmtId="9" fontId="92" fillId="0" borderId="0" xfId="43" applyFont="1"/>
    <xf numFmtId="37" fontId="92" fillId="0" borderId="0" xfId="45" applyNumberFormat="1" applyFont="1"/>
    <xf numFmtId="37" fontId="92" fillId="0" borderId="0" xfId="43" applyNumberFormat="1" applyFont="1"/>
    <xf numFmtId="171" fontId="92" fillId="0" borderId="0" xfId="43" applyNumberFormat="1" applyFont="1"/>
    <xf numFmtId="8" fontId="13" fillId="0" borderId="0" xfId="4" applyNumberFormat="1" applyFont="1"/>
    <xf numFmtId="166" fontId="31" fillId="0" borderId="0" xfId="4" applyNumberFormat="1" applyFont="1"/>
    <xf numFmtId="196" fontId="12" fillId="0" borderId="0" xfId="4" applyNumberFormat="1" applyFont="1"/>
    <xf numFmtId="182" fontId="30" fillId="0" borderId="0" xfId="4" applyNumberFormat="1" applyFont="1"/>
    <xf numFmtId="166" fontId="15" fillId="0" borderId="0" xfId="4" applyNumberFormat="1" applyFont="1"/>
    <xf numFmtId="196" fontId="31" fillId="0" borderId="0" xfId="4" applyNumberFormat="1" applyFont="1"/>
    <xf numFmtId="1" fontId="11" fillId="0" borderId="0" xfId="0" applyNumberFormat="1" applyFont="1"/>
    <xf numFmtId="1" fontId="12" fillId="0" borderId="0" xfId="0" applyNumberFormat="1" applyFont="1"/>
    <xf numFmtId="1" fontId="105" fillId="0" borderId="0" xfId="0" applyNumberFormat="1" applyFont="1"/>
    <xf numFmtId="0" fontId="113" fillId="0" borderId="0" xfId="0" applyFont="1"/>
    <xf numFmtId="17" fontId="113" fillId="0" borderId="0" xfId="0" applyNumberFormat="1" applyFont="1" applyAlignment="1">
      <alignment horizontal="right"/>
    </xf>
    <xf numFmtId="6" fontId="101" fillId="0" borderId="0" xfId="0" applyNumberFormat="1" applyFont="1"/>
    <xf numFmtId="6" fontId="20" fillId="0" borderId="0" xfId="0" applyNumberFormat="1" applyFont="1"/>
    <xf numFmtId="4" fontId="101" fillId="0" borderId="1" xfId="0" applyNumberFormat="1" applyFont="1" applyBorder="1" applyAlignment="1">
      <alignment horizontal="centerContinuous"/>
    </xf>
    <xf numFmtId="4" fontId="101" fillId="0" borderId="0" xfId="0" applyNumberFormat="1" applyFont="1" applyAlignment="1">
      <alignment horizontal="left"/>
    </xf>
    <xf numFmtId="171" fontId="11" fillId="0" borderId="0" xfId="3" applyNumberFormat="1" applyFont="1" applyAlignment="1">
      <alignment horizontal="right"/>
    </xf>
    <xf numFmtId="41" fontId="101" fillId="0" borderId="0" xfId="0" applyNumberFormat="1" applyFont="1"/>
    <xf numFmtId="43" fontId="11" fillId="0" borderId="0" xfId="1" applyFont="1"/>
    <xf numFmtId="43" fontId="0" fillId="0" borderId="0" xfId="1" applyFont="1"/>
    <xf numFmtId="43" fontId="114" fillId="0" borderId="0" xfId="1" applyFont="1"/>
    <xf numFmtId="4" fontId="118" fillId="0" borderId="0" xfId="4" applyNumberFormat="1" applyFont="1"/>
    <xf numFmtId="1" fontId="118" fillId="0" borderId="0" xfId="4" applyNumberFormat="1" applyFont="1"/>
    <xf numFmtId="43" fontId="118" fillId="0" borderId="0" xfId="1" applyFont="1"/>
    <xf numFmtId="0" fontId="119" fillId="0" borderId="0" xfId="0" applyFont="1"/>
    <xf numFmtId="4" fontId="118" fillId="0" borderId="0" xfId="0" applyNumberFormat="1" applyFont="1"/>
    <xf numFmtId="4" fontId="119" fillId="0" borderId="0" xfId="0" applyNumberFormat="1" applyFont="1"/>
    <xf numFmtId="0" fontId="93" fillId="0" borderId="0" xfId="42" applyFont="1"/>
    <xf numFmtId="0" fontId="94" fillId="0" borderId="0" xfId="42" applyFont="1"/>
    <xf numFmtId="37" fontId="92" fillId="0" borderId="0" xfId="43" applyNumberFormat="1" applyFont="1" applyFill="1" applyBorder="1" applyAlignment="1"/>
    <xf numFmtId="171" fontId="104" fillId="0" borderId="0" xfId="42" applyNumberFormat="1" applyFont="1"/>
    <xf numFmtId="178" fontId="92" fillId="0" borderId="0" xfId="42" applyNumberFormat="1" applyFont="1"/>
    <xf numFmtId="171" fontId="92" fillId="0" borderId="0" xfId="43" applyNumberFormat="1" applyFont="1" applyFill="1" applyBorder="1" applyAlignment="1"/>
    <xf numFmtId="9" fontId="92" fillId="0" borderId="0" xfId="43" applyFont="1" applyFill="1" applyBorder="1" applyAlignment="1">
      <alignment horizontal="right"/>
    </xf>
    <xf numFmtId="37" fontId="95" fillId="0" borderId="36" xfId="42" applyNumberFormat="1" applyFont="1" applyBorder="1"/>
    <xf numFmtId="9" fontId="104" fillId="0" borderId="0" xfId="42" applyNumberFormat="1" applyFont="1" applyAlignment="1">
      <alignment horizontal="left"/>
    </xf>
    <xf numFmtId="9" fontId="92" fillId="0" borderId="0" xfId="3" applyFont="1"/>
    <xf numFmtId="9" fontId="92" fillId="0" borderId="0" xfId="42" applyNumberFormat="1" applyFont="1" applyAlignment="1">
      <alignment horizontal="left"/>
    </xf>
    <xf numFmtId="0" fontId="0" fillId="0" borderId="0" xfId="0" applyAlignment="1">
      <alignment vertical="center"/>
    </xf>
    <xf numFmtId="0" fontId="120" fillId="0" borderId="0" xfId="0" applyFont="1"/>
    <xf numFmtId="43" fontId="115" fillId="0" borderId="0" xfId="1" applyFont="1"/>
    <xf numFmtId="43" fontId="115" fillId="0" borderId="0" xfId="1" applyFont="1" applyAlignment="1">
      <alignment horizontal="right"/>
    </xf>
    <xf numFmtId="43" fontId="11" fillId="0" borderId="1" xfId="1" applyFont="1" applyBorder="1"/>
    <xf numFmtId="43" fontId="20" fillId="0" borderId="0" xfId="1" applyFont="1"/>
    <xf numFmtId="43" fontId="113" fillId="0" borderId="0" xfId="1" applyFont="1"/>
    <xf numFmtId="43" fontId="117" fillId="0" borderId="0" xfId="1" applyFont="1"/>
    <xf numFmtId="43" fontId="119" fillId="0" borderId="0" xfId="1" applyFont="1"/>
    <xf numFmtId="0" fontId="115" fillId="0" borderId="0" xfId="1" applyNumberFormat="1" applyFont="1"/>
    <xf numFmtId="43" fontId="116" fillId="0" borderId="0" xfId="1" applyFont="1"/>
    <xf numFmtId="196" fontId="109" fillId="0" borderId="0" xfId="4" applyNumberFormat="1" applyFont="1"/>
    <xf numFmtId="198" fontId="81" fillId="0" borderId="0" xfId="0" applyNumberFormat="1" applyFont="1"/>
    <xf numFmtId="198" fontId="121" fillId="0" borderId="0" xfId="0" applyNumberFormat="1" applyFont="1" applyAlignment="1">
      <alignment horizontal="right"/>
    </xf>
    <xf numFmtId="4" fontId="119" fillId="0" borderId="0" xfId="1" applyNumberFormat="1" applyFont="1"/>
    <xf numFmtId="6" fontId="11" fillId="0" borderId="0" xfId="1" applyNumberFormat="1" applyFont="1"/>
    <xf numFmtId="201" fontId="112" fillId="0" borderId="0" xfId="4" applyNumberFormat="1" applyFont="1"/>
    <xf numFmtId="202" fontId="112" fillId="0" borderId="0" xfId="4" applyNumberFormat="1" applyFont="1"/>
    <xf numFmtId="196" fontId="111" fillId="0" borderId="0" xfId="42" applyNumberFormat="1" applyFont="1"/>
    <xf numFmtId="203" fontId="11" fillId="0" borderId="0" xfId="0" applyNumberFormat="1" applyFont="1"/>
    <xf numFmtId="0" fontId="122" fillId="0" borderId="0" xfId="0" applyFont="1"/>
    <xf numFmtId="6" fontId="13" fillId="0" borderId="0" xfId="0" applyNumberFormat="1" applyFont="1"/>
    <xf numFmtId="196" fontId="122" fillId="0" borderId="0" xfId="0" applyNumberFormat="1" applyFont="1"/>
    <xf numFmtId="182" fontId="101" fillId="0" borderId="0" xfId="0" applyNumberFormat="1" applyFont="1"/>
    <xf numFmtId="193" fontId="11" fillId="0" borderId="0" xfId="1" applyNumberFormat="1" applyFont="1"/>
    <xf numFmtId="196" fontId="110" fillId="0" borderId="0" xfId="0" applyNumberFormat="1" applyFont="1"/>
    <xf numFmtId="196" fontId="114" fillId="0" borderId="0" xfId="1" applyNumberFormat="1" applyFont="1"/>
    <xf numFmtId="178" fontId="118" fillId="0" borderId="0" xfId="1" applyNumberFormat="1" applyFont="1"/>
    <xf numFmtId="178" fontId="119" fillId="0" borderId="0" xfId="1" applyNumberFormat="1" applyFont="1"/>
    <xf numFmtId="178" fontId="101" fillId="0" borderId="0" xfId="1" applyNumberFormat="1" applyFont="1"/>
    <xf numFmtId="178" fontId="115" fillId="0" borderId="0" xfId="1" applyNumberFormat="1" applyFont="1"/>
    <xf numFmtId="17" fontId="11" fillId="4" borderId="0" xfId="0" applyNumberFormat="1" applyFont="1" applyFill="1"/>
    <xf numFmtId="6" fontId="11" fillId="4" borderId="0" xfId="4" applyNumberFormat="1" applyFont="1" applyFill="1"/>
    <xf numFmtId="6" fontId="101" fillId="4" borderId="0" xfId="4" applyNumberFormat="1" applyFont="1" applyFill="1"/>
    <xf numFmtId="6" fontId="13" fillId="4" borderId="0" xfId="4" applyNumberFormat="1" applyFont="1" applyFill="1"/>
    <xf numFmtId="17" fontId="11" fillId="4" borderId="0" xfId="0" applyNumberFormat="1" applyFont="1" applyFill="1" applyAlignment="1">
      <alignment horizontal="right"/>
    </xf>
    <xf numFmtId="6" fontId="11" fillId="4" borderId="0" xfId="0" applyNumberFormat="1" applyFont="1" applyFill="1"/>
    <xf numFmtId="4" fontId="11" fillId="4" borderId="0" xfId="0" applyNumberFormat="1" applyFont="1" applyFill="1"/>
    <xf numFmtId="168" fontId="11" fillId="4" borderId="0" xfId="0" applyNumberFormat="1" applyFont="1" applyFill="1"/>
    <xf numFmtId="8" fontId="11" fillId="4" borderId="0" xfId="0" applyNumberFormat="1" applyFont="1" applyFill="1"/>
    <xf numFmtId="4" fontId="11" fillId="4" borderId="1" xfId="0" applyNumberFormat="1" applyFont="1" applyFill="1" applyBorder="1"/>
    <xf numFmtId="171" fontId="25" fillId="4" borderId="0" xfId="3" applyNumberFormat="1" applyFont="1" applyFill="1"/>
    <xf numFmtId="169" fontId="11" fillId="4" borderId="1" xfId="0" applyNumberFormat="1" applyFont="1" applyFill="1" applyBorder="1"/>
    <xf numFmtId="169" fontId="11" fillId="4" borderId="0" xfId="0" applyNumberFormat="1" applyFont="1" applyFill="1"/>
    <xf numFmtId="196" fontId="11" fillId="4" borderId="0" xfId="4" applyNumberFormat="1" applyFont="1" applyFill="1"/>
    <xf numFmtId="6" fontId="11" fillId="4" borderId="0" xfId="1" applyNumberFormat="1" applyFont="1" applyFill="1"/>
    <xf numFmtId="6" fontId="101" fillId="4" borderId="0" xfId="0" applyNumberFormat="1" applyFont="1" applyFill="1"/>
    <xf numFmtId="6" fontId="13" fillId="4" borderId="0" xfId="0" applyNumberFormat="1" applyFont="1" applyFill="1"/>
    <xf numFmtId="6" fontId="12" fillId="4" borderId="0" xfId="0" applyNumberFormat="1" applyFont="1" applyFill="1"/>
    <xf numFmtId="198" fontId="20" fillId="0" borderId="0" xfId="0" applyNumberFormat="1" applyFont="1" applyAlignment="1">
      <alignment horizontal="left"/>
    </xf>
    <xf numFmtId="191" fontId="81" fillId="0" borderId="0" xfId="0" applyNumberFormat="1" applyFont="1" applyAlignment="1">
      <alignment horizontal="right"/>
    </xf>
    <xf numFmtId="193" fontId="20" fillId="0" borderId="0" xfId="1" applyNumberFormat="1" applyFont="1" applyAlignment="1">
      <alignment horizontal="right"/>
    </xf>
    <xf numFmtId="193" fontId="20" fillId="0" borderId="0" xfId="1" applyNumberFormat="1" applyFont="1" applyFill="1" applyAlignment="1">
      <alignment horizontal="right"/>
    </xf>
    <xf numFmtId="1" fontId="11" fillId="4" borderId="0" xfId="0" applyNumberFormat="1" applyFont="1" applyFill="1" applyAlignment="1">
      <alignment horizontal="right"/>
    </xf>
    <xf numFmtId="166" fontId="11" fillId="4" borderId="0" xfId="0" applyNumberFormat="1" applyFont="1" applyFill="1"/>
    <xf numFmtId="191" fontId="81" fillId="4" borderId="0" xfId="0" applyNumberFormat="1" applyFont="1" applyFill="1" applyAlignment="1">
      <alignment horizontal="right"/>
    </xf>
    <xf numFmtId="191" fontId="20" fillId="4" borderId="0" xfId="0" applyNumberFormat="1" applyFont="1" applyFill="1" applyAlignment="1">
      <alignment horizontal="right"/>
    </xf>
    <xf numFmtId="193" fontId="20" fillId="4" borderId="0" xfId="1" applyNumberFormat="1" applyFont="1" applyFill="1" applyAlignment="1">
      <alignment horizontal="right"/>
    </xf>
    <xf numFmtId="170" fontId="12" fillId="4" borderId="0" xfId="0" applyNumberFormat="1" applyFont="1" applyFill="1"/>
    <xf numFmtId="4" fontId="123" fillId="0" borderId="0" xfId="37" applyNumberFormat="1" applyFont="1"/>
    <xf numFmtId="0" fontId="124" fillId="0" borderId="0" xfId="37" applyFont="1"/>
    <xf numFmtId="0" fontId="125" fillId="0" borderId="0" xfId="0" applyFont="1"/>
    <xf numFmtId="0" fontId="124" fillId="0" borderId="0" xfId="37" applyFont="1" applyAlignment="1">
      <alignment horizontal="right"/>
    </xf>
    <xf numFmtId="0" fontId="126" fillId="0" borderId="0" xfId="37" applyFont="1"/>
    <xf numFmtId="0" fontId="127" fillId="0" borderId="0" xfId="37" applyFont="1"/>
    <xf numFmtId="0" fontId="127" fillId="0" borderId="0" xfId="37" applyFont="1" applyAlignment="1">
      <alignment horizontal="right"/>
    </xf>
    <xf numFmtId="4" fontId="125" fillId="0" borderId="0" xfId="37" applyNumberFormat="1" applyFont="1"/>
    <xf numFmtId="0" fontId="128" fillId="13" borderId="0" xfId="29" applyFont="1" applyFill="1"/>
    <xf numFmtId="0" fontId="128" fillId="13" borderId="0" xfId="29" applyFont="1" applyFill="1" applyAlignment="1">
      <alignment horizontal="right"/>
    </xf>
    <xf numFmtId="204" fontId="128" fillId="13" borderId="0" xfId="29" applyNumberFormat="1" applyFont="1" applyFill="1" applyAlignment="1">
      <alignment horizontal="right"/>
    </xf>
    <xf numFmtId="0" fontId="125" fillId="3" borderId="0" xfId="0" applyFont="1" applyFill="1"/>
    <xf numFmtId="0" fontId="128" fillId="13" borderId="0" xfId="0" applyFont="1" applyFill="1"/>
    <xf numFmtId="0" fontId="129" fillId="13" borderId="0" xfId="0" applyFont="1" applyFill="1" applyAlignment="1">
      <alignment horizontal="center" vertical="center"/>
    </xf>
    <xf numFmtId="0" fontId="130" fillId="0" borderId="0" xfId="37" applyFont="1"/>
    <xf numFmtId="0" fontId="124" fillId="3" borderId="0" xfId="29" applyFont="1" applyFill="1"/>
    <xf numFmtId="0" fontId="131" fillId="3" borderId="0" xfId="29" applyFont="1" applyFill="1"/>
    <xf numFmtId="6" fontId="123" fillId="3" borderId="0" xfId="29" applyNumberFormat="1" applyFont="1" applyFill="1"/>
    <xf numFmtId="0" fontId="130" fillId="3" borderId="0" xfId="29" applyFont="1" applyFill="1" applyAlignment="1">
      <alignment horizontal="left" indent="1"/>
    </xf>
    <xf numFmtId="6" fontId="125" fillId="3" borderId="0" xfId="29" applyNumberFormat="1" applyFont="1" applyFill="1"/>
    <xf numFmtId="180" fontId="134" fillId="3" borderId="0" xfId="3" applyNumberFormat="1" applyFont="1" applyFill="1"/>
    <xf numFmtId="171" fontId="132" fillId="3" borderId="0" xfId="0" applyNumberFormat="1" applyFont="1" applyFill="1" applyAlignment="1">
      <alignment vertical="center"/>
    </xf>
    <xf numFmtId="171" fontId="133" fillId="3" borderId="0" xfId="0" applyNumberFormat="1" applyFont="1" applyFill="1" applyAlignment="1">
      <alignment vertical="center"/>
    </xf>
    <xf numFmtId="0" fontId="124" fillId="3" borderId="0" xfId="29" applyFont="1" applyFill="1" applyAlignment="1">
      <alignment horizontal="left"/>
    </xf>
    <xf numFmtId="168" fontId="134" fillId="3" borderId="0" xfId="29" applyNumberFormat="1" applyFont="1" applyFill="1" applyAlignment="1">
      <alignment horizontal="left" indent="1"/>
    </xf>
    <xf numFmtId="0" fontId="130" fillId="3" borderId="0" xfId="29" applyFont="1" applyFill="1"/>
    <xf numFmtId="9" fontId="134" fillId="3" borderId="0" xfId="30" applyFont="1" applyFill="1"/>
    <xf numFmtId="4" fontId="123" fillId="3" borderId="0" xfId="29" applyNumberFormat="1" applyFont="1" applyFill="1"/>
    <xf numFmtId="171" fontId="132" fillId="3" borderId="0" xfId="3" applyNumberFormat="1" applyFont="1" applyFill="1" applyAlignment="1">
      <alignment vertical="center"/>
    </xf>
    <xf numFmtId="4" fontId="125" fillId="3" borderId="0" xfId="29" applyNumberFormat="1" applyFont="1" applyFill="1"/>
    <xf numFmtId="9" fontId="125" fillId="3" borderId="0" xfId="3" applyFont="1" applyFill="1"/>
    <xf numFmtId="6" fontId="135" fillId="3" borderId="0" xfId="29" applyNumberFormat="1" applyFont="1" applyFill="1"/>
    <xf numFmtId="0" fontId="124" fillId="3" borderId="0" xfId="29" quotePrefix="1" applyFont="1" applyFill="1"/>
    <xf numFmtId="6" fontId="124" fillId="3" borderId="0" xfId="29" applyNumberFormat="1" applyFont="1" applyFill="1"/>
    <xf numFmtId="0" fontId="130" fillId="3" borderId="0" xfId="29" quotePrefix="1" applyFont="1" applyFill="1" applyAlignment="1">
      <alignment horizontal="left" indent="1"/>
    </xf>
    <xf numFmtId="171" fontId="130" fillId="3" borderId="0" xfId="3" applyNumberFormat="1" applyFont="1" applyFill="1"/>
    <xf numFmtId="171" fontId="130" fillId="3" borderId="0" xfId="3" applyNumberFormat="1" applyFont="1" applyFill="1" applyBorder="1"/>
    <xf numFmtId="0" fontId="131" fillId="3" borderId="37" xfId="29" applyFont="1" applyFill="1" applyBorder="1"/>
    <xf numFmtId="6" fontId="131" fillId="3" borderId="37" xfId="29" applyNumberFormat="1" applyFont="1" applyFill="1" applyBorder="1"/>
    <xf numFmtId="9" fontId="124" fillId="3" borderId="0" xfId="3" applyFont="1" applyFill="1"/>
    <xf numFmtId="174" fontId="124" fillId="3" borderId="0" xfId="29" applyNumberFormat="1" applyFont="1" applyFill="1"/>
    <xf numFmtId="0" fontId="127" fillId="3" borderId="25" xfId="31" applyFont="1" applyFill="1" applyBorder="1"/>
    <xf numFmtId="0" fontId="128" fillId="3" borderId="33" xfId="31" applyFont="1" applyFill="1" applyBorder="1"/>
    <xf numFmtId="0" fontId="125" fillId="3" borderId="9" xfId="31" applyFont="1" applyFill="1" applyBorder="1"/>
    <xf numFmtId="6" fontId="125" fillId="3" borderId="11" xfId="39" applyNumberFormat="1" applyFont="1" applyFill="1" applyBorder="1"/>
    <xf numFmtId="0" fontId="125" fillId="3" borderId="14" xfId="31" applyFont="1" applyFill="1" applyBorder="1"/>
    <xf numFmtId="41" fontId="125" fillId="3" borderId="16" xfId="31" applyNumberFormat="1" applyFont="1" applyFill="1" applyBorder="1"/>
    <xf numFmtId="0" fontId="125" fillId="3" borderId="17" xfId="31" applyFont="1" applyFill="1" applyBorder="1"/>
    <xf numFmtId="42" fontId="125" fillId="3" borderId="34" xfId="31" applyNumberFormat="1" applyFont="1" applyFill="1" applyBorder="1"/>
    <xf numFmtId="6" fontId="125" fillId="3" borderId="16" xfId="31" applyNumberFormat="1" applyFont="1" applyFill="1" applyBorder="1"/>
    <xf numFmtId="0" fontId="125" fillId="11" borderId="0" xfId="0" applyNumberFormat="1" applyFont="1" applyFill="1"/>
    <xf numFmtId="0" fontId="123" fillId="3" borderId="35" xfId="31" applyFont="1" applyFill="1" applyBorder="1"/>
    <xf numFmtId="44" fontId="123" fillId="3" borderId="33" xfId="31" applyNumberFormat="1" applyFont="1" applyFill="1" applyBorder="1"/>
    <xf numFmtId="44" fontId="125" fillId="11" borderId="34" xfId="31" applyNumberFormat="1" applyFont="1" applyFill="1" applyBorder="1"/>
    <xf numFmtId="184" fontId="125" fillId="11" borderId="34" xfId="3" applyNumberFormat="1" applyFont="1" applyFill="1" applyBorder="1" applyAlignment="1">
      <alignment horizontal="right"/>
    </xf>
    <xf numFmtId="0" fontId="125" fillId="3" borderId="35" xfId="31" applyFont="1" applyFill="1" applyBorder="1"/>
    <xf numFmtId="190" fontId="125" fillId="3" borderId="33" xfId="30" applyNumberFormat="1" applyFont="1" applyFill="1" applyBorder="1" applyAlignment="1">
      <alignment horizontal="right"/>
    </xf>
    <xf numFmtId="190" fontId="132" fillId="3" borderId="33" xfId="30" applyNumberFormat="1" applyFont="1" applyFill="1" applyBorder="1" applyAlignment="1">
      <alignment horizontal="right"/>
    </xf>
    <xf numFmtId="0" fontId="125" fillId="3" borderId="0" xfId="31" applyFont="1" applyFill="1"/>
    <xf numFmtId="196" fontId="125" fillId="3" borderId="33" xfId="1" applyNumberFormat="1" applyFont="1" applyFill="1" applyBorder="1" applyAlignment="1">
      <alignment horizontal="right"/>
    </xf>
    <xf numFmtId="9" fontId="125" fillId="3" borderId="33" xfId="3" applyFont="1" applyFill="1" applyBorder="1" applyAlignment="1">
      <alignment horizontal="right"/>
    </xf>
    <xf numFmtId="0" fontId="125" fillId="0" borderId="35" xfId="31" applyFont="1" applyBorder="1"/>
    <xf numFmtId="171" fontId="125" fillId="0" borderId="33" xfId="3" applyNumberFormat="1" applyFont="1" applyFill="1" applyBorder="1" applyAlignment="1">
      <alignment horizontal="right"/>
    </xf>
    <xf numFmtId="6" fontId="25" fillId="0" borderId="0" xfId="0" applyNumberFormat="1" applyFont="1"/>
    <xf numFmtId="9" fontId="12" fillId="0" borderId="0" xfId="4" applyNumberFormat="1" applyFont="1"/>
    <xf numFmtId="10" fontId="25" fillId="0" borderId="0" xfId="4" applyNumberFormat="1" applyFont="1"/>
    <xf numFmtId="171" fontId="25" fillId="0" borderId="0" xfId="4" applyNumberFormat="1" applyFont="1"/>
    <xf numFmtId="6" fontId="28" fillId="0" borderId="0" xfId="0" applyNumberFormat="1" applyFont="1"/>
    <xf numFmtId="171" fontId="25" fillId="0" borderId="0" xfId="3" applyNumberFormat="1" applyFont="1" applyFill="1"/>
    <xf numFmtId="172" fontId="11" fillId="4" borderId="0" xfId="4" applyNumberFormat="1" applyFont="1" applyFill="1"/>
    <xf numFmtId="4" fontId="11" fillId="4" borderId="0" xfId="4" applyNumberFormat="1" applyFont="1" applyFill="1"/>
    <xf numFmtId="5" fontId="13" fillId="4" borderId="0" xfId="4" applyNumberFormat="1" applyFont="1" applyFill="1"/>
    <xf numFmtId="166" fontId="13" fillId="4" borderId="0" xfId="4" applyNumberFormat="1" applyFont="1" applyFill="1"/>
    <xf numFmtId="178" fontId="25" fillId="0" borderId="0" xfId="1" applyNumberFormat="1" applyFont="1"/>
    <xf numFmtId="6" fontId="25" fillId="4" borderId="0" xfId="0" applyNumberFormat="1" applyFont="1" applyFill="1"/>
    <xf numFmtId="185" fontId="11" fillId="0" borderId="0" xfId="3" applyNumberFormat="1" applyFont="1"/>
    <xf numFmtId="185" fontId="92" fillId="0" borderId="0" xfId="3" applyNumberFormat="1" applyFont="1"/>
    <xf numFmtId="185" fontId="92" fillId="0" borderId="0" xfId="3" applyNumberFormat="1" applyFont="1" applyFill="1" applyBorder="1"/>
    <xf numFmtId="166" fontId="20" fillId="0" borderId="0" xfId="4" applyNumberFormat="1" applyFont="1"/>
    <xf numFmtId="185" fontId="20" fillId="0" borderId="0" xfId="4" applyNumberFormat="1" applyFont="1"/>
    <xf numFmtId="185" fontId="97" fillId="0" borderId="0" xfId="42" applyNumberFormat="1" applyFont="1"/>
    <xf numFmtId="185" fontId="20" fillId="0" borderId="0" xfId="3" applyNumberFormat="1" applyFont="1"/>
    <xf numFmtId="37" fontId="97" fillId="0" borderId="0" xfId="42" applyNumberFormat="1" applyFont="1"/>
    <xf numFmtId="0" fontId="136" fillId="0" borderId="0" xfId="0" applyFont="1"/>
    <xf numFmtId="43" fontId="137" fillId="0" borderId="0" xfId="1" applyFont="1"/>
    <xf numFmtId="193" fontId="0" fillId="0" borderId="0" xfId="1" applyNumberFormat="1" applyFont="1"/>
    <xf numFmtId="178" fontId="11" fillId="0" borderId="0" xfId="4" applyNumberFormat="1" applyFont="1"/>
    <xf numFmtId="193" fontId="138" fillId="0" borderId="0" xfId="1" applyNumberFormat="1" applyFont="1"/>
    <xf numFmtId="0" fontId="138" fillId="0" borderId="0" xfId="0" applyFont="1"/>
    <xf numFmtId="193" fontId="15" fillId="0" borderId="0" xfId="1" applyNumberFormat="1" applyFont="1"/>
    <xf numFmtId="193" fontId="139" fillId="0" borderId="0" xfId="1" applyNumberFormat="1" applyFont="1"/>
    <xf numFmtId="4" fontId="20" fillId="0" borderId="0" xfId="4" applyNumberFormat="1" applyFont="1"/>
    <xf numFmtId="43" fontId="101" fillId="0" borderId="0" xfId="1" applyFont="1"/>
    <xf numFmtId="6" fontId="28" fillId="0" borderId="0" xfId="4" applyNumberFormat="1" applyFont="1"/>
    <xf numFmtId="6" fontId="20" fillId="4" borderId="0" xfId="0" applyNumberFormat="1" applyFont="1" applyFill="1"/>
    <xf numFmtId="169" fontId="11" fillId="0" borderId="0" xfId="3" applyNumberFormat="1" applyFont="1" applyAlignment="1">
      <alignment horizontal="right"/>
    </xf>
    <xf numFmtId="169" fontId="11" fillId="0" borderId="0" xfId="3" applyNumberFormat="1" applyFont="1"/>
    <xf numFmtId="169" fontId="20" fillId="0" borderId="0" xfId="0" applyNumberFormat="1" applyFont="1"/>
    <xf numFmtId="184" fontId="87" fillId="0" borderId="0" xfId="0" applyNumberFormat="1" applyFont="1"/>
    <xf numFmtId="184" fontId="20" fillId="0" borderId="0" xfId="0" applyNumberFormat="1" applyFont="1" applyAlignment="1">
      <alignment horizontal="right"/>
    </xf>
    <xf numFmtId="166" fontId="101" fillId="4" borderId="0" xfId="0" applyNumberFormat="1" applyFont="1" applyFill="1"/>
    <xf numFmtId="166" fontId="28" fillId="0" borderId="0" xfId="4" applyNumberFormat="1" applyFont="1"/>
    <xf numFmtId="169" fontId="20" fillId="4" borderId="0" xfId="0" applyNumberFormat="1" applyFont="1" applyFill="1"/>
    <xf numFmtId="193" fontId="25" fillId="0" borderId="0" xfId="1" applyNumberFormat="1" applyFont="1" applyAlignment="1">
      <alignment horizontal="right"/>
    </xf>
    <xf numFmtId="43" fontId="11" fillId="0" borderId="0" xfId="1" applyFont="1" applyAlignment="1">
      <alignment horizontal="right"/>
    </xf>
    <xf numFmtId="166" fontId="11" fillId="0" borderId="0" xfId="0" applyNumberFormat="1" applyFont="1" applyAlignment="1">
      <alignment horizontal="left"/>
    </xf>
    <xf numFmtId="166" fontId="12" fillId="4" borderId="0" xfId="0" applyNumberFormat="1" applyFont="1" applyFill="1"/>
    <xf numFmtId="198" fontId="140" fillId="0" borderId="0" xfId="3" applyNumberFormat="1" applyFont="1"/>
    <xf numFmtId="196" fontId="11" fillId="0" borderId="0" xfId="0" applyNumberFormat="1" applyFont="1" applyAlignment="1">
      <alignment horizontal="right"/>
    </xf>
    <xf numFmtId="191" fontId="11" fillId="0" borderId="0" xfId="0" applyNumberFormat="1" applyFont="1" applyAlignment="1">
      <alignment horizontal="right"/>
    </xf>
    <xf numFmtId="196" fontId="11" fillId="4" borderId="0" xfId="0" applyNumberFormat="1" applyFont="1" applyFill="1" applyAlignment="1">
      <alignment horizontal="right"/>
    </xf>
    <xf numFmtId="193" fontId="25" fillId="0" borderId="0" xfId="1" applyNumberFormat="1" applyFont="1" applyFill="1" applyAlignment="1">
      <alignment horizontal="right"/>
    </xf>
    <xf numFmtId="193" fontId="25" fillId="4" borderId="0" xfId="1" applyNumberFormat="1" applyFont="1" applyFill="1" applyAlignment="1">
      <alignment horizontal="right"/>
    </xf>
    <xf numFmtId="43" fontId="11" fillId="4" borderId="0" xfId="1" applyFont="1" applyFill="1" applyAlignment="1">
      <alignment horizontal="right"/>
    </xf>
    <xf numFmtId="9" fontId="25" fillId="0" borderId="0" xfId="3" applyFont="1"/>
    <xf numFmtId="166" fontId="11" fillId="4" borderId="0" xfId="0" applyNumberFormat="1" applyFont="1" applyFill="1" applyAlignment="1">
      <alignment horizontal="right"/>
    </xf>
    <xf numFmtId="169" fontId="13" fillId="0" borderId="0" xfId="0" applyNumberFormat="1" applyFont="1"/>
    <xf numFmtId="169" fontId="25" fillId="0" borderId="0" xfId="0" applyNumberFormat="1" applyFont="1"/>
    <xf numFmtId="169" fontId="28" fillId="0" borderId="0" xfId="0" applyNumberFormat="1" applyFont="1"/>
    <xf numFmtId="169" fontId="25" fillId="4" borderId="0" xfId="0" applyNumberFormat="1" applyFont="1" applyFill="1"/>
    <xf numFmtId="169" fontId="28" fillId="4" borderId="0" xfId="0" applyNumberFormat="1" applyFont="1" applyFill="1"/>
    <xf numFmtId="184" fontId="125" fillId="3" borderId="0" xfId="30" applyNumberFormat="1" applyFont="1" applyFill="1"/>
    <xf numFmtId="166" fontId="101" fillId="0" borderId="0" xfId="4" applyNumberFormat="1" applyFont="1"/>
    <xf numFmtId="10" fontId="11" fillId="0" borderId="0" xfId="3" applyNumberFormat="1" applyFont="1" applyFill="1"/>
    <xf numFmtId="10" fontId="11" fillId="4" borderId="0" xfId="3" applyNumberFormat="1" applyFont="1" applyFill="1"/>
    <xf numFmtId="205" fontId="12" fillId="0" borderId="0" xfId="0" applyNumberFormat="1" applyFont="1"/>
    <xf numFmtId="171" fontId="133" fillId="3" borderId="0" xfId="3" applyNumberFormat="1" applyFont="1" applyFill="1" applyAlignment="1">
      <alignment vertical="center"/>
    </xf>
    <xf numFmtId="166" fontId="12" fillId="4" borderId="0" xfId="0" applyNumberFormat="1" applyFont="1" applyFill="1" applyAlignment="1">
      <alignment horizontal="right"/>
    </xf>
    <xf numFmtId="198" fontId="12" fillId="4" borderId="0" xfId="0" applyNumberFormat="1" applyFont="1" applyFill="1" applyAlignment="1">
      <alignment horizontal="right"/>
    </xf>
    <xf numFmtId="0" fontId="124" fillId="3" borderId="0" xfId="54" applyFont="1" applyFill="1"/>
    <xf numFmtId="0" fontId="124" fillId="3" borderId="0" xfId="60" applyFont="1" applyFill="1"/>
    <xf numFmtId="0" fontId="131" fillId="3" borderId="0" xfId="60" applyFont="1" applyFill="1"/>
    <xf numFmtId="6" fontId="131" fillId="3" borderId="0" xfId="60" applyNumberFormat="1" applyFont="1" applyFill="1"/>
    <xf numFmtId="43" fontId="124" fillId="3" borderId="0" xfId="1" applyFont="1" applyFill="1" applyBorder="1"/>
    <xf numFmtId="43" fontId="124" fillId="3" borderId="0" xfId="60" applyNumberFormat="1" applyFont="1" applyFill="1"/>
    <xf numFmtId="6" fontId="124" fillId="3" borderId="0" xfId="60" applyNumberFormat="1" applyFont="1" applyFill="1"/>
    <xf numFmtId="0" fontId="123" fillId="3" borderId="25" xfId="31" applyFont="1" applyFill="1" applyBorder="1"/>
    <xf numFmtId="204" fontId="125" fillId="3" borderId="35" xfId="31" applyNumberFormat="1" applyFont="1" applyFill="1" applyBorder="1"/>
    <xf numFmtId="206" fontId="125" fillId="3" borderId="33" xfId="1" applyNumberFormat="1" applyFont="1" applyFill="1" applyBorder="1" applyAlignment="1">
      <alignment horizontal="center"/>
    </xf>
    <xf numFmtId="178" fontId="11" fillId="0" borderId="0" xfId="1" applyNumberFormat="1" applyFont="1" applyFill="1"/>
    <xf numFmtId="178" fontId="25" fillId="0" borderId="0" xfId="1" applyNumberFormat="1" applyFont="1" applyFill="1"/>
    <xf numFmtId="43" fontId="101" fillId="0" borderId="0" xfId="1" applyFont="1" applyFill="1"/>
    <xf numFmtId="191" fontId="12" fillId="0" borderId="0" xfId="4" applyNumberFormat="1" applyFont="1"/>
    <xf numFmtId="171" fontId="125" fillId="3" borderId="33" xfId="3" applyNumberFormat="1" applyFont="1" applyFill="1" applyBorder="1" applyAlignment="1">
      <alignment horizontal="right"/>
    </xf>
    <xf numFmtId="198" fontId="11" fillId="0" borderId="1" xfId="4" applyNumberFormat="1" applyFont="1" applyBorder="1"/>
    <xf numFmtId="198" fontId="11" fillId="0" borderId="1" xfId="0" applyNumberFormat="1" applyFont="1" applyBorder="1"/>
    <xf numFmtId="166" fontId="11" fillId="0" borderId="1" xfId="0" applyNumberFormat="1" applyFont="1" applyBorder="1" applyAlignment="1">
      <alignment horizontal="right"/>
    </xf>
    <xf numFmtId="198" fontId="80" fillId="0" borderId="1" xfId="3" applyNumberFormat="1" applyFont="1" applyBorder="1"/>
    <xf numFmtId="198" fontId="25" fillId="0" borderId="1" xfId="0" applyNumberFormat="1" applyFont="1" applyBorder="1"/>
    <xf numFmtId="198" fontId="11" fillId="0" borderId="1" xfId="0" applyNumberFormat="1" applyFont="1" applyBorder="1" applyAlignment="1">
      <alignment horizontal="left"/>
    </xf>
    <xf numFmtId="166" fontId="11" fillId="0" borderId="1" xfId="0" applyNumberFormat="1" applyFont="1" applyBorder="1"/>
    <xf numFmtId="6" fontId="11" fillId="0" borderId="1" xfId="0" applyNumberFormat="1" applyFont="1" applyBorder="1"/>
    <xf numFmtId="4" fontId="11" fillId="0" borderId="1" xfId="4" applyNumberFormat="1" applyFont="1" applyBorder="1"/>
    <xf numFmtId="170" fontId="11" fillId="0" borderId="1" xfId="4" applyNumberFormat="1" applyFont="1" applyBorder="1"/>
    <xf numFmtId="198" fontId="11" fillId="0" borderId="1" xfId="0" applyNumberFormat="1" applyFont="1" applyBorder="1" applyAlignment="1">
      <alignment horizontal="right"/>
    </xf>
    <xf numFmtId="198" fontId="81" fillId="0" borderId="1" xfId="0" applyNumberFormat="1" applyFont="1" applyBorder="1"/>
    <xf numFmtId="201" fontId="112" fillId="4" borderId="0" xfId="4" applyNumberFormat="1" applyFont="1" applyFill="1"/>
    <xf numFmtId="178" fontId="11" fillId="4" borderId="0" xfId="1" applyNumberFormat="1" applyFont="1" applyFill="1"/>
    <xf numFmtId="178" fontId="11" fillId="4" borderId="0" xfId="4" applyNumberFormat="1" applyFont="1" applyFill="1"/>
    <xf numFmtId="6" fontId="21" fillId="4" borderId="0" xfId="4" applyNumberFormat="1" applyFont="1" applyFill="1"/>
    <xf numFmtId="191" fontId="11" fillId="4" borderId="0" xfId="0" applyNumberFormat="1" applyFont="1" applyFill="1" applyAlignment="1">
      <alignment horizontal="right"/>
    </xf>
    <xf numFmtId="8" fontId="52" fillId="7" borderId="18" xfId="20" applyNumberFormat="1" applyFont="1" applyFill="1" applyBorder="1" applyAlignment="1">
      <alignment horizontal="center" wrapText="1"/>
    </xf>
    <xf numFmtId="180" fontId="12" fillId="0" borderId="0" xfId="4" applyNumberFormat="1" applyFont="1"/>
    <xf numFmtId="0" fontId="0" fillId="3" borderId="0" xfId="0" applyFill="1"/>
    <xf numFmtId="0" fontId="143" fillId="3" borderId="0" xfId="0" applyFont="1" applyFill="1" applyAlignment="1">
      <alignment horizontal="center" vertical="center"/>
    </xf>
    <xf numFmtId="0" fontId="0" fillId="3" borderId="0" xfId="0" applyFill="1" applyAlignment="1">
      <alignment vertical="center"/>
    </xf>
    <xf numFmtId="196" fontId="144" fillId="3" borderId="0" xfId="1" applyNumberFormat="1" applyFont="1" applyFill="1" applyAlignment="1">
      <alignment horizontal="center" vertical="center"/>
    </xf>
    <xf numFmtId="0" fontId="0" fillId="3" borderId="0" xfId="0" applyFill="1" applyAlignment="1">
      <alignment horizontal="center" vertical="center"/>
    </xf>
    <xf numFmtId="196" fontId="0" fillId="3" borderId="0" xfId="0" applyNumberFormat="1" applyFill="1" applyAlignment="1">
      <alignment horizontal="center" vertical="center"/>
    </xf>
    <xf numFmtId="6" fontId="0" fillId="3" borderId="0" xfId="0" applyNumberFormat="1" applyFill="1" applyAlignment="1">
      <alignment horizontal="center" vertical="center"/>
    </xf>
    <xf numFmtId="208" fontId="0" fillId="3" borderId="0" xfId="3" applyNumberFormat="1" applyFont="1" applyFill="1" applyAlignment="1">
      <alignment horizontal="center" vertical="center"/>
    </xf>
    <xf numFmtId="8" fontId="0" fillId="3" borderId="0" xfId="3" applyNumberFormat="1" applyFont="1" applyFill="1" applyAlignment="1">
      <alignment horizontal="center" vertical="center"/>
    </xf>
    <xf numFmtId="209" fontId="145" fillId="3" borderId="0" xfId="3" applyNumberFormat="1" applyFont="1" applyFill="1" applyAlignment="1">
      <alignment horizontal="center" vertical="center"/>
    </xf>
    <xf numFmtId="8" fontId="0" fillId="3" borderId="0" xfId="0" applyNumberFormat="1" applyFill="1" applyAlignment="1">
      <alignment horizontal="center" vertical="center"/>
    </xf>
    <xf numFmtId="209" fontId="0" fillId="3" borderId="0" xfId="3" applyNumberFormat="1" applyFont="1" applyFill="1" applyAlignment="1">
      <alignment horizontal="center" vertical="center"/>
    </xf>
    <xf numFmtId="166" fontId="0" fillId="3" borderId="0" xfId="3" applyNumberFormat="1" applyFont="1" applyFill="1" applyAlignment="1">
      <alignment horizontal="center" vertical="center"/>
    </xf>
    <xf numFmtId="4" fontId="23" fillId="0" borderId="0" xfId="4" applyNumberFormat="1" applyFont="1"/>
    <xf numFmtId="4" fontId="23" fillId="0" borderId="0" xfId="4" applyNumberFormat="1" applyFont="1" applyAlignment="1">
      <alignment horizontal="centerContinuous"/>
    </xf>
    <xf numFmtId="4" fontId="34" fillId="0" borderId="0" xfId="0" applyNumberFormat="1" applyFont="1"/>
    <xf numFmtId="4" fontId="23" fillId="0" borderId="0" xfId="0" applyNumberFormat="1" applyFont="1"/>
    <xf numFmtId="4" fontId="23" fillId="0" borderId="0" xfId="0" applyNumberFormat="1" applyFont="1" applyAlignment="1">
      <alignment horizontal="left"/>
    </xf>
    <xf numFmtId="4" fontId="146" fillId="14" borderId="0" xfId="0" applyNumberFormat="1" applyFont="1" applyFill="1" applyAlignment="1">
      <alignment horizontal="centerContinuous"/>
    </xf>
    <xf numFmtId="4" fontId="147" fillId="14" borderId="0" xfId="4" applyNumberFormat="1" applyFont="1" applyFill="1"/>
    <xf numFmtId="4" fontId="147" fillId="14" borderId="0" xfId="4" applyNumberFormat="1" applyFont="1" applyFill="1" applyAlignment="1">
      <alignment horizontal="center"/>
    </xf>
    <xf numFmtId="4" fontId="146" fillId="14" borderId="0" xfId="4" applyNumberFormat="1" applyFont="1" applyFill="1" applyAlignment="1">
      <alignment horizontal="center"/>
    </xf>
    <xf numFmtId="0" fontId="148" fillId="14" borderId="0" xfId="0" applyFont="1" applyFill="1"/>
    <xf numFmtId="4" fontId="34" fillId="0" borderId="0" xfId="4" applyNumberFormat="1" applyFont="1" applyAlignment="1">
      <alignment horizontal="center"/>
    </xf>
    <xf numFmtId="4" fontId="34" fillId="3" borderId="0" xfId="0" applyNumberFormat="1" applyFont="1" applyFill="1"/>
    <xf numFmtId="4" fontId="149" fillId="3" borderId="0" xfId="4" applyNumberFormat="1" applyFont="1" applyFill="1" applyAlignment="1">
      <alignment horizontal="center"/>
    </xf>
    <xf numFmtId="4" fontId="149" fillId="3" borderId="42" xfId="4" applyNumberFormat="1" applyFont="1" applyFill="1" applyBorder="1" applyAlignment="1">
      <alignment horizontal="center"/>
    </xf>
    <xf numFmtId="4" fontId="150" fillId="3" borderId="0" xfId="4" applyNumberFormat="1" applyFont="1" applyFill="1" applyAlignment="1">
      <alignment horizontal="center"/>
    </xf>
    <xf numFmtId="4" fontId="23" fillId="3" borderId="42" xfId="4" applyNumberFormat="1" applyFont="1" applyFill="1" applyBorder="1" applyAlignment="1">
      <alignment horizontal="center"/>
    </xf>
    <xf numFmtId="0" fontId="151" fillId="0" borderId="0" xfId="0" applyFont="1"/>
    <xf numFmtId="172" fontId="34" fillId="0" borderId="0" xfId="0" applyNumberFormat="1" applyFont="1"/>
    <xf numFmtId="210" fontId="152" fillId="0" borderId="0" xfId="3" applyNumberFormat="1" applyFont="1" applyFill="1" applyAlignment="1"/>
    <xf numFmtId="172" fontId="34" fillId="0" borderId="42" xfId="0" applyNumberFormat="1" applyFont="1" applyBorder="1"/>
    <xf numFmtId="172" fontId="153" fillId="0" borderId="0" xfId="0" applyNumberFormat="1" applyFont="1"/>
    <xf numFmtId="169" fontId="23" fillId="0" borderId="0" xfId="3" applyNumberFormat="1" applyFont="1" applyFill="1" applyAlignment="1"/>
    <xf numFmtId="210" fontId="152" fillId="0" borderId="42" xfId="3" applyNumberFormat="1" applyFont="1" applyFill="1" applyBorder="1" applyAlignment="1"/>
    <xf numFmtId="4" fontId="23" fillId="0" borderId="0" xfId="4" applyNumberFormat="1" applyFont="1" applyAlignment="1">
      <alignment horizontal="center"/>
    </xf>
    <xf numFmtId="186" fontId="23" fillId="0" borderId="0" xfId="0" applyNumberFormat="1" applyFont="1" applyAlignment="1">
      <alignment horizontal="right"/>
    </xf>
    <xf numFmtId="4" fontId="23" fillId="0" borderId="0" xfId="4" applyNumberFormat="1" applyFont="1" applyAlignment="1">
      <alignment horizontal="right"/>
    </xf>
    <xf numFmtId="178" fontId="23" fillId="0" borderId="0" xfId="1" applyNumberFormat="1" applyFont="1" applyFill="1" applyAlignment="1"/>
    <xf numFmtId="178" fontId="23" fillId="0" borderId="42" xfId="1" applyNumberFormat="1" applyFont="1" applyFill="1" applyBorder="1" applyAlignment="1"/>
    <xf numFmtId="178" fontId="154" fillId="0" borderId="0" xfId="1" applyNumberFormat="1" applyFont="1" applyFill="1" applyAlignment="1"/>
    <xf numFmtId="210" fontId="155" fillId="0" borderId="0" xfId="0" applyNumberFormat="1" applyFont="1"/>
    <xf numFmtId="210" fontId="155" fillId="0" borderId="42" xfId="0" applyNumberFormat="1" applyFont="1" applyBorder="1"/>
    <xf numFmtId="186" fontId="149" fillId="0" borderId="0" xfId="0" applyNumberFormat="1" applyFont="1" applyAlignment="1">
      <alignment horizontal="right"/>
    </xf>
    <xf numFmtId="210" fontId="152" fillId="0" borderId="0" xfId="0" applyNumberFormat="1" applyFont="1"/>
    <xf numFmtId="210" fontId="152" fillId="0" borderId="42" xfId="0" applyNumberFormat="1" applyFont="1" applyBorder="1"/>
    <xf numFmtId="4" fontId="34" fillId="0" borderId="37" xfId="0" applyNumberFormat="1" applyFont="1" applyBorder="1"/>
    <xf numFmtId="4" fontId="23" fillId="0" borderId="37" xfId="0" applyNumberFormat="1" applyFont="1" applyBorder="1"/>
    <xf numFmtId="172" fontId="34" fillId="0" borderId="37" xfId="0" applyNumberFormat="1" applyFont="1" applyBorder="1"/>
    <xf numFmtId="210" fontId="152" fillId="0" borderId="37" xfId="3" applyNumberFormat="1" applyFont="1" applyFill="1" applyBorder="1" applyAlignment="1"/>
    <xf numFmtId="172" fontId="34" fillId="0" borderId="38" xfId="0" applyNumberFormat="1" applyFont="1" applyBorder="1"/>
    <xf numFmtId="169" fontId="23" fillId="0" borderId="37" xfId="3" applyNumberFormat="1" applyFont="1" applyFill="1" applyBorder="1" applyAlignment="1"/>
    <xf numFmtId="210" fontId="152" fillId="0" borderId="38" xfId="3" applyNumberFormat="1" applyFont="1" applyFill="1" applyBorder="1" applyAlignment="1"/>
    <xf numFmtId="172" fontId="153" fillId="0" borderId="37" xfId="0" applyNumberFormat="1" applyFont="1" applyBorder="1"/>
    <xf numFmtId="4" fontId="149" fillId="0" borderId="0" xfId="0" applyNumberFormat="1" applyFont="1"/>
    <xf numFmtId="4" fontId="149" fillId="0" borderId="0" xfId="4" applyNumberFormat="1" applyFont="1"/>
    <xf numFmtId="4" fontId="156" fillId="0" borderId="0" xfId="4" applyNumberFormat="1" applyFont="1"/>
    <xf numFmtId="4" fontId="149" fillId="0" borderId="0" xfId="4" applyNumberFormat="1" applyFont="1" applyAlignment="1">
      <alignment horizontal="center"/>
    </xf>
    <xf numFmtId="4" fontId="149" fillId="0" borderId="0" xfId="4" applyNumberFormat="1" applyFont="1" applyAlignment="1">
      <alignment horizontal="right"/>
    </xf>
    <xf numFmtId="4" fontId="23" fillId="0" borderId="42" xfId="0" applyNumberFormat="1" applyFont="1" applyBorder="1"/>
    <xf numFmtId="169" fontId="149" fillId="0" borderId="0" xfId="0" applyNumberFormat="1" applyFont="1"/>
    <xf numFmtId="8" fontId="34" fillId="0" borderId="43" xfId="0" applyNumberFormat="1" applyFont="1" applyBorder="1"/>
    <xf numFmtId="8" fontId="23" fillId="0" borderId="43" xfId="0" applyNumberFormat="1" applyFont="1" applyBorder="1"/>
    <xf numFmtId="7" fontId="34" fillId="0" borderId="43" xfId="0" applyNumberFormat="1" applyFont="1" applyBorder="1"/>
    <xf numFmtId="210" fontId="152" fillId="0" borderId="43" xfId="3" applyNumberFormat="1" applyFont="1" applyFill="1" applyBorder="1" applyAlignment="1"/>
    <xf numFmtId="7" fontId="34" fillId="0" borderId="44" xfId="0" applyNumberFormat="1" applyFont="1" applyBorder="1"/>
    <xf numFmtId="7" fontId="153" fillId="0" borderId="43" xfId="0" applyNumberFormat="1" applyFont="1" applyBorder="1"/>
    <xf numFmtId="169" fontId="23" fillId="0" borderId="43" xfId="3" applyNumberFormat="1" applyFont="1" applyFill="1" applyBorder="1" applyAlignment="1"/>
    <xf numFmtId="210" fontId="152" fillId="0" borderId="44" xfId="3" applyNumberFormat="1" applyFont="1" applyFill="1" applyBorder="1" applyAlignment="1"/>
    <xf numFmtId="8" fontId="23" fillId="0" borderId="0" xfId="0" applyNumberFormat="1" applyFont="1"/>
    <xf numFmtId="4" fontId="23" fillId="0" borderId="42" xfId="4" applyNumberFormat="1" applyFont="1" applyBorder="1"/>
    <xf numFmtId="8" fontId="23" fillId="0" borderId="42" xfId="0" applyNumberFormat="1" applyFont="1" applyBorder="1"/>
    <xf numFmtId="169" fontId="34" fillId="0" borderId="0" xfId="0" applyNumberFormat="1" applyFont="1" applyAlignment="1">
      <alignment vertical="center"/>
    </xf>
    <xf numFmtId="169" fontId="23" fillId="0" borderId="0" xfId="0" applyNumberFormat="1" applyFont="1" applyAlignment="1">
      <alignment vertical="center"/>
    </xf>
    <xf numFmtId="190" fontId="23" fillId="0" borderId="0" xfId="0" applyNumberFormat="1" applyFont="1" applyAlignment="1">
      <alignment vertical="center"/>
    </xf>
    <xf numFmtId="211" fontId="152" fillId="0" borderId="0" xfId="4" applyNumberFormat="1" applyFont="1" applyAlignment="1">
      <alignment vertical="center"/>
    </xf>
    <xf numFmtId="190" fontId="23" fillId="0" borderId="42" xfId="0" applyNumberFormat="1" applyFont="1" applyBorder="1" applyAlignment="1">
      <alignment vertical="center"/>
    </xf>
    <xf numFmtId="212" fontId="23" fillId="0" borderId="0" xfId="4" applyNumberFormat="1" applyFont="1" applyAlignment="1">
      <alignment vertical="center"/>
    </xf>
    <xf numFmtId="211" fontId="152" fillId="0" borderId="42" xfId="4" applyNumberFormat="1" applyFont="1" applyBorder="1" applyAlignment="1">
      <alignment vertical="center"/>
    </xf>
    <xf numFmtId="4" fontId="23" fillId="0" borderId="0" xfId="4" applyNumberFormat="1" applyFont="1" applyAlignment="1">
      <alignment vertical="center"/>
    </xf>
    <xf numFmtId="4" fontId="22" fillId="0" borderId="0" xfId="4" applyNumberFormat="1" applyFont="1" applyAlignment="1">
      <alignment vertical="center"/>
    </xf>
    <xf numFmtId="177" fontId="23" fillId="0" borderId="0" xfId="1" applyNumberFormat="1" applyFont="1" applyFill="1" applyAlignment="1"/>
    <xf numFmtId="177" fontId="23" fillId="0" borderId="42" xfId="1" applyNumberFormat="1" applyFont="1" applyFill="1" applyBorder="1" applyAlignment="1"/>
    <xf numFmtId="177" fontId="154" fillId="0" borderId="0" xfId="1" applyNumberFormat="1" applyFont="1" applyFill="1" applyAlignment="1"/>
    <xf numFmtId="190" fontId="23" fillId="0" borderId="0" xfId="0" applyNumberFormat="1" applyFont="1" applyAlignment="1">
      <alignment horizontal="center" vertical="center"/>
    </xf>
    <xf numFmtId="211" fontId="152" fillId="0" borderId="0" xfId="4" applyNumberFormat="1" applyFont="1" applyAlignment="1">
      <alignment horizontal="center" vertical="center"/>
    </xf>
    <xf numFmtId="212" fontId="23" fillId="0" borderId="0" xfId="4" applyNumberFormat="1" applyFont="1" applyAlignment="1">
      <alignment horizontal="center" vertical="center"/>
    </xf>
    <xf numFmtId="6" fontId="12" fillId="0" borderId="0" xfId="4" applyNumberFormat="1" applyFont="1"/>
    <xf numFmtId="6" fontId="12" fillId="4" borderId="0" xfId="4" applyNumberFormat="1" applyFont="1" applyFill="1"/>
    <xf numFmtId="0" fontId="94" fillId="0" borderId="0" xfId="42" applyFont="1" applyAlignment="1">
      <alignment horizontal="centerContinuous"/>
    </xf>
    <xf numFmtId="0" fontId="92" fillId="0" borderId="0" xfId="42" applyFont="1" applyAlignment="1">
      <alignment horizontal="centerContinuous"/>
    </xf>
    <xf numFmtId="180" fontId="125" fillId="3" borderId="0" xfId="3" applyNumberFormat="1" applyFont="1" applyFill="1"/>
    <xf numFmtId="168" fontId="125" fillId="3" borderId="0" xfId="29" applyNumberFormat="1" applyFont="1" applyFill="1" applyAlignment="1">
      <alignment horizontal="left" indent="1"/>
    </xf>
    <xf numFmtId="191" fontId="125" fillId="3" borderId="0" xfId="3" applyNumberFormat="1" applyFont="1" applyFill="1"/>
    <xf numFmtId="5" fontId="101" fillId="4" borderId="0" xfId="4" applyNumberFormat="1" applyFont="1" applyFill="1"/>
    <xf numFmtId="184" fontId="20" fillId="4" borderId="0" xfId="0" applyNumberFormat="1" applyFont="1" applyFill="1"/>
    <xf numFmtId="9" fontId="13" fillId="0" borderId="0" xfId="3" applyFont="1" applyFill="1" applyBorder="1"/>
    <xf numFmtId="6" fontId="11" fillId="0" borderId="0" xfId="3" applyNumberFormat="1" applyFont="1" applyBorder="1"/>
    <xf numFmtId="4" fontId="11" fillId="0" borderId="1" xfId="0" applyNumberFormat="1" applyFont="1" applyBorder="1" applyAlignment="1">
      <alignment horizontal="center"/>
    </xf>
    <xf numFmtId="4" fontId="101" fillId="0" borderId="1" xfId="0" applyNumberFormat="1" applyFont="1" applyBorder="1" applyAlignment="1">
      <alignment horizontal="center"/>
    </xf>
    <xf numFmtId="9" fontId="13" fillId="4" borderId="0" xfId="3" applyFont="1" applyFill="1"/>
    <xf numFmtId="178" fontId="125" fillId="3" borderId="33" xfId="1" applyNumberFormat="1" applyFont="1" applyFill="1" applyBorder="1" applyAlignment="1">
      <alignment horizontal="right"/>
    </xf>
    <xf numFmtId="213" fontId="11" fillId="0" borderId="0" xfId="0" applyNumberFormat="1" applyFont="1" applyAlignment="1">
      <alignment horizontal="right"/>
    </xf>
    <xf numFmtId="178" fontId="118" fillId="0" borderId="0" xfId="1" applyNumberFormat="1" applyFont="1" applyFill="1"/>
    <xf numFmtId="193" fontId="15" fillId="4" borderId="0" xfId="1" applyNumberFormat="1" applyFont="1" applyFill="1"/>
    <xf numFmtId="193" fontId="11" fillId="4" borderId="0" xfId="1" applyNumberFormat="1" applyFont="1" applyFill="1"/>
    <xf numFmtId="198" fontId="157" fillId="0" borderId="0" xfId="4" applyNumberFormat="1" applyFont="1"/>
    <xf numFmtId="198" fontId="157" fillId="0" borderId="0" xfId="0" applyNumberFormat="1" applyFont="1"/>
    <xf numFmtId="166" fontId="158" fillId="0" borderId="0" xfId="0" applyNumberFormat="1" applyFont="1" applyAlignment="1">
      <alignment horizontal="right"/>
    </xf>
    <xf numFmtId="198" fontId="159" fillId="0" borderId="0" xfId="3" applyNumberFormat="1" applyFont="1"/>
    <xf numFmtId="198" fontId="157" fillId="0" borderId="0" xfId="0" applyNumberFormat="1" applyFont="1" applyAlignment="1">
      <alignment horizontal="left"/>
    </xf>
    <xf numFmtId="170" fontId="157" fillId="0" borderId="0" xfId="0" applyNumberFormat="1" applyFont="1"/>
    <xf numFmtId="6" fontId="157" fillId="0" borderId="0" xfId="0" applyNumberFormat="1" applyFont="1"/>
    <xf numFmtId="4" fontId="157" fillId="0" borderId="0" xfId="4" applyNumberFormat="1" applyFont="1"/>
    <xf numFmtId="170" fontId="157" fillId="0" borderId="0" xfId="4" applyNumberFormat="1" applyFont="1"/>
    <xf numFmtId="171" fontId="159" fillId="4" borderId="0" xfId="3" applyNumberFormat="1" applyFont="1" applyFill="1"/>
    <xf numFmtId="171" fontId="159" fillId="0" borderId="0" xfId="3" applyNumberFormat="1" applyFont="1" applyFill="1"/>
    <xf numFmtId="170" fontId="158" fillId="4" borderId="0" xfId="0" applyNumberFormat="1" applyFont="1" applyFill="1"/>
    <xf numFmtId="170" fontId="158" fillId="0" borderId="0" xfId="0" applyNumberFormat="1" applyFont="1"/>
    <xf numFmtId="170" fontId="160" fillId="0" borderId="0" xfId="0" applyNumberFormat="1" applyFont="1"/>
    <xf numFmtId="198" fontId="160" fillId="0" borderId="0" xfId="4" applyNumberFormat="1" applyFont="1"/>
    <xf numFmtId="198" fontId="160" fillId="0" borderId="0" xfId="0" applyNumberFormat="1" applyFont="1"/>
    <xf numFmtId="198" fontId="158" fillId="0" borderId="0" xfId="3" applyNumberFormat="1" applyFont="1"/>
    <xf numFmtId="198" fontId="160" fillId="0" borderId="0" xfId="0" applyNumberFormat="1" applyFont="1" applyAlignment="1">
      <alignment horizontal="left"/>
    </xf>
    <xf numFmtId="6" fontId="160" fillId="0" borderId="0" xfId="0" applyNumberFormat="1" applyFont="1"/>
    <xf numFmtId="4" fontId="160" fillId="0" borderId="0" xfId="4" applyNumberFormat="1" applyFont="1"/>
    <xf numFmtId="170" fontId="160" fillId="0" borderId="0" xfId="4" applyNumberFormat="1" applyFont="1"/>
    <xf numFmtId="171" fontId="158" fillId="4" borderId="0" xfId="3" applyNumberFormat="1" applyFont="1" applyFill="1"/>
    <xf numFmtId="171" fontId="158" fillId="0" borderId="0" xfId="3" applyNumberFormat="1" applyFont="1" applyFill="1"/>
    <xf numFmtId="170" fontId="81" fillId="0" borderId="0" xfId="0" applyNumberFormat="1" applyFont="1"/>
    <xf numFmtId="166" fontId="159" fillId="0" borderId="0" xfId="0" applyNumberFormat="1" applyFont="1" applyAlignment="1">
      <alignment horizontal="right"/>
    </xf>
    <xf numFmtId="198" fontId="121" fillId="0" borderId="0" xfId="0" applyNumberFormat="1" applyFont="1" applyAlignment="1">
      <alignment horizontal="left"/>
    </xf>
    <xf numFmtId="191" fontId="121" fillId="0" borderId="0" xfId="0" applyNumberFormat="1" applyFont="1" applyAlignment="1">
      <alignment horizontal="right"/>
    </xf>
    <xf numFmtId="180" fontId="121" fillId="0" borderId="0" xfId="0" applyNumberFormat="1" applyFont="1" applyAlignment="1">
      <alignment horizontal="right"/>
    </xf>
    <xf numFmtId="180" fontId="121" fillId="4" borderId="0" xfId="0" applyNumberFormat="1" applyFont="1" applyFill="1" applyAlignment="1">
      <alignment horizontal="right"/>
    </xf>
    <xf numFmtId="198" fontId="12" fillId="0" borderId="0" xfId="3" applyNumberFormat="1" applyFont="1"/>
    <xf numFmtId="43" fontId="11" fillId="0" borderId="0" xfId="1" applyFont="1" applyFill="1"/>
    <xf numFmtId="6" fontId="20" fillId="4" borderId="0" xfId="4" applyNumberFormat="1" applyFont="1" applyFill="1"/>
    <xf numFmtId="43" fontId="101" fillId="4" borderId="0" xfId="1" applyFont="1" applyFill="1"/>
    <xf numFmtId="186" fontId="101" fillId="4" borderId="0" xfId="4" applyNumberFormat="1" applyFont="1" applyFill="1"/>
    <xf numFmtId="43" fontId="11" fillId="4" borderId="0" xfId="1" applyFont="1" applyFill="1"/>
    <xf numFmtId="8" fontId="11" fillId="4" borderId="0" xfId="4" applyNumberFormat="1" applyFont="1" applyFill="1"/>
    <xf numFmtId="0" fontId="161" fillId="0" borderId="0" xfId="0" applyFont="1"/>
    <xf numFmtId="0" fontId="11" fillId="0" borderId="1" xfId="0" applyNumberFormat="1" applyFont="1" applyBorder="1"/>
    <xf numFmtId="38" fontId="11" fillId="4" borderId="0" xfId="0" applyNumberFormat="1" applyFont="1" applyFill="1"/>
    <xf numFmtId="191" fontId="25" fillId="4" borderId="0" xfId="0" applyNumberFormat="1" applyFont="1" applyFill="1" applyAlignment="1">
      <alignment horizontal="right"/>
    </xf>
    <xf numFmtId="191" fontId="25" fillId="0" borderId="0" xfId="0" applyNumberFormat="1" applyFont="1" applyAlignment="1">
      <alignment horizontal="right"/>
    </xf>
    <xf numFmtId="170" fontId="11" fillId="4" borderId="0" xfId="4" applyNumberFormat="1" applyFont="1" applyFill="1"/>
    <xf numFmtId="193" fontId="11" fillId="0" borderId="0" xfId="1" applyNumberFormat="1" applyFont="1" applyFill="1"/>
    <xf numFmtId="193" fontId="139" fillId="0" borderId="0" xfId="1" applyNumberFormat="1" applyFont="1" applyFill="1"/>
    <xf numFmtId="3" fontId="25" fillId="0" borderId="0" xfId="4" applyNumberFormat="1" applyFont="1"/>
    <xf numFmtId="10" fontId="11" fillId="0" borderId="0" xfId="3" applyNumberFormat="1" applyFont="1"/>
    <xf numFmtId="193" fontId="11" fillId="0" borderId="0" xfId="1" applyNumberFormat="1" applyFont="1" applyAlignment="1">
      <alignment horizontal="right"/>
    </xf>
    <xf numFmtId="191" fontId="162" fillId="0" borderId="0" xfId="0" applyNumberFormat="1" applyFont="1" applyAlignment="1">
      <alignment horizontal="right"/>
    </xf>
    <xf numFmtId="171" fontId="12" fillId="0" borderId="0" xfId="3" applyNumberFormat="1" applyFont="1" applyAlignment="1">
      <alignment horizontal="right"/>
    </xf>
    <xf numFmtId="2" fontId="11" fillId="0" borderId="0" xfId="0" applyNumberFormat="1" applyFont="1" applyAlignment="1">
      <alignment horizontal="right"/>
    </xf>
    <xf numFmtId="166" fontId="13" fillId="0" borderId="0" xfId="0" applyNumberFormat="1" applyFont="1" applyAlignment="1">
      <alignment horizontal="right"/>
    </xf>
    <xf numFmtId="169" fontId="19" fillId="0" borderId="0" xfId="0" applyNumberFormat="1" applyFont="1"/>
    <xf numFmtId="198" fontId="19" fillId="0" borderId="0" xfId="0" applyNumberFormat="1" applyFont="1"/>
    <xf numFmtId="198" fontId="121" fillId="0" borderId="0" xfId="0" applyNumberFormat="1" applyFont="1" applyAlignment="1">
      <alignment horizontal="left" indent="1"/>
    </xf>
    <xf numFmtId="191" fontId="20" fillId="15" borderId="0" xfId="0" applyNumberFormat="1" applyFont="1" applyFill="1" applyAlignment="1">
      <alignment horizontal="right"/>
    </xf>
    <xf numFmtId="180" fontId="162" fillId="0" borderId="0" xfId="0" applyNumberFormat="1" applyFont="1" applyAlignment="1">
      <alignment horizontal="right"/>
    </xf>
    <xf numFmtId="180" fontId="163" fillId="0" borderId="0" xfId="4" applyNumberFormat="1" applyFont="1"/>
    <xf numFmtId="180" fontId="81" fillId="0" borderId="0" xfId="0" applyNumberFormat="1" applyFont="1" applyAlignment="1">
      <alignment horizontal="right"/>
    </xf>
    <xf numFmtId="180" fontId="20" fillId="0" borderId="0" xfId="0" applyNumberFormat="1" applyFont="1" applyAlignment="1">
      <alignment horizontal="right"/>
    </xf>
    <xf numFmtId="180" fontId="12" fillId="0" borderId="0" xfId="0" applyNumberFormat="1" applyFont="1"/>
    <xf numFmtId="180" fontId="81" fillId="4" borderId="0" xfId="0" applyNumberFormat="1" applyFont="1" applyFill="1" applyAlignment="1">
      <alignment horizontal="right"/>
    </xf>
    <xf numFmtId="180" fontId="20" fillId="4" borderId="0" xfId="0" applyNumberFormat="1" applyFont="1" applyFill="1" applyAlignment="1">
      <alignment horizontal="right"/>
    </xf>
    <xf numFmtId="198" fontId="11" fillId="4" borderId="0" xfId="0" applyNumberFormat="1" applyFont="1" applyFill="1" applyAlignment="1">
      <alignment horizontal="right"/>
    </xf>
    <xf numFmtId="180" fontId="162" fillId="4" borderId="0" xfId="0" applyNumberFormat="1" applyFont="1" applyFill="1" applyAlignment="1">
      <alignment horizontal="right"/>
    </xf>
    <xf numFmtId="6" fontId="25" fillId="4" borderId="0" xfId="4" applyNumberFormat="1" applyFont="1" applyFill="1"/>
    <xf numFmtId="5" fontId="11" fillId="0" borderId="0" xfId="2" applyFont="1"/>
    <xf numFmtId="17" fontId="101" fillId="4" borderId="0" xfId="0" applyNumberFormat="1" applyFont="1" applyFill="1" applyAlignment="1">
      <alignment horizontal="right"/>
    </xf>
    <xf numFmtId="166" fontId="101" fillId="4" borderId="0" xfId="4" applyNumberFormat="1" applyFont="1" applyFill="1"/>
    <xf numFmtId="5" fontId="102" fillId="4" borderId="0" xfId="4" applyNumberFormat="1" applyFont="1" applyFill="1"/>
    <xf numFmtId="9" fontId="102" fillId="4" borderId="0" xfId="3" applyFont="1" applyFill="1"/>
    <xf numFmtId="0" fontId="124" fillId="4" borderId="0" xfId="29" applyFont="1" applyFill="1"/>
    <xf numFmtId="6" fontId="123" fillId="4" borderId="0" xfId="29" applyNumberFormat="1" applyFont="1" applyFill="1"/>
    <xf numFmtId="180" fontId="134" fillId="4" borderId="0" xfId="3" applyNumberFormat="1" applyFont="1" applyFill="1"/>
    <xf numFmtId="6" fontId="125" fillId="4" borderId="0" xfId="29" applyNumberFormat="1" applyFont="1" applyFill="1"/>
    <xf numFmtId="180" fontId="125" fillId="4" borderId="0" xfId="3" applyNumberFormat="1" applyFont="1" applyFill="1"/>
    <xf numFmtId="9" fontId="134" fillId="4" borderId="0" xfId="30" applyFont="1" applyFill="1"/>
    <xf numFmtId="184" fontId="125" fillId="4" borderId="0" xfId="30" applyNumberFormat="1" applyFont="1" applyFill="1"/>
    <xf numFmtId="6" fontId="135" fillId="4" borderId="0" xfId="29" applyNumberFormat="1" applyFont="1" applyFill="1"/>
    <xf numFmtId="191" fontId="125" fillId="4" borderId="0" xfId="3" applyNumberFormat="1" applyFont="1" applyFill="1"/>
    <xf numFmtId="6" fontId="124" fillId="4" borderId="0" xfId="29" applyNumberFormat="1" applyFont="1" applyFill="1"/>
    <xf numFmtId="171" fontId="130" fillId="4" borderId="0" xfId="3" applyNumberFormat="1" applyFont="1" applyFill="1"/>
    <xf numFmtId="171" fontId="130" fillId="4" borderId="0" xfId="3" applyNumberFormat="1" applyFont="1" applyFill="1" applyBorder="1"/>
    <xf numFmtId="6" fontId="131" fillId="4" borderId="37" xfId="29" applyNumberFormat="1" applyFont="1" applyFill="1" applyBorder="1"/>
    <xf numFmtId="166" fontId="11" fillId="15" borderId="0" xfId="0" applyNumberFormat="1" applyFont="1" applyFill="1"/>
    <xf numFmtId="191" fontId="20" fillId="4" borderId="0" xfId="0" applyNumberFormat="1" applyFont="1" applyFill="1"/>
    <xf numFmtId="191" fontId="20" fillId="0" borderId="0" xfId="0" applyNumberFormat="1" applyFont="1"/>
    <xf numFmtId="3" fontId="11" fillId="4" borderId="0" xfId="4" applyNumberFormat="1" applyFont="1" applyFill="1"/>
    <xf numFmtId="175" fontId="11" fillId="0" borderId="0" xfId="3" applyNumberFormat="1" applyFont="1" applyFill="1" applyBorder="1"/>
    <xf numFmtId="190" fontId="12" fillId="0" borderId="45" xfId="3" applyNumberFormat="1" applyFont="1" applyBorder="1"/>
    <xf numFmtId="38" fontId="121" fillId="0" borderId="0" xfId="4" applyNumberFormat="1" applyFont="1"/>
    <xf numFmtId="190" fontId="121" fillId="0" borderId="0" xfId="3" applyNumberFormat="1" applyFont="1" applyBorder="1"/>
    <xf numFmtId="193" fontId="15" fillId="0" borderId="0" xfId="1" applyNumberFormat="1" applyFont="1" applyFill="1"/>
    <xf numFmtId="4" fontId="11" fillId="4" borderId="0" xfId="0" applyNumberFormat="1" applyFont="1" applyFill="1" applyAlignment="1">
      <alignment horizontal="centerContinuous"/>
    </xf>
    <xf numFmtId="193" fontId="139" fillId="4" borderId="0" xfId="1" applyNumberFormat="1" applyFont="1" applyFill="1"/>
    <xf numFmtId="1" fontId="11" fillId="4" borderId="0" xfId="4" applyNumberFormat="1" applyFont="1" applyFill="1"/>
    <xf numFmtId="186" fontId="11" fillId="4" borderId="0" xfId="4" applyNumberFormat="1" applyFont="1" applyFill="1"/>
    <xf numFmtId="4" fontId="20" fillId="4" borderId="0" xfId="4" applyNumberFormat="1" applyFont="1" applyFill="1"/>
    <xf numFmtId="4" fontId="11" fillId="0" borderId="1" xfId="0" applyNumberFormat="1" applyFont="1" applyBorder="1" applyAlignment="1">
      <alignment horizontal="center"/>
    </xf>
    <xf numFmtId="0" fontId="11" fillId="0" borderId="1" xfId="0" applyNumberFormat="1" applyFont="1" applyBorder="1" applyAlignment="1">
      <alignment horizontal="center"/>
    </xf>
    <xf numFmtId="0" fontId="101" fillId="0" borderId="37" xfId="0" applyFont="1" applyBorder="1" applyAlignment="1">
      <alignment horizontal="center"/>
    </xf>
    <xf numFmtId="0" fontId="101" fillId="0" borderId="1" xfId="0" applyFont="1" applyBorder="1" applyAlignment="1">
      <alignment horizontal="center"/>
    </xf>
    <xf numFmtId="0" fontId="11" fillId="0" borderId="37" xfId="0" applyNumberFormat="1" applyFont="1" applyBorder="1" applyAlignment="1">
      <alignment horizontal="center"/>
    </xf>
    <xf numFmtId="4" fontId="11" fillId="0" borderId="0" xfId="0" applyNumberFormat="1" applyFont="1" applyAlignment="1">
      <alignment horizontal="center"/>
    </xf>
    <xf numFmtId="0" fontId="11" fillId="0" borderId="1" xfId="0" applyFont="1" applyBorder="1" applyAlignment="1">
      <alignment horizontal="center"/>
    </xf>
    <xf numFmtId="0" fontId="11" fillId="0" borderId="37" xfId="0" applyFont="1" applyBorder="1" applyAlignment="1">
      <alignment horizontal="center"/>
    </xf>
    <xf numFmtId="0" fontId="123" fillId="4" borderId="0" xfId="0" applyFont="1" applyFill="1" applyAlignment="1">
      <alignment horizontal="center"/>
    </xf>
    <xf numFmtId="0" fontId="45" fillId="10" borderId="29" xfId="19" applyFont="1" applyFill="1" applyBorder="1" applyAlignment="1">
      <alignment horizontal="center" vertical="center"/>
    </xf>
    <xf numFmtId="0" fontId="45" fillId="10" borderId="7" xfId="19" applyFont="1" applyFill="1" applyBorder="1" applyAlignment="1">
      <alignment horizontal="center" vertical="center"/>
    </xf>
    <xf numFmtId="0" fontId="38" fillId="3" borderId="9" xfId="19" applyFont="1" applyFill="1" applyBorder="1" applyAlignment="1">
      <alignment horizontal="center" vertical="center"/>
    </xf>
    <xf numFmtId="0" fontId="38" fillId="3" borderId="14" xfId="19" applyFont="1" applyFill="1" applyBorder="1" applyAlignment="1">
      <alignment horizontal="center" vertical="center"/>
    </xf>
    <xf numFmtId="0" fontId="38" fillId="3" borderId="22" xfId="19" applyFont="1" applyFill="1" applyBorder="1" applyAlignment="1">
      <alignment horizontal="center" vertical="center"/>
    </xf>
    <xf numFmtId="0" fontId="37" fillId="8" borderId="10" xfId="19" applyFont="1" applyFill="1" applyBorder="1" applyAlignment="1">
      <alignment horizontal="center"/>
    </xf>
    <xf numFmtId="0" fontId="37" fillId="8" borderId="8" xfId="19" applyFont="1" applyFill="1" applyBorder="1" applyAlignment="1">
      <alignment horizontal="center"/>
    </xf>
    <xf numFmtId="0" fontId="37" fillId="8" borderId="11" xfId="19" applyFont="1" applyFill="1" applyBorder="1" applyAlignment="1">
      <alignment horizontal="center"/>
    </xf>
    <xf numFmtId="0" fontId="37" fillId="8" borderId="15" xfId="19" applyFont="1" applyFill="1" applyBorder="1" applyAlignment="1">
      <alignment horizontal="center"/>
    </xf>
    <xf numFmtId="0" fontId="37" fillId="8" borderId="0" xfId="19" applyFont="1" applyFill="1" applyAlignment="1">
      <alignment horizontal="center"/>
    </xf>
    <xf numFmtId="0" fontId="37" fillId="8" borderId="16" xfId="19" applyFont="1" applyFill="1" applyBorder="1" applyAlignment="1">
      <alignment horizontal="center"/>
    </xf>
    <xf numFmtId="0" fontId="37" fillId="8" borderId="23" xfId="19" applyFont="1" applyFill="1" applyBorder="1" applyAlignment="1">
      <alignment horizontal="center"/>
    </xf>
    <xf numFmtId="0" fontId="37" fillId="8" borderId="21" xfId="19" applyFont="1" applyFill="1" applyBorder="1" applyAlignment="1">
      <alignment horizontal="center"/>
    </xf>
    <xf numFmtId="0" fontId="37" fillId="8" borderId="24" xfId="19" applyFont="1" applyFill="1" applyBorder="1" applyAlignment="1">
      <alignment horizontal="center"/>
    </xf>
    <xf numFmtId="0" fontId="46" fillId="10" borderId="10" xfId="20" applyFont="1" applyFill="1" applyBorder="1" applyAlignment="1">
      <alignment horizontal="left"/>
    </xf>
    <xf numFmtId="0" fontId="46" fillId="10" borderId="8" xfId="20" applyFont="1" applyFill="1" applyBorder="1" applyAlignment="1">
      <alignment horizontal="left"/>
    </xf>
    <xf numFmtId="0" fontId="46" fillId="10" borderId="11" xfId="20" applyFont="1" applyFill="1" applyBorder="1" applyAlignment="1">
      <alignment horizontal="left"/>
    </xf>
    <xf numFmtId="0" fontId="55" fillId="4" borderId="19" xfId="21" applyFont="1" applyFill="1" applyBorder="1" applyAlignment="1">
      <alignment horizontal="center"/>
    </xf>
    <xf numFmtId="0" fontId="55" fillId="4" borderId="31" xfId="21" applyFont="1" applyFill="1" applyBorder="1" applyAlignment="1">
      <alignment horizontal="center"/>
    </xf>
    <xf numFmtId="0" fontId="55" fillId="4" borderId="39" xfId="21" applyFont="1" applyFill="1" applyBorder="1" applyAlignment="1">
      <alignment horizontal="center"/>
    </xf>
    <xf numFmtId="0" fontId="55" fillId="4" borderId="40" xfId="21" applyFont="1" applyFill="1" applyBorder="1" applyAlignment="1">
      <alignment horizontal="center"/>
    </xf>
    <xf numFmtId="0" fontId="55" fillId="4" borderId="41" xfId="21" applyFont="1" applyFill="1" applyBorder="1" applyAlignment="1">
      <alignment horizontal="center"/>
    </xf>
    <xf numFmtId="0" fontId="55" fillId="4" borderId="32" xfId="21" applyFont="1" applyFill="1" applyBorder="1" applyAlignment="1">
      <alignment horizontal="center"/>
    </xf>
    <xf numFmtId="0" fontId="55" fillId="4" borderId="21" xfId="21" applyFont="1" applyFill="1" applyBorder="1" applyAlignment="1">
      <alignment horizontal="center"/>
    </xf>
    <xf numFmtId="0" fontId="55" fillId="4" borderId="24" xfId="21" applyFont="1" applyFill="1" applyBorder="1" applyAlignment="1">
      <alignment horizontal="center"/>
    </xf>
    <xf numFmtId="0" fontId="37" fillId="4" borderId="30" xfId="20" applyFont="1" applyFill="1" applyBorder="1" applyAlignment="1">
      <alignment horizontal="center"/>
    </xf>
    <xf numFmtId="0" fontId="37" fillId="4" borderId="18" xfId="20" applyFont="1" applyFill="1" applyBorder="1" applyAlignment="1">
      <alignment horizontal="center"/>
    </xf>
    <xf numFmtId="0" fontId="37" fillId="4" borderId="31" xfId="20" applyFont="1" applyFill="1" applyBorder="1" applyAlignment="1">
      <alignment horizontal="center"/>
    </xf>
    <xf numFmtId="0" fontId="37" fillId="4" borderId="20" xfId="20" applyFont="1" applyFill="1" applyBorder="1" applyAlignment="1">
      <alignment horizontal="center"/>
    </xf>
    <xf numFmtId="4" fontId="34" fillId="0" borderId="0" xfId="0" applyNumberFormat="1" applyFont="1" applyAlignment="1">
      <alignment horizontal="center"/>
    </xf>
    <xf numFmtId="4" fontId="147" fillId="14" borderId="0" xfId="4" applyNumberFormat="1" applyFont="1" applyFill="1" applyAlignment="1">
      <alignment horizontal="center"/>
    </xf>
    <xf numFmtId="0" fontId="142" fillId="4" borderId="0" xfId="0" applyFont="1" applyFill="1" applyAlignment="1">
      <alignment horizontal="center"/>
    </xf>
    <xf numFmtId="207" fontId="141" fillId="14" borderId="0" xfId="0" applyNumberFormat="1" applyFont="1" applyFill="1" applyAlignment="1">
      <alignment horizontal="center"/>
    </xf>
    <xf numFmtId="0" fontId="141" fillId="14" borderId="0" xfId="0" applyFont="1" applyFill="1" applyAlignment="1">
      <alignment horizontal="center"/>
    </xf>
  </cellXfs>
  <cellStyles count="62">
    <cellStyle name="******************************************" xfId="10" xr:uid="{00000000-0005-0000-0000-000000000000}"/>
    <cellStyle name="AFE 2" xfId="31" xr:uid="{D961ED59-4F6F-4319-95C6-C149B9BD934B}"/>
    <cellStyle name="ArialNormal" xfId="6" xr:uid="{00000000-0005-0000-0000-000001000000}"/>
    <cellStyle name="Comma" xfId="1" builtinId="3"/>
    <cellStyle name="Comma 10" xfId="46" xr:uid="{5AFA1169-FB88-4438-A353-1E694AAFD802}"/>
    <cellStyle name="Comma 2" xfId="13" xr:uid="{00000000-0005-0000-0000-000003000000}"/>
    <cellStyle name="Comma 2 2" xfId="16" xr:uid="{00000000-0005-0000-0000-000004000000}"/>
    <cellStyle name="Comma 2 3" xfId="45" xr:uid="{EFA30590-0A8D-49F7-83E2-6FDD82366088}"/>
    <cellStyle name="Comma 3" xfId="28" xr:uid="{00000000-0005-0000-0000-000005000000}"/>
    <cellStyle name="Comma 3 2" xfId="47" xr:uid="{167E7C60-F4FC-488E-8B43-75DBDD80DB39}"/>
    <cellStyle name="Comma 4" xfId="32" xr:uid="{C45A5061-2DB9-4C64-AC7C-7A182C5023C9}"/>
    <cellStyle name="Comma 4 2" xfId="35" xr:uid="{B29C92DB-A1ED-42F0-865A-90642F4FF3C4}"/>
    <cellStyle name="Comma 4 2 2" xfId="48" xr:uid="{E1375186-ADE3-4016-ACD5-B2FE33F0CF3E}"/>
    <cellStyle name="Comma 4 3" xfId="49" xr:uid="{6E5332CF-6B22-44A4-8852-F91822E246AC}"/>
    <cellStyle name="Comma_BKS" xfId="39" xr:uid="{54B2DB0E-1DA9-4BD8-BE30-402641445519}"/>
    <cellStyle name="Currency" xfId="2" builtinId="4"/>
    <cellStyle name="Currency 2" xfId="17" xr:uid="{00000000-0005-0000-0000-000007000000}"/>
    <cellStyle name="Currency 3" xfId="27" xr:uid="{00000000-0005-0000-0000-000008000000}"/>
    <cellStyle name="Currency 3 2" xfId="50" xr:uid="{419FAA77-CA53-4104-B556-7A8342C7C327}"/>
    <cellStyle name="Currency 4" xfId="33" xr:uid="{78EB2524-EFE8-4DB2-B205-0D45121BFD87}"/>
    <cellStyle name="Currency 4 2" xfId="51" xr:uid="{2E995216-A329-4705-913B-EF690D20A709}"/>
    <cellStyle name="Euro" xfId="7" xr:uid="{00000000-0005-0000-0000-000009000000}"/>
    <cellStyle name="Hyperlink 2" xfId="40" xr:uid="{39F731F3-0EAB-4FAB-B5C8-9375A9FD476D}"/>
    <cellStyle name="Hyperlink 3" xfId="23" xr:uid="{00000000-0005-0000-0000-00000B000000}"/>
    <cellStyle name="Normal" xfId="0" builtinId="0"/>
    <cellStyle name="Normal 2" xfId="11" xr:uid="{00000000-0005-0000-0000-00000D000000}"/>
    <cellStyle name="Normal 2 2" xfId="15" xr:uid="{00000000-0005-0000-0000-00000E000000}"/>
    <cellStyle name="Normal 2 3" xfId="42" xr:uid="{035143A8-73C4-49DC-BAE1-5E7FBB058362}"/>
    <cellStyle name="Normal 3" xfId="12" xr:uid="{00000000-0005-0000-0000-00000F000000}"/>
    <cellStyle name="Normal 3 2" xfId="18" xr:uid="{00000000-0005-0000-0000-000010000000}"/>
    <cellStyle name="Normal 3 2 2 2" xfId="22" xr:uid="{00000000-0005-0000-0000-000011000000}"/>
    <cellStyle name="Normal 3 2 4" xfId="19" xr:uid="{00000000-0005-0000-0000-000012000000}"/>
    <cellStyle name="Normal 3 3" xfId="52" xr:uid="{3F4FCBE3-E463-4660-99EB-CAB0F36602FE}"/>
    <cellStyle name="Normal 4" xfId="25" xr:uid="{00000000-0005-0000-0000-000013000000}"/>
    <cellStyle name="Normal 4 2" xfId="53" xr:uid="{44DC69BF-34B8-4E87-9C55-49133EF3F7C9}"/>
    <cellStyle name="Normal 4 3" xfId="24" xr:uid="{00000000-0005-0000-0000-000014000000}"/>
    <cellStyle name="Normal 5" xfId="20" xr:uid="{00000000-0005-0000-0000-000015000000}"/>
    <cellStyle name="Normal 6" xfId="29" xr:uid="{C596450B-D8B6-4068-A8DD-6E691873B2EF}"/>
    <cellStyle name="Normal 6 2" xfId="37" xr:uid="{5864CAD7-A460-4502-A6CA-4C95BA05A7E9}"/>
    <cellStyle name="Normal 6 2 2" xfId="54" xr:uid="{FBF22542-DCA3-4F65-B220-52999B0BD6DA}"/>
    <cellStyle name="Normal 6 3" xfId="55" xr:uid="{4C249A1B-C818-4250-A2C3-8626F8FA90DE}"/>
    <cellStyle name="Normal 6 3 2" xfId="60" xr:uid="{B3FB33B8-A5ED-450D-B8C3-B03074085339}"/>
    <cellStyle name="Normal 7" xfId="21" xr:uid="{00000000-0005-0000-0000-000016000000}"/>
    <cellStyle name="Normal 7 3" xfId="41" xr:uid="{FA9C95C3-D5EA-402E-90FD-AB2654F98A53}"/>
    <cellStyle name="Normal 8" xfId="34" xr:uid="{5F378E93-2A97-4793-8932-EB9064A52FF8}"/>
    <cellStyle name="Normal_2003 Option Figures (model) (BOA)" xfId="5" xr:uid="{00000000-0005-0000-0000-000017000000}"/>
    <cellStyle name="Normal_Worksheet1" xfId="4" xr:uid="{00000000-0005-0000-0000-000019000000}"/>
    <cellStyle name="OutputPlain" xfId="8" xr:uid="{00000000-0005-0000-0000-00001A000000}"/>
    <cellStyle name="Percent" xfId="3" builtinId="5"/>
    <cellStyle name="Percent 10" xfId="44" xr:uid="{E915E23E-5A06-4765-8016-7AEEE5EF556B}"/>
    <cellStyle name="Percent 2" xfId="14" xr:uid="{00000000-0005-0000-0000-00001C000000}"/>
    <cellStyle name="Percent 2 2" xfId="43" xr:uid="{3BEECC81-E55C-4E10-A187-35E63D3BF1C8}"/>
    <cellStyle name="Percent 3" xfId="26" xr:uid="{00000000-0005-0000-0000-00001D000000}"/>
    <cellStyle name="Percent 3 2" xfId="56" xr:uid="{D4D72F7B-30D1-412D-884B-3D3466D65B35}"/>
    <cellStyle name="Percent 4" xfId="30" xr:uid="{C115F148-A02B-41ED-A06B-160730122145}"/>
    <cellStyle name="Percent 4 2" xfId="36" xr:uid="{55C234CF-01AE-4172-8438-04DFE0091F45}"/>
    <cellStyle name="Percent 4 2 2" xfId="57" xr:uid="{2E40496E-23E7-4757-97FA-29541942A965}"/>
    <cellStyle name="Percent 4 3" xfId="38" xr:uid="{719CFCC5-45AC-4CFB-BE4F-008C665F36ED}"/>
    <cellStyle name="Percent 4 3 2" xfId="58" xr:uid="{BCAEF634-6378-4979-9626-C390D7C6023C}"/>
    <cellStyle name="Percent 4 4" xfId="59" xr:uid="{81B8A8B5-8CBD-4AF2-BE7C-7D68D2BF0A44}"/>
    <cellStyle name="Percent 4 5" xfId="61" xr:uid="{01CDDE80-21E4-446A-A681-012DCFC7F399}"/>
    <cellStyle name="Style 1" xfId="9" xr:uid="{00000000-0005-0000-0000-00001E000000}"/>
  </cellStyles>
  <dxfs count="0"/>
  <tableStyles count="0" defaultTableStyle="TableStyleMedium9" defaultPivotStyle="PivotStyleLight16"/>
  <colors>
    <mruColors>
      <color rgb="FF0000FF"/>
      <color rgb="FF92CDDC"/>
      <color rgb="FFFF9900"/>
      <color rgb="FFFF6600"/>
      <color rgb="FFCCCCFF"/>
      <color rgb="FFFFFFFF"/>
      <color rgb="FF2537E7"/>
      <color rgb="FF0E3F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2.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9" Type="http://schemas.openxmlformats.org/officeDocument/2006/relationships/externalLink" Target="externalLinks/externalLink15.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externalLink" Target="externalLinks/externalLink39.xml"/><Relationship Id="rId58" Type="http://schemas.openxmlformats.org/officeDocument/2006/relationships/externalLink" Target="externalLinks/externalLink44.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externalLink" Target="externalLinks/externalLink5.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56" Type="http://schemas.openxmlformats.org/officeDocument/2006/relationships/externalLink" Target="externalLinks/externalLink42.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59" Type="http://schemas.openxmlformats.org/officeDocument/2006/relationships/theme" Target="theme/theme1.xml"/><Relationship Id="rId67" Type="http://schemas.openxmlformats.org/officeDocument/2006/relationships/customXml" Target="../customXml/item4.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externalLink" Target="externalLinks/externalLink40.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 Id="rId57" Type="http://schemas.openxmlformats.org/officeDocument/2006/relationships/externalLink" Target="externalLinks/externalLink43.xml"/><Relationship Id="rId10" Type="http://schemas.openxmlformats.org/officeDocument/2006/relationships/worksheet" Target="worksheets/sheet10.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externalLink" Target="externalLinks/externalLink38.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28575</xdr:colOff>
      <xdr:row>0</xdr:row>
      <xdr:rowOff>85725</xdr:rowOff>
    </xdr:from>
    <xdr:to>
      <xdr:col>10</xdr:col>
      <xdr:colOff>562565</xdr:colOff>
      <xdr:row>2</xdr:row>
      <xdr:rowOff>139700</xdr:rowOff>
    </xdr:to>
    <xdr:pic>
      <xdr:nvPicPr>
        <xdr:cNvPr id="5" name="Picture 4" descr="Jefferies_Logo_Black.emf">
          <a:extLst>
            <a:ext uri="{FF2B5EF4-FFF2-40B4-BE49-F238E27FC236}">
              <a16:creationId xmlns:a16="http://schemas.microsoft.com/office/drawing/2014/main" id="{0DBF3E59-D9A7-42C8-BF81-C783E527EC1D}"/>
            </a:ext>
          </a:extLst>
        </xdr:cNvPr>
        <xdr:cNvPicPr>
          <a:picLocks noChangeAspect="1"/>
        </xdr:cNvPicPr>
      </xdr:nvPicPr>
      <xdr:blipFill>
        <a:blip xmlns:r="http://schemas.openxmlformats.org/officeDocument/2006/relationships" r:embed="rId1" cstate="print"/>
        <a:stretch>
          <a:fillRect/>
        </a:stretch>
      </xdr:blipFill>
      <xdr:spPr>
        <a:xfrm>
          <a:off x="5400675" y="85725"/>
          <a:ext cx="1750015" cy="381000"/>
        </a:xfrm>
        <a:prstGeom prst="rect">
          <a:avLst/>
        </a:prstGeom>
      </xdr:spPr>
    </xdr:pic>
    <xdr:clientData/>
  </xdr:twoCellAnchor>
  <xdr:oneCellAnchor>
    <xdr:from>
      <xdr:col>0</xdr:col>
      <xdr:colOff>161925</xdr:colOff>
      <xdr:row>33</xdr:row>
      <xdr:rowOff>5830</xdr:rowOff>
    </xdr:from>
    <xdr:ext cx="7191375" cy="4026936"/>
    <xdr:sp macro="" textlink="">
      <xdr:nvSpPr>
        <xdr:cNvPr id="6" name="TextBox 5">
          <a:extLst>
            <a:ext uri="{FF2B5EF4-FFF2-40B4-BE49-F238E27FC236}">
              <a16:creationId xmlns:a16="http://schemas.microsoft.com/office/drawing/2014/main" id="{98591947-A565-4337-B613-0E69B61BB5C4}"/>
            </a:ext>
          </a:extLst>
        </xdr:cNvPr>
        <xdr:cNvSpPr txBox="1"/>
      </xdr:nvSpPr>
      <xdr:spPr>
        <a:xfrm>
          <a:off x="161925" y="3882505"/>
          <a:ext cx="7191375" cy="4026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45720" rIns="45720" rtlCol="0" anchor="ctr">
          <a:spAutoFit/>
        </a:bodyPr>
        <a:lstStyle/>
        <a:p>
          <a:r>
            <a:rPr lang="en-US" sz="700" b="0" i="0">
              <a:solidFill>
                <a:schemeClr val="tx1"/>
              </a:solidFill>
              <a:effectLst/>
              <a:latin typeface="ITC Stone Sans Com Medium" panose="02000603060000020004" pitchFamily="2" charset="0"/>
              <a:ea typeface="+mn-ea"/>
              <a:cs typeface="+mn-cs"/>
            </a:rPr>
            <a:t>This material was prepared by personnel who are associated with Jefferies (Jefferies International Limited, Jefferies Hong Kong Limited, Jefferies Singapore Limited, Jefferies (Japan) Limited, Tokyo Branch, Jefferies India Private Limited, Jefferies (Australia) Pty Ltd); or by personnel who are associated with both Jefferies LLC and Jefferies Research Services LLC (“JRS”). Jefferies LLC is a US registered broker-dealer and is affiliated with JRS, which is a US registered investment adviser. JRS does not create tailored or personalized research and all research provided by JRS is impersonal. If you are paying separately for this research, it is being provided to you by JRS. Otherwise, it is being provided by Jefferies LLC. Jefferies LLC, JRS, and their affiliates are collectively referred to below as “Jefferies”. The information upon which this material is based was obtained from sources believed to be reliable, but has not been independently verified, therefore, we do not guarantee its accuracy. Additional and supporting information is available upon request. This is not an offer or solicitation of an offer to buy or sell any security or investment. Any opinion or estimates constitute our best judgment as of this date, and are subject to change without notice. Members of Jefferies and their respective directors, officers and employees may buy or sell securities mentioned herein as agent or principal for their own account. Upon request members of Jefferies may provide specialized research products or services to certain customers focusing on the prospects for individual covered stocks as compared to other covered stocks over varying time horizons or under differing market conditions. While the views expressed in these situations may not always be directionally consistent with the long-term views expressed in the analyst's published research, the analyst has a reasonable basis and any inconsistencies can be reasonably explained. In Australia, this report may contain general advice. Where this report refers to a particular financial product, you should obtain a copy of the relevant product disclosure statement or offer document before making any decision in relation to the product. This report may contain forward looking statements that may be affected by inaccurate assumptions or by known or unknown risks, uncertainties and other important factors. As a result, the actual results, events, performance or achievements of the financial product may be materially different from those expressed or implied in such statements. Past performance is not indicative of future performance. </a:t>
          </a:r>
        </a:p>
        <a:p>
          <a:endParaRPr lang="en-US" sz="700" b="0" i="0">
            <a:solidFill>
              <a:schemeClr val="tx1"/>
            </a:solidFill>
            <a:effectLst/>
            <a:latin typeface="ITC Stone Sans Com Medium" panose="02000603060000020004" pitchFamily="2" charset="0"/>
            <a:ea typeface="+mn-ea"/>
            <a:cs typeface="+mn-cs"/>
          </a:endParaRPr>
        </a:p>
        <a:p>
          <a:r>
            <a:rPr lang="en-US" sz="700" b="0" i="0">
              <a:solidFill>
                <a:schemeClr val="tx1"/>
              </a:solidFill>
              <a:effectLst/>
              <a:latin typeface="ITC Stone Sans Com Medium" panose="02000603060000020004" pitchFamily="2" charset="0"/>
              <a:ea typeface="+mn-ea"/>
              <a:cs typeface="+mn-cs"/>
            </a:rPr>
            <a:t>This report/model may contain information obtained from third parties, including ratings from credit ratings agencies such as Standard &amp; Poor’s. Reproduction and distribution of third party content in any form is prohibited except with the prior written permission of the applicable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do not provide any express or implied warranties, including, but not limited to, any warranties of merchantability or fitness for a particular purpose or use. Third party content providers are not liable for any direct, indirect, incidental, exemplary, compensatory, punitive, special or consequential damages, costs, expenses, legal fees, or losses (including lost income or profits and opportunity costs) in connection with any use of their content, including ratings. Credit ratings are statements of opinions and are not statements of fact or recommendations to purchase, hold or sell</a:t>
          </a:r>
          <a:r>
            <a:rPr lang="en-US" sz="700" b="0" i="0" baseline="0">
              <a:solidFill>
                <a:schemeClr val="tx1"/>
              </a:solidFill>
              <a:effectLst/>
              <a:latin typeface="ITC Stone Sans Com Medium" panose="02000603060000020004" pitchFamily="2" charset="0"/>
              <a:ea typeface="+mn-ea"/>
              <a:cs typeface="+mn-cs"/>
            </a:rPr>
            <a:t> </a:t>
          </a:r>
          <a:r>
            <a:rPr lang="en-US" sz="700" b="0" i="0">
              <a:solidFill>
                <a:schemeClr val="tx1"/>
              </a:solidFill>
              <a:effectLst/>
              <a:latin typeface="ITC Stone Sans Com Medium" panose="02000603060000020004" pitchFamily="2" charset="0"/>
              <a:ea typeface="+mn-ea"/>
              <a:cs typeface="+mn-cs"/>
            </a:rPr>
            <a:t>securities. Such credit ratings do not address the suitability of securities or the suitability of securities for investment purposes, and should not be relied on as investment advice.</a:t>
          </a:r>
        </a:p>
        <a:p>
          <a:endParaRPr lang="en-US" sz="700" b="0" i="0">
            <a:solidFill>
              <a:schemeClr val="tx1"/>
            </a:solidFill>
            <a:effectLst/>
            <a:latin typeface="ITC Stone Sans Com Medium" panose="02000603060000020004" pitchFamily="2" charset="0"/>
            <a:ea typeface="+mn-ea"/>
            <a:cs typeface="+mn-cs"/>
          </a:endParaRPr>
        </a:p>
        <a:p>
          <a:r>
            <a:rPr lang="en-US" sz="700" b="0" i="0">
              <a:solidFill>
                <a:schemeClr val="tx1"/>
              </a:solidFill>
              <a:effectLst/>
              <a:latin typeface="ITC Stone Sans Com Medium" panose="02000603060000020004" pitchFamily="2" charset="0"/>
              <a:ea typeface="+mn-ea"/>
              <a:cs typeface="+mn-cs"/>
            </a:rPr>
            <a:t>This report/model or any portion hereof may not be reprinted, sold or redistributed without the written consent of Jefferies or its affiliates. Neither Jefferies or its affiliates nor any officer nor employee of Jefferies or its affiliates accepts any liability whatsoever for any direct, indirect or consequential damages or losses of any kind arising from any use of this report/model or its contents.</a:t>
          </a:r>
        </a:p>
        <a:p>
          <a:endParaRPr lang="en-US" sz="700" b="0" i="0">
            <a:solidFill>
              <a:schemeClr val="tx1"/>
            </a:solidFill>
            <a:effectLst/>
            <a:latin typeface="ITC Stone Sans Com Medium" panose="02000603060000020004" pitchFamily="2" charset="0"/>
            <a:ea typeface="+mn-ea"/>
            <a:cs typeface="+mn-cs"/>
          </a:endParaRPr>
        </a:p>
        <a:p>
          <a:r>
            <a:rPr lang="en-US" sz="700" b="0" i="0">
              <a:solidFill>
                <a:schemeClr val="tx1"/>
              </a:solidFill>
              <a:effectLst/>
              <a:latin typeface="ITC Stone Sans Com Medium" panose="02000603060000020004" pitchFamily="2" charset="0"/>
              <a:ea typeface="+mn-ea"/>
              <a:cs typeface="+mn-cs"/>
            </a:rPr>
            <a:t>For Important Disclosure information, please visit our website at https://javatar.bluematrix.com/sellside/Disclosures.action or call 1.888.JEFFERIES.</a:t>
          </a:r>
        </a:p>
        <a:p>
          <a:endParaRPr lang="en-US" sz="650">
            <a:latin typeface="ITC Stone Sans Com Medium" panose="02000603060000020004" pitchFamily="2"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ycmvifl26a\OILSD\E&amp;PS\OXY\MODELS\OXY_Current.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cuments%20and%20Settings/u313452/Local%20Settings/Temporary%20Internet%20Files/Content.Outlook/XSQUD92Y/DOCUME~1/F016121/LOCALS~1/Temp/notesFB961F/CHEMICAL/DMACDOUG/CRANE/CRANEMOD.xls" TargetMode="External"/><Relationship Id="rId1" Type="http://schemas.openxmlformats.org/officeDocument/2006/relationships/externalLinkPath" Target="/Documents%20and%20Settings/u313452/Local%20Settings/Temporary%20Internet%20Files/Content.Outlook/XSQUD92Y/DOCUME~1/F016121/LOCALS~1/Temp/notesFB961F/CHEMICAL/DMACDOUG/CRANE/CRANEMO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ternal.leerink.com\BOS\Documents%20and%20Settings\seamusf\Desktop\Models\bmyQ2-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TEMP\msft_VDF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TEMP\msft_VDF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d.jefco.com\Research\TEMP\msft_VDF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rawats.rsch.ml.com/TEMP/msft_VDF9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vatar.bluematrix.com/msft_VDF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Oils\MODELS\AH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Equity%20Research\Healthcare\Wood_J\Research_Supplies_Services_Sectors\Research_Supply_Expansion\SIAL_QTRS_Figur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Equity%20Research\Healthcare\Wood_J\Research_Supplies_Services_Sectors\Research_Supply_Expansion\SIAL_QTRS_Figur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jefco.com\Research\Equity%20Research\Healthcare\Wood_J\Research_Supplies_Services_Sectors\Research_Supply_Expansion\SIAL_QTRS_Figures.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TEMP/DropOL/CHEMICAL/STusa/IR/Models/cat.xls" TargetMode="External"/><Relationship Id="rId1" Type="http://schemas.openxmlformats.org/officeDocument/2006/relationships/externalLinkPath" Target="/TEMP/DropOL/CHEMICAL/STusa/IR/Models/cat.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ocuments%20and%20Settings/u313452/Local%20Settings/Temporary%20Internet%20Files/Content.Outlook/XSQUD92Y/DOCUME~1/PHILGR~1/LOCALS~1/Temp/Etn.xls" TargetMode="External"/><Relationship Id="rId1" Type="http://schemas.openxmlformats.org/officeDocument/2006/relationships/externalLinkPath" Target="/Documents%20and%20Settings/u313452/Local%20Settings/Temporary%20Internet%20Files/Content.Outlook/XSQUD92Y/DOCUME~1/PHILGR~1/LOCALS~1/Temp/Et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nycmvifl26a\OILSD\E&amp;PS\BR\MODELS\BR_Current.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R578544/Desktop/Archive/Tools%20Workbook%20(Autosaved)%20v2..xlsx" TargetMode="External"/><Relationship Id="rId1" Type="http://schemas.openxmlformats.org/officeDocument/2006/relationships/externalLinkPath" Target="/Users/R578544/Desktop/Archive/Tools%20Workbook%20(Autosaved)%20v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ternal.leerink.com\BOS\Documents%20and%20Settings\susannam\Local%20Settings\Temp\apo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Oils\MODELS\Phillip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prschgroup01\OILSD\program%20files\cadvision\attach\JH-R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nternal.leerink.com\bos\Phamra%20Share\Models\LLY\LLY-post1Q07workin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prschgroup01\OILSD\Models\aablanka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Documents%20and%20Settings\dcazachk\Local%20Settings\Temporary%20Internet%20Files\OLKF4\XRAY_Mode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d.jefco.com\Research\Temp\wz6226\Updated_Models\GPRO_Mode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Documents%20and%20Settings\spadua\Local%20Settings\Temporary%20Internet%20Files\OLK1D\XRAY_Mode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nternal.leerink.com\BOS\Documents%20and%20Settings\FernandS\Desktop\ROIC%2010-K's\llyQ1-0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W:\Documents%20and%20Settings\spadua\Local%20Settings\Temporary%20Internet%20Files\OLK1D\CVD_Mode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jefco.com\Research\Temp\wz6226\Updated_Models\XRAY_Mode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ileserver\FS07\NY\Wood\Models\PKI_Model.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d.jefco.com\Research\Users\hunterlgray\Documents\Sheet1"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Oils\MODELS\Exxo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ternal.leerink.com\BOS\Documents%20and%20Settings\FernandS\Desktop\mrk1-05a.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nternal.leerink.com\bos\Research\Research%20Reports\Research%20Notes%20For%20Editor\Models\MRK.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jbye/AppData/Local/Temp/2tjl04vy/Maravai%20Op%20Model%20(Proj.%20Marina)_v39.xlsx" TargetMode="External"/><Relationship Id="rId1" Type="http://schemas.openxmlformats.org/officeDocument/2006/relationships/externalLinkPath" Target="/Users/jbye/AppData/Local/Temp/2tjl04vy/Maravai%20Op%20Model%20(Proj.%20Marina)_v39.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nycmvifl26a\OILSD\E&amp;PS\APA\MODELS\Models2\APA_Curren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nternal.leerink.com\BOS\Documents%20and%20Settings\FernandS\Desktop\ROIC%2010-K's\TARO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ternal.leerink.com\bos\Phamra%20Share\Seamus'%20Stuff\USB%20Disk%201\ROIC%2010-K's\WYEQ2-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nycmvifl26a\OILSD\E&amp;PS\SGY\models\SGY_Curren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nycmvifl26a\OILSD\E&amp;PS\COG\Models\COG_Current.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Startup" Target="E&amp;PS/EOG/MODELS/EOG%203Q00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G:\Documents%20and%20Settings\bcouillard\Desktop\Models\TMO_Mode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Z:\Documents%20and%20Settings\bcouillard\Desktop\Models\XRAY_Mode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jefco.com\Research\Documents%20and%20Settings\bcouillard\Desktop\Models\TMO_Model.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TEMP/DropOL/CHEMICAL/STusa/IR/DI%20models/ITW.xls" TargetMode="External"/><Relationship Id="rId1" Type="http://schemas.openxmlformats.org/officeDocument/2006/relationships/externalLinkPath" Target="/TEMP/DropOL/CHEMICAL/STusa/IR/DI%20models/ITW.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ileserver\FS07\NY\Wood\Vettings\LumiraDx\LumiraDx_Model_New_0922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US_CoreIndustrials"/>
      <sheetName val="OXY"/>
      <sheetName val="CashFlow"/>
      <sheetName val="BalanceSheet"/>
      <sheetName val="E&amp;P"/>
      <sheetName val="Model for comment"/>
      <sheetName val="Geographical Breakdown"/>
      <sheetName val="Sensitivity"/>
      <sheetName val="Model"/>
      <sheetName val="UpstreamTable"/>
      <sheetName val="Prod Profile"/>
      <sheetName val="Consolidated"/>
      <sheetName val="ww"/>
      <sheetName val="well stats"/>
      <sheetName val="Chart1"/>
      <sheetName val="DCF"/>
      <sheetName val="Summary Stats"/>
      <sheetName val="Var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Value"/>
      <sheetName val="SupCalc"/>
      <sheetName val="Qassume"/>
      <sheetName val="MWise"/>
      <sheetName val="SummaryQopseg"/>
      <sheetName val="Seg2"/>
      <sheetName val="SegDetail"/>
      <sheetName val="Aassume"/>
      <sheetName val="Aopseg"/>
      <sheetName val="IS"/>
      <sheetName val="BS"/>
      <sheetName val="ROIC"/>
      <sheetName val="Qopseg"/>
      <sheetName val="CF"/>
      <sheetName val="Debt"/>
      <sheetName val="Comps"/>
      <sheetName val="Value"/>
      <sheetName val="dcf"/>
      <sheetName val="SumStat"/>
      <sheetName val="Monthly"/>
      <sheetName val="Operating Performance Trends"/>
      <sheetName val="Sheet12"/>
      <sheetName val="COT"/>
      <sheetName val="Sheet13"/>
      <sheetName val="Sheet14"/>
      <sheetName val="Sheet15"/>
      <sheetName val="Notes"/>
      <sheetName val="Sheet1"/>
      <sheetName val="SimpQopseg"/>
      <sheetName val="Aopseg wo wholedist"/>
      <sheetName val="Value2"/>
      <sheetName val="Dwnload2"/>
      <sheetName val="Dwnload1"/>
      <sheetName val="Seg PieCharts"/>
      <sheetName val="Macro2"/>
      <sheetName val="Duration"/>
      <sheetName val="New ROIC"/>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Y"/>
      <sheetName val="ROIC"/>
      <sheetName val="DCF"/>
      <sheetName val="WACC"/>
      <sheetName val="EPS changes"/>
      <sheetName val="Abilify Share"/>
      <sheetName val="jongrossmargin"/>
      <sheetName val="Orzel"/>
      <sheetName val="valuation"/>
      <sheetName val="Glucophage Franchis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refreshError="1"/>
      <sheetData sheetId="2" refreshError="1"/>
      <sheetData sheetId="3" refreshError="1">
        <row r="2">
          <cell r="E2" t="str">
            <v>Explicit Forecasts</v>
          </cell>
        </row>
        <row r="3">
          <cell r="E3" t="str">
            <v>1st Year</v>
          </cell>
          <cell r="F3" t="str">
            <v>2nd Year</v>
          </cell>
          <cell r="G3" t="str">
            <v>3rd Year</v>
          </cell>
        </row>
        <row r="4">
          <cell r="E4">
            <v>17500</v>
          </cell>
          <cell r="F4">
            <v>21612.5</v>
          </cell>
          <cell r="G4">
            <v>26691.437500000004</v>
          </cell>
          <cell r="K4">
            <v>0.11992721428571428</v>
          </cell>
        </row>
        <row r="5">
          <cell r="E5">
            <v>0</v>
          </cell>
          <cell r="F5">
            <v>0</v>
          </cell>
          <cell r="G5">
            <v>0</v>
          </cell>
          <cell r="K5">
            <v>0.04</v>
          </cell>
        </row>
        <row r="6">
          <cell r="E6">
            <v>0</v>
          </cell>
          <cell r="F6">
            <v>0</v>
          </cell>
          <cell r="G6">
            <v>0</v>
          </cell>
          <cell r="H6" t="str">
            <v xml:space="preserve">Capitalize Expense i.e. R&amp;D </v>
          </cell>
          <cell r="K6" t="str">
            <v>Yes</v>
          </cell>
        </row>
        <row r="7">
          <cell r="E7">
            <v>17500</v>
          </cell>
          <cell r="F7">
            <v>21612.5</v>
          </cell>
          <cell r="G7">
            <v>26691.437500000004</v>
          </cell>
          <cell r="K7" t="str">
            <v>No</v>
          </cell>
        </row>
        <row r="8">
          <cell r="E8">
            <v>788.95653134493159</v>
          </cell>
          <cell r="F8">
            <v>1473.8238162109906</v>
          </cell>
          <cell r="G8">
            <v>2417.8274130205755</v>
          </cell>
          <cell r="H8" t="str">
            <v>Current Excess Cash</v>
          </cell>
          <cell r="K8">
            <v>0</v>
          </cell>
        </row>
        <row r="9">
          <cell r="E9">
            <v>16711.043468655069</v>
          </cell>
          <cell r="F9">
            <v>20138.676183789008</v>
          </cell>
          <cell r="G9">
            <v>24273.610086979428</v>
          </cell>
          <cell r="H9" t="str">
            <v>Current Market Value of Unconsol. Subs.</v>
          </cell>
          <cell r="K9">
            <v>0</v>
          </cell>
        </row>
        <row r="10">
          <cell r="E10">
            <v>4645.6434686550683</v>
          </cell>
          <cell r="F10">
            <v>5737.3696837890093</v>
          </cell>
          <cell r="G10">
            <v>7085.6515594794273</v>
          </cell>
          <cell r="H10" t="str">
            <v>Current Total Debt</v>
          </cell>
          <cell r="K10">
            <v>0</v>
          </cell>
        </row>
        <row r="11">
          <cell r="E11">
            <v>2937.9</v>
          </cell>
          <cell r="F11">
            <v>3628.3065000000001</v>
          </cell>
          <cell r="G11">
            <v>4480.9585275000009</v>
          </cell>
          <cell r="H11" t="str">
            <v>Current Shares Outstanding</v>
          </cell>
          <cell r="K11">
            <v>0</v>
          </cell>
        </row>
        <row r="12">
          <cell r="E12">
            <v>0</v>
          </cell>
          <cell r="F12">
            <v>0</v>
          </cell>
          <cell r="G12">
            <v>0</v>
          </cell>
          <cell r="H12" t="str">
            <v>Fraction of Year to FYE</v>
          </cell>
          <cell r="K12">
            <v>1</v>
          </cell>
        </row>
        <row r="13">
          <cell r="E13">
            <v>9127.5000000000018</v>
          </cell>
          <cell r="F13">
            <v>10772.999999999998</v>
          </cell>
          <cell r="G13">
            <v>12706.999999999998</v>
          </cell>
        </row>
        <row r="14">
          <cell r="E14">
            <v>935</v>
          </cell>
          <cell r="F14">
            <v>1000</v>
          </cell>
          <cell r="G14">
            <v>1067</v>
          </cell>
        </row>
        <row r="15">
          <cell r="E15">
            <v>0</v>
          </cell>
          <cell r="F15">
            <v>0</v>
          </cell>
          <cell r="G15">
            <v>0</v>
          </cell>
        </row>
        <row r="16">
          <cell r="E16">
            <v>935</v>
          </cell>
          <cell r="F16">
            <v>1000</v>
          </cell>
          <cell r="G16">
            <v>1067</v>
          </cell>
        </row>
        <row r="17">
          <cell r="E17">
            <v>10062.500000000002</v>
          </cell>
          <cell r="F17">
            <v>11772.999999999998</v>
          </cell>
          <cell r="G17">
            <v>13773.999999999998</v>
          </cell>
        </row>
        <row r="18">
          <cell r="E18">
            <v>935</v>
          </cell>
          <cell r="F18">
            <v>1000</v>
          </cell>
          <cell r="G18">
            <v>1067</v>
          </cell>
        </row>
        <row r="19">
          <cell r="E19">
            <v>9127.5000000000018</v>
          </cell>
          <cell r="F19">
            <v>10772.999999999998</v>
          </cell>
          <cell r="G19">
            <v>12706.999999999998</v>
          </cell>
        </row>
        <row r="20">
          <cell r="E20">
            <v>2937.9</v>
          </cell>
          <cell r="F20">
            <v>3628.3065000000001</v>
          </cell>
          <cell r="G20">
            <v>4480.9585275000009</v>
          </cell>
        </row>
        <row r="21">
          <cell r="E21">
            <v>2051.6666666666665</v>
          </cell>
          <cell r="F21">
            <v>2553.6333333333332</v>
          </cell>
          <cell r="G21">
            <v>3121.4021666666667</v>
          </cell>
        </row>
        <row r="22">
          <cell r="E22">
            <v>0</v>
          </cell>
          <cell r="F22">
            <v>0</v>
          </cell>
          <cell r="G22">
            <v>0</v>
          </cell>
        </row>
        <row r="23">
          <cell r="E23">
            <v>886.23333333333358</v>
          </cell>
          <cell r="F23">
            <v>1074.6731666666669</v>
          </cell>
          <cell r="G23">
            <v>1359.5563608333341</v>
          </cell>
        </row>
        <row r="25">
          <cell r="E25">
            <v>10013.733333333335</v>
          </cell>
          <cell r="F25">
            <v>11847.673166666666</v>
          </cell>
          <cell r="G25">
            <v>14066.556360833332</v>
          </cell>
        </row>
        <row r="26">
          <cell r="B26">
            <v>0</v>
          </cell>
          <cell r="C26">
            <v>0</v>
          </cell>
          <cell r="E26">
            <v>0</v>
          </cell>
          <cell r="F26">
            <v>0</v>
          </cell>
          <cell r="G26">
            <v>0</v>
          </cell>
        </row>
        <row r="27">
          <cell r="E27">
            <v>10013.733333333335</v>
          </cell>
          <cell r="F27">
            <v>11847.673166666666</v>
          </cell>
          <cell r="G27">
            <v>14066.556360833332</v>
          </cell>
        </row>
        <row r="28">
          <cell r="E28">
            <v>3695.0676000000008</v>
          </cell>
          <cell r="F28">
            <v>4371.7913984999996</v>
          </cell>
          <cell r="G28">
            <v>5190.5592971474998</v>
          </cell>
        </row>
        <row r="29">
          <cell r="E29">
            <v>6318.6657333333351</v>
          </cell>
          <cell r="F29">
            <v>7475.881768166666</v>
          </cell>
          <cell r="G29">
            <v>8875.9970636858325</v>
          </cell>
        </row>
        <row r="31">
          <cell r="E31">
            <v>9127.5000000000018</v>
          </cell>
          <cell r="F31">
            <v>10772.999999999998</v>
          </cell>
          <cell r="G31">
            <v>12706.999999999998</v>
          </cell>
        </row>
        <row r="32">
          <cell r="E32">
            <v>0</v>
          </cell>
          <cell r="F32">
            <v>0</v>
          </cell>
          <cell r="G32">
            <v>0</v>
          </cell>
        </row>
        <row r="33">
          <cell r="E33">
            <v>0</v>
          </cell>
          <cell r="F33">
            <v>0</v>
          </cell>
          <cell r="G33">
            <v>0</v>
          </cell>
        </row>
        <row r="34">
          <cell r="E34">
            <v>438</v>
          </cell>
          <cell r="F34">
            <v>520</v>
          </cell>
          <cell r="G34">
            <v>520</v>
          </cell>
        </row>
        <row r="35">
          <cell r="E35">
            <v>0</v>
          </cell>
          <cell r="F35">
            <v>0</v>
          </cell>
          <cell r="G35">
            <v>0</v>
          </cell>
        </row>
        <row r="36">
          <cell r="E36">
            <v>9565.5000000000018</v>
          </cell>
          <cell r="F36">
            <v>11292.999999999998</v>
          </cell>
          <cell r="G36">
            <v>13226.999999999998</v>
          </cell>
        </row>
        <row r="37">
          <cell r="E37">
            <v>28</v>
          </cell>
          <cell r="F37">
            <v>28</v>
          </cell>
          <cell r="G37">
            <v>28</v>
          </cell>
        </row>
        <row r="38">
          <cell r="E38">
            <v>0</v>
          </cell>
          <cell r="F38">
            <v>0</v>
          </cell>
          <cell r="G38">
            <v>0</v>
          </cell>
        </row>
        <row r="39">
          <cell r="E39">
            <v>3529.6695000000004</v>
          </cell>
          <cell r="F39">
            <v>4167.1169999999993</v>
          </cell>
          <cell r="G39">
            <v>4880.762999999999</v>
          </cell>
        </row>
        <row r="40">
          <cell r="E40">
            <v>6007.8305000000018</v>
          </cell>
          <cell r="F40">
            <v>7097.8829999999989</v>
          </cell>
          <cell r="G40">
            <v>8318.2369999999992</v>
          </cell>
        </row>
        <row r="41">
          <cell r="E41">
            <v>2700</v>
          </cell>
          <cell r="F41">
            <v>2730</v>
          </cell>
          <cell r="G41">
            <v>2730</v>
          </cell>
        </row>
        <row r="42">
          <cell r="E42">
            <v>2.2251224074074081</v>
          </cell>
          <cell r="F42">
            <v>2.5999571428571424</v>
          </cell>
          <cell r="G42">
            <v>3.0469732600732597</v>
          </cell>
        </row>
        <row r="43">
          <cell r="E43">
            <v>8511.7000000000007</v>
          </cell>
          <cell r="F43">
            <v>8511.7000000000007</v>
          </cell>
          <cell r="G43">
            <v>8511.7000000000007</v>
          </cell>
        </row>
        <row r="44">
          <cell r="E44">
            <v>0</v>
          </cell>
          <cell r="F44">
            <v>0</v>
          </cell>
          <cell r="G44">
            <v>0</v>
          </cell>
        </row>
        <row r="45">
          <cell r="E45">
            <v>0</v>
          </cell>
          <cell r="F45">
            <v>0</v>
          </cell>
          <cell r="G45">
            <v>0</v>
          </cell>
        </row>
        <row r="46">
          <cell r="E46">
            <v>0</v>
          </cell>
          <cell r="F46">
            <v>0</v>
          </cell>
          <cell r="G46">
            <v>0</v>
          </cell>
        </row>
        <row r="48">
          <cell r="E48" t="str">
            <v>Growth Rates and Margins based on Explicit Forecasts</v>
          </cell>
          <cell r="H48" t="str">
            <v xml:space="preserve">  Forecasted Growth Rates and Margins for DCF</v>
          </cell>
        </row>
        <row r="49">
          <cell r="E49" t="str">
            <v>1st Year</v>
          </cell>
          <cell r="F49" t="str">
            <v>2nd Year</v>
          </cell>
          <cell r="G49" t="str">
            <v>3rd Year</v>
          </cell>
          <cell r="H49" t="str">
            <v>Years           4-5</v>
          </cell>
          <cell r="I49" t="str">
            <v>Years           6-10</v>
          </cell>
          <cell r="J49" t="str">
            <v>Years           11-15</v>
          </cell>
          <cell r="K49" t="str">
            <v>Years           16-25</v>
          </cell>
        </row>
        <row r="50">
          <cell r="E50">
            <v>0.20822977078155205</v>
          </cell>
          <cell r="F50">
            <v>0.23499999999999999</v>
          </cell>
          <cell r="G50">
            <v>0.23500000000000018</v>
          </cell>
          <cell r="H50">
            <v>0.21</v>
          </cell>
          <cell r="I50">
            <v>0.19</v>
          </cell>
          <cell r="J50">
            <v>0.16</v>
          </cell>
          <cell r="K50">
            <v>0.14000000000000001</v>
          </cell>
        </row>
        <row r="51">
          <cell r="E51">
            <v>0</v>
          </cell>
          <cell r="F51">
            <v>0</v>
          </cell>
          <cell r="G51">
            <v>0</v>
          </cell>
          <cell r="H51">
            <v>0</v>
          </cell>
          <cell r="I51">
            <v>0</v>
          </cell>
          <cell r="J51">
            <v>0</v>
          </cell>
          <cell r="K51">
            <v>0</v>
          </cell>
        </row>
        <row r="52">
          <cell r="E52">
            <v>0</v>
          </cell>
          <cell r="F52">
            <v>0</v>
          </cell>
          <cell r="G52">
            <v>0</v>
          </cell>
          <cell r="H52">
            <v>0</v>
          </cell>
          <cell r="I52">
            <v>0</v>
          </cell>
          <cell r="J52">
            <v>0</v>
          </cell>
          <cell r="K52">
            <v>0</v>
          </cell>
        </row>
        <row r="53">
          <cell r="B53">
            <v>0.30988351977857226</v>
          </cell>
          <cell r="E53">
            <v>0.20822977078155205</v>
          </cell>
          <cell r="F53">
            <v>0.23499999999999999</v>
          </cell>
          <cell r="G53">
            <v>0.23500000000000018</v>
          </cell>
          <cell r="H53">
            <v>0.21</v>
          </cell>
          <cell r="I53">
            <v>0.18999999999999986</v>
          </cell>
          <cell r="J53">
            <v>0.15999999999999998</v>
          </cell>
          <cell r="K53">
            <v>0.14000000000000021</v>
          </cell>
        </row>
        <row r="54">
          <cell r="E54">
            <v>0.36106661333333345</v>
          </cell>
          <cell r="F54">
            <v>0.34590546064391747</v>
          </cell>
          <cell r="G54">
            <v>0.33254099048377711</v>
          </cell>
          <cell r="H54">
            <v>0.33300000000000002</v>
          </cell>
          <cell r="I54">
            <v>0.33300000000000002</v>
          </cell>
          <cell r="J54">
            <v>0.33300000000000002</v>
          </cell>
          <cell r="K54">
            <v>0.33300000000000002</v>
          </cell>
        </row>
        <row r="55">
          <cell r="E55">
            <v>-0.36230674486276215</v>
          </cell>
          <cell r="F55">
            <v>0</v>
          </cell>
          <cell r="G55">
            <v>0</v>
          </cell>
          <cell r="H55">
            <v>0</v>
          </cell>
          <cell r="I55">
            <v>0</v>
          </cell>
          <cell r="J55">
            <v>0</v>
          </cell>
          <cell r="K55">
            <v>0</v>
          </cell>
        </row>
        <row r="56">
          <cell r="E56" t="str">
            <v xml:space="preserve">--  </v>
          </cell>
          <cell r="F56" t="str">
            <v xml:space="preserve">--  </v>
          </cell>
          <cell r="G56" t="str">
            <v xml:space="preserve">--  </v>
          </cell>
          <cell r="H56">
            <v>0</v>
          </cell>
          <cell r="I56">
            <v>0</v>
          </cell>
          <cell r="J56">
            <v>0</v>
          </cell>
          <cell r="K56">
            <v>0</v>
          </cell>
        </row>
        <row r="57">
          <cell r="E57">
            <v>0.20822977078155205</v>
          </cell>
          <cell r="F57">
            <v>0.23499999999999999</v>
          </cell>
          <cell r="G57">
            <v>0.23500000000000018</v>
          </cell>
        </row>
        <row r="58">
          <cell r="E58">
            <v>0</v>
          </cell>
          <cell r="F58">
            <v>0</v>
          </cell>
          <cell r="G58">
            <v>0</v>
          </cell>
          <cell r="H58">
            <v>0</v>
          </cell>
          <cell r="I58">
            <v>0</v>
          </cell>
          <cell r="J58">
            <v>0</v>
          </cell>
          <cell r="K58">
            <v>0</v>
          </cell>
        </row>
        <row r="59">
          <cell r="E59">
            <v>9.3117408906882596E-2</v>
          </cell>
          <cell r="F59">
            <v>1.1111111111111112E-2</v>
          </cell>
          <cell r="G59">
            <v>0</v>
          </cell>
          <cell r="H59">
            <v>0</v>
          </cell>
          <cell r="I59">
            <v>0</v>
          </cell>
          <cell r="J59">
            <v>0</v>
          </cell>
          <cell r="K59">
            <v>0</v>
          </cell>
        </row>
        <row r="60">
          <cell r="E60">
            <v>0.20822977078155222</v>
          </cell>
          <cell r="F60">
            <v>0.23499999999999999</v>
          </cell>
          <cell r="G60" t="str">
            <v xml:space="preserve">--   </v>
          </cell>
        </row>
        <row r="61">
          <cell r="E61">
            <v>0.95491676963743255</v>
          </cell>
          <cell r="F61">
            <v>0.93180687952754226</v>
          </cell>
          <cell r="G61">
            <v>0.90941561641179591</v>
          </cell>
        </row>
        <row r="62">
          <cell r="E62">
            <v>0.57500000000000007</v>
          </cell>
          <cell r="F62">
            <v>0.54473105841526881</v>
          </cell>
          <cell r="G62">
            <v>0.51604564197788139</v>
          </cell>
        </row>
        <row r="63">
          <cell r="E63">
            <v>0.52157142857142869</v>
          </cell>
          <cell r="F63">
            <v>0.4984615384615384</v>
          </cell>
          <cell r="G63">
            <v>0.47607027534579194</v>
          </cell>
        </row>
        <row r="64">
          <cell r="E64">
            <v>0.52157142857142869</v>
          </cell>
          <cell r="F64">
            <v>0.4984615384615384</v>
          </cell>
          <cell r="G64">
            <v>0.47607027534579194</v>
          </cell>
        </row>
        <row r="65">
          <cell r="E65">
            <v>0.52157142857142869</v>
          </cell>
          <cell r="F65">
            <v>0.4984615384615384</v>
          </cell>
          <cell r="G65">
            <v>0.47607027534579194</v>
          </cell>
        </row>
        <row r="66">
          <cell r="E66">
            <v>0.34330460000000013</v>
          </cell>
          <cell r="F66">
            <v>0.32841563909774429</v>
          </cell>
          <cell r="G66">
            <v>0.31164439906992636</v>
          </cell>
        </row>
        <row r="67">
          <cell r="E67">
            <v>0.36899999999999999</v>
          </cell>
          <cell r="F67">
            <v>0.36899999999999999</v>
          </cell>
          <cell r="G67">
            <v>0.36899999999999999</v>
          </cell>
        </row>
        <row r="68">
          <cell r="E68">
            <v>0.36899999999999999</v>
          </cell>
          <cell r="F68">
            <v>0.36899999999999999</v>
          </cell>
          <cell r="G68">
            <v>0.36899999999999999</v>
          </cell>
        </row>
        <row r="70">
          <cell r="E70" t="str">
            <v xml:space="preserve">Targets for Total debt/ Total adjusted market capital </v>
          </cell>
          <cell r="H70" t="str">
            <v xml:space="preserve">Targets for Total debt/ Total adjusted market capital </v>
          </cell>
        </row>
        <row r="71">
          <cell r="E71" t="str">
            <v>1st Year</v>
          </cell>
          <cell r="F71" t="str">
            <v>2nd Year</v>
          </cell>
          <cell r="G71" t="str">
            <v>3rd Year</v>
          </cell>
          <cell r="H71" t="str">
            <v>Years           4-5</v>
          </cell>
          <cell r="I71" t="str">
            <v>Years           6-10</v>
          </cell>
          <cell r="J71" t="str">
            <v>Years           11-15</v>
          </cell>
          <cell r="K71" t="str">
            <v>Years           16-25</v>
          </cell>
        </row>
        <row r="72">
          <cell r="E72">
            <v>0.17</v>
          </cell>
          <cell r="F72">
            <v>0.17</v>
          </cell>
          <cell r="G72">
            <v>0.17</v>
          </cell>
          <cell r="H72">
            <v>0.17</v>
          </cell>
          <cell r="I72">
            <v>0.17</v>
          </cell>
          <cell r="J72">
            <v>0.17</v>
          </cell>
          <cell r="K72">
            <v>0.17</v>
          </cell>
        </row>
        <row r="73">
          <cell r="E73" t="e">
            <v>#REF!</v>
          </cell>
          <cell r="F73" t="e">
            <v>#REF!</v>
          </cell>
          <cell r="G73" t="e">
            <v>#REF!</v>
          </cell>
          <cell r="H73" t="e">
            <v>#REF!</v>
          </cell>
          <cell r="I73" t="e">
            <v>#REF!</v>
          </cell>
          <cell r="J73" t="e">
            <v>#REF!</v>
          </cell>
          <cell r="K73" t="e">
            <v>#REF!</v>
          </cell>
        </row>
        <row r="75">
          <cell r="E75" t="str">
            <v>Explicit Forecasts for Capital Turns</v>
          </cell>
          <cell r="H75" t="str">
            <v xml:space="preserve">  Forecasted Capital Turns for DCF</v>
          </cell>
        </row>
        <row r="76">
          <cell r="E76" t="str">
            <v>1st Year</v>
          </cell>
          <cell r="F76" t="str">
            <v>2nd Year</v>
          </cell>
          <cell r="G76" t="str">
            <v>3rd Year</v>
          </cell>
          <cell r="H76" t="str">
            <v>Years           4-5</v>
          </cell>
          <cell r="I76" t="str">
            <v>Years           6-10</v>
          </cell>
          <cell r="J76" t="str">
            <v>Years           11-15</v>
          </cell>
          <cell r="K76" t="str">
            <v>Years           16-25</v>
          </cell>
        </row>
        <row r="77">
          <cell r="E77">
            <v>-5</v>
          </cell>
          <cell r="F77">
            <v>-5.5</v>
          </cell>
          <cell r="G77">
            <v>-6</v>
          </cell>
          <cell r="H77">
            <v>-7</v>
          </cell>
          <cell r="I77">
            <v>-7.5</v>
          </cell>
          <cell r="J77">
            <v>-8</v>
          </cell>
          <cell r="K77">
            <v>-8.5</v>
          </cell>
        </row>
        <row r="78">
          <cell r="B78">
            <v>2.3494449424257056</v>
          </cell>
          <cell r="C78">
            <v>2.2904433082072644</v>
          </cell>
          <cell r="E78">
            <v>2.4356209968844746</v>
          </cell>
          <cell r="F78">
            <v>2.6568701324652775</v>
          </cell>
          <cell r="G78">
            <v>2.909592807483385</v>
          </cell>
          <cell r="H78">
            <v>3.1</v>
          </cell>
          <cell r="I78">
            <v>3.2</v>
          </cell>
          <cell r="J78">
            <v>3.3</v>
          </cell>
          <cell r="K78">
            <v>3.45</v>
          </cell>
        </row>
        <row r="79">
          <cell r="B79" t="str">
            <v xml:space="preserve"> --</v>
          </cell>
          <cell r="C79" t="str">
            <v xml:space="preserve"> --</v>
          </cell>
          <cell r="E79">
            <v>0</v>
          </cell>
          <cell r="F79">
            <v>0</v>
          </cell>
          <cell r="G79">
            <v>0</v>
          </cell>
          <cell r="H79">
            <v>0</v>
          </cell>
          <cell r="I79">
            <v>0</v>
          </cell>
          <cell r="J79">
            <v>0</v>
          </cell>
          <cell r="K79">
            <v>0</v>
          </cell>
        </row>
        <row r="80">
          <cell r="E80">
            <v>4.7489489539677647</v>
          </cell>
          <cell r="F80">
            <v>5.1396828176652267</v>
          </cell>
          <cell r="G80">
            <v>5.6489503671793093</v>
          </cell>
          <cell r="H80">
            <v>5.5641025641025639</v>
          </cell>
          <cell r="I80">
            <v>5.5813953488372086</v>
          </cell>
          <cell r="J80">
            <v>5.6170212765957448</v>
          </cell>
          <cell r="K80">
            <v>5.8069306930693072</v>
          </cell>
        </row>
        <row r="82">
          <cell r="E82">
            <v>3685.0259224999008</v>
          </cell>
          <cell r="F82">
            <v>4205.0260233408299</v>
          </cell>
          <cell r="G82">
            <v>4725.0260252025973</v>
          </cell>
          <cell r="H82">
            <v>7023.4028207661295</v>
          </cell>
          <cell r="I82">
            <v>16708.394675030577</v>
          </cell>
          <cell r="J82">
            <v>34870.758060817549</v>
          </cell>
          <cell r="K82">
            <v>125045.86303970061</v>
          </cell>
        </row>
        <row r="83">
          <cell r="E83">
            <v>3410.0262945832828</v>
          </cell>
          <cell r="F83">
            <v>3945.0259729203653</v>
          </cell>
          <cell r="G83">
            <v>4465.026024271714</v>
          </cell>
          <cell r="H83">
            <v>6413.9339809475814</v>
          </cell>
          <cell r="I83">
            <v>15374.531234586959</v>
          </cell>
          <cell r="J83">
            <v>32465.878194554272</v>
          </cell>
          <cell r="K83">
            <v>117367.60829164879</v>
          </cell>
        </row>
        <row r="84">
          <cell r="E84">
            <v>549.99925583323602</v>
          </cell>
          <cell r="F84">
            <v>520.00010084092901</v>
          </cell>
          <cell r="G84">
            <v>520.00000186176749</v>
          </cell>
          <cell r="H84">
            <v>1149.1883977817661</v>
          </cell>
          <cell r="I84">
            <v>1936.9983708528896</v>
          </cell>
          <cell r="J84">
            <v>3632.4726771573942</v>
          </cell>
          <cell r="K84">
            <v>9017.5104978883064</v>
          </cell>
        </row>
        <row r="85">
          <cell r="E85">
            <v>0.17543686683151116</v>
          </cell>
          <cell r="F85">
            <v>0.14111165342580925</v>
          </cell>
          <cell r="G85">
            <v>0.12366154192040774</v>
          </cell>
          <cell r="H85">
            <v>0.21919082682578339</v>
          </cell>
          <cell r="I85">
            <v>0.18926169127174419</v>
          </cell>
          <cell r="J85">
            <v>0.15852479386878593</v>
          </cell>
          <cell r="K85">
            <v>0.13621572089454159</v>
          </cell>
        </row>
      </sheetData>
      <sheetData sheetId="4" refreshError="1"/>
      <sheetData sheetId="5" refreshError="1">
        <row r="2">
          <cell r="Q2" t="str">
            <v>Numbers in millions</v>
          </cell>
        </row>
        <row r="44">
          <cell r="R44">
            <v>0.12079368108815906</v>
          </cell>
          <cell r="S44">
            <v>0.11992721428571428</v>
          </cell>
        </row>
      </sheetData>
      <sheetData sheetId="6" refreshError="1">
        <row r="7">
          <cell r="U7" t="e">
            <v>#DIV/0!</v>
          </cell>
        </row>
        <row r="11">
          <cell r="D11">
            <v>0.12084999999999999</v>
          </cell>
        </row>
        <row r="23">
          <cell r="U23">
            <v>0.12114</v>
          </cell>
        </row>
      </sheetData>
      <sheetData sheetId="7" refreshError="1">
        <row r="1">
          <cell r="P1" t="str">
            <v>Invested Capital</v>
          </cell>
        </row>
        <row r="2">
          <cell r="O2" t="str">
            <v>P-2</v>
          </cell>
          <cell r="P2" t="str">
            <v>P-1</v>
          </cell>
          <cell r="Q2" t="str">
            <v>Present (P)</v>
          </cell>
        </row>
        <row r="3">
          <cell r="O3">
            <v>1996</v>
          </cell>
          <cell r="P3">
            <v>1997</v>
          </cell>
          <cell r="Q3">
            <v>1998</v>
          </cell>
        </row>
        <row r="4">
          <cell r="O4">
            <v>6940</v>
          </cell>
          <cell r="P4">
            <v>8966</v>
          </cell>
          <cell r="Q4">
            <v>13927</v>
          </cell>
        </row>
        <row r="5">
          <cell r="C5">
            <v>0</v>
          </cell>
          <cell r="D5">
            <v>0</v>
          </cell>
          <cell r="E5">
            <v>0</v>
          </cell>
          <cell r="F5">
            <v>0</v>
          </cell>
          <cell r="G5">
            <v>0</v>
          </cell>
          <cell r="H5">
            <v>0</v>
          </cell>
          <cell r="I5">
            <v>0</v>
          </cell>
          <cell r="J5">
            <v>612.57672000000002</v>
          </cell>
          <cell r="K5">
            <v>1234.5520000000001</v>
          </cell>
          <cell r="L5">
            <v>2139.88</v>
          </cell>
          <cell r="M5">
            <v>3428.04</v>
          </cell>
          <cell r="N5">
            <v>4512.5200000000004</v>
          </cell>
          <cell r="O5">
            <v>6593.16</v>
          </cell>
          <cell r="P5">
            <v>8511.68</v>
          </cell>
          <cell r="Q5">
            <v>13347.64</v>
          </cell>
        </row>
        <row r="6">
          <cell r="O6">
            <v>346.84000000000003</v>
          </cell>
          <cell r="P6">
            <v>454.32</v>
          </cell>
          <cell r="Q6">
            <v>579.36</v>
          </cell>
        </row>
        <row r="7">
          <cell r="O7">
            <v>639</v>
          </cell>
          <cell r="P7">
            <v>980</v>
          </cell>
          <cell r="Q7">
            <v>1460</v>
          </cell>
        </row>
        <row r="8">
          <cell r="O8">
            <v>0</v>
          </cell>
          <cell r="P8">
            <v>0</v>
          </cell>
          <cell r="Q8">
            <v>0</v>
          </cell>
        </row>
        <row r="9">
          <cell r="A9">
            <v>0.04</v>
          </cell>
          <cell r="O9">
            <v>0</v>
          </cell>
          <cell r="P9">
            <v>0</v>
          </cell>
          <cell r="Q9">
            <v>0</v>
          </cell>
        </row>
        <row r="10">
          <cell r="O10">
            <v>0</v>
          </cell>
          <cell r="P10">
            <v>0</v>
          </cell>
          <cell r="Q10">
            <v>0</v>
          </cell>
        </row>
        <row r="11">
          <cell r="O11">
            <v>0</v>
          </cell>
          <cell r="P11">
            <v>0</v>
          </cell>
          <cell r="Q11">
            <v>0</v>
          </cell>
        </row>
        <row r="12">
          <cell r="O12">
            <v>260</v>
          </cell>
          <cell r="P12">
            <v>427</v>
          </cell>
          <cell r="Q12">
            <v>502</v>
          </cell>
        </row>
        <row r="13">
          <cell r="O13">
            <v>0</v>
          </cell>
          <cell r="P13">
            <v>0</v>
          </cell>
          <cell r="Q13">
            <v>0</v>
          </cell>
          <cell r="R13">
            <v>0</v>
          </cell>
          <cell r="S13">
            <v>0</v>
          </cell>
          <cell r="T13">
            <v>0</v>
          </cell>
        </row>
        <row r="14">
          <cell r="O14">
            <v>0</v>
          </cell>
          <cell r="P14">
            <v>0</v>
          </cell>
          <cell r="Q14">
            <v>0</v>
          </cell>
        </row>
        <row r="15">
          <cell r="O15">
            <v>1245.8400000000001</v>
          </cell>
          <cell r="P15">
            <v>1861.32</v>
          </cell>
          <cell r="Q15">
            <v>2541.36</v>
          </cell>
        </row>
        <row r="17">
          <cell r="O17">
            <v>808</v>
          </cell>
          <cell r="P17">
            <v>721</v>
          </cell>
          <cell r="Q17">
            <v>759</v>
          </cell>
        </row>
        <row r="18">
          <cell r="O18">
            <v>0</v>
          </cell>
          <cell r="P18">
            <v>0</v>
          </cell>
          <cell r="Q18">
            <v>0</v>
          </cell>
        </row>
        <row r="19">
          <cell r="O19">
            <v>0</v>
          </cell>
          <cell r="P19">
            <v>0</v>
          </cell>
          <cell r="Q19">
            <v>0</v>
          </cell>
        </row>
        <row r="20">
          <cell r="O20">
            <v>202</v>
          </cell>
          <cell r="P20">
            <v>336</v>
          </cell>
          <cell r="Q20">
            <v>359</v>
          </cell>
        </row>
        <row r="21">
          <cell r="O21">
            <v>484</v>
          </cell>
          <cell r="P21">
            <v>466</v>
          </cell>
          <cell r="Q21">
            <v>915</v>
          </cell>
        </row>
        <row r="22">
          <cell r="O22">
            <v>371</v>
          </cell>
          <cell r="P22">
            <v>669</v>
          </cell>
          <cell r="Q22">
            <v>809</v>
          </cell>
        </row>
        <row r="23">
          <cell r="O23">
            <v>560</v>
          </cell>
          <cell r="P23">
            <v>1418</v>
          </cell>
          <cell r="Q23">
            <v>2888</v>
          </cell>
        </row>
        <row r="24">
          <cell r="O24">
            <v>2425</v>
          </cell>
          <cell r="P24">
            <v>3610</v>
          </cell>
          <cell r="Q24">
            <v>5730</v>
          </cell>
        </row>
        <row r="26">
          <cell r="C26">
            <v>0</v>
          </cell>
          <cell r="D26">
            <v>0</v>
          </cell>
          <cell r="E26">
            <v>0</v>
          </cell>
          <cell r="F26">
            <v>0</v>
          </cell>
          <cell r="G26">
            <v>0</v>
          </cell>
          <cell r="H26">
            <v>0</v>
          </cell>
          <cell r="I26">
            <v>0</v>
          </cell>
          <cell r="J26">
            <v>142.02928000000003</v>
          </cell>
          <cell r="K26">
            <v>96.530999999999892</v>
          </cell>
          <cell r="L26">
            <v>147.12</v>
          </cell>
          <cell r="M26">
            <v>-29.039999999999964</v>
          </cell>
          <cell r="N26">
            <v>-239.51999999999998</v>
          </cell>
          <cell r="O26">
            <v>-1179.1599999999999</v>
          </cell>
          <cell r="P26">
            <v>-1748.68</v>
          </cell>
          <cell r="Q26">
            <v>-3188.64</v>
          </cell>
        </row>
        <row r="28">
          <cell r="C28">
            <v>0</v>
          </cell>
          <cell r="D28">
            <v>0</v>
          </cell>
          <cell r="E28">
            <v>0</v>
          </cell>
          <cell r="F28">
            <v>0</v>
          </cell>
          <cell r="G28">
            <v>0</v>
          </cell>
          <cell r="H28">
            <v>0</v>
          </cell>
          <cell r="I28">
            <v>0</v>
          </cell>
          <cell r="J28">
            <v>235.386</v>
          </cell>
          <cell r="K28">
            <v>352.15300000000002</v>
          </cell>
          <cell r="L28">
            <v>470</v>
          </cell>
          <cell r="M28">
            <v>610</v>
          </cell>
          <cell r="N28">
            <v>860</v>
          </cell>
          <cell r="O28">
            <v>1432</v>
          </cell>
          <cell r="P28">
            <v>1925</v>
          </cell>
          <cell r="Q28">
            <v>2798</v>
          </cell>
          <cell r="R28">
            <v>2937.9</v>
          </cell>
          <cell r="S28">
            <v>3628.3065000000001</v>
          </cell>
          <cell r="T28">
            <v>4480.9585275000009</v>
          </cell>
        </row>
        <row r="29">
          <cell r="O29">
            <v>286.66666666666669</v>
          </cell>
          <cell r="P29">
            <v>477.33333333333331</v>
          </cell>
          <cell r="Q29">
            <v>641.66666666666663</v>
          </cell>
          <cell r="R29">
            <v>932.66666666666663</v>
          </cell>
          <cell r="S29">
            <v>979.30000000000007</v>
          </cell>
          <cell r="T29">
            <v>1209.4355</v>
          </cell>
        </row>
        <row r="30">
          <cell r="O30">
            <v>2855.333333333333</v>
          </cell>
          <cell r="P30">
            <v>4133.6666666666661</v>
          </cell>
          <cell r="Q30">
            <v>5964.3333333333321</v>
          </cell>
          <cell r="R30">
            <v>7496.5666666666657</v>
          </cell>
          <cell r="S30">
            <v>9073.2065000000002</v>
          </cell>
          <cell r="T30">
            <v>11000.531694166668</v>
          </cell>
        </row>
        <row r="31">
          <cell r="C31">
            <v>0</v>
          </cell>
          <cell r="D31">
            <v>0</v>
          </cell>
          <cell r="E31">
            <v>0</v>
          </cell>
          <cell r="F31">
            <v>0</v>
          </cell>
          <cell r="G31">
            <v>0</v>
          </cell>
          <cell r="H31">
            <v>0</v>
          </cell>
          <cell r="I31">
            <v>0</v>
          </cell>
          <cell r="J31">
            <v>0</v>
          </cell>
          <cell r="K31">
            <v>78.462000000000003</v>
          </cell>
          <cell r="L31">
            <v>195.84633333333335</v>
          </cell>
          <cell r="M31">
            <v>352.51299999999998</v>
          </cell>
          <cell r="N31">
            <v>477.38433333333336</v>
          </cell>
          <cell r="O31">
            <v>646.66666666666663</v>
          </cell>
          <cell r="P31">
            <v>967.33333333333337</v>
          </cell>
          <cell r="Q31">
            <v>1405.6666666666667</v>
          </cell>
          <cell r="R31">
            <v>2051.6666666666665</v>
          </cell>
          <cell r="S31">
            <v>2553.6333333333332</v>
          </cell>
          <cell r="T31">
            <v>3121.4021666666667</v>
          </cell>
        </row>
        <row r="32">
          <cell r="O32">
            <v>2208.6666666666665</v>
          </cell>
          <cell r="P32">
            <v>3166.3333333333326</v>
          </cell>
          <cell r="Q32">
            <v>4558.6666666666652</v>
          </cell>
          <cell r="R32">
            <v>5444.9</v>
          </cell>
          <cell r="S32">
            <v>6519.573166666667</v>
          </cell>
          <cell r="T32">
            <v>7879.1295275000011</v>
          </cell>
        </row>
        <row r="33">
          <cell r="O33">
            <v>1326</v>
          </cell>
          <cell r="P33">
            <v>1465</v>
          </cell>
          <cell r="Q33">
            <v>1505</v>
          </cell>
        </row>
        <row r="34">
          <cell r="A34">
            <v>3</v>
          </cell>
          <cell r="O34">
            <v>0</v>
          </cell>
          <cell r="P34">
            <v>0</v>
          </cell>
          <cell r="Q34">
            <v>0</v>
          </cell>
        </row>
        <row r="35">
          <cell r="O35">
            <v>0</v>
          </cell>
          <cell r="P35">
            <v>0</v>
          </cell>
          <cell r="Q35">
            <v>0</v>
          </cell>
        </row>
        <row r="36">
          <cell r="O36">
            <v>0</v>
          </cell>
          <cell r="P36">
            <v>0</v>
          </cell>
          <cell r="Q36">
            <v>0</v>
          </cell>
        </row>
        <row r="37">
          <cell r="O37">
            <v>0</v>
          </cell>
          <cell r="P37">
            <v>0</v>
          </cell>
          <cell r="Q37">
            <v>0</v>
          </cell>
        </row>
        <row r="38">
          <cell r="O38">
            <v>0</v>
          </cell>
          <cell r="P38">
            <v>0</v>
          </cell>
          <cell r="Q38">
            <v>0</v>
          </cell>
        </row>
        <row r="39">
          <cell r="O39">
            <v>0</v>
          </cell>
          <cell r="P39">
            <v>0</v>
          </cell>
          <cell r="Q39">
            <v>0</v>
          </cell>
        </row>
        <row r="40">
          <cell r="O40">
            <v>0</v>
          </cell>
          <cell r="P40">
            <v>0</v>
          </cell>
          <cell r="Q40">
            <v>0</v>
          </cell>
        </row>
        <row r="41">
          <cell r="O41">
            <v>928</v>
          </cell>
          <cell r="P41">
            <v>203</v>
          </cell>
          <cell r="Q41">
            <v>260</v>
          </cell>
        </row>
        <row r="42">
          <cell r="O42">
            <v>0</v>
          </cell>
          <cell r="P42">
            <v>0</v>
          </cell>
          <cell r="Q42">
            <v>0</v>
          </cell>
        </row>
        <row r="43">
          <cell r="C43" t="e">
            <v>#VALUE!</v>
          </cell>
          <cell r="D43">
            <v>0</v>
          </cell>
          <cell r="E43">
            <v>0</v>
          </cell>
          <cell r="F43">
            <v>0</v>
          </cell>
          <cell r="G43">
            <v>0</v>
          </cell>
          <cell r="H43">
            <v>0</v>
          </cell>
          <cell r="I43">
            <v>0</v>
          </cell>
          <cell r="J43">
            <v>851.06700000000001</v>
          </cell>
          <cell r="K43">
            <v>1379.2759999999998</v>
          </cell>
          <cell r="L43">
            <v>1738.2306666666666</v>
          </cell>
          <cell r="M43">
            <v>2091.7176666666664</v>
          </cell>
          <cell r="N43">
            <v>3013.333333333333</v>
          </cell>
          <cell r="O43">
            <v>4462.6666666666661</v>
          </cell>
          <cell r="P43">
            <v>4834.3333333333321</v>
          </cell>
          <cell r="Q43">
            <v>6323.6666666666652</v>
          </cell>
        </row>
        <row r="45">
          <cell r="O45">
            <v>0</v>
          </cell>
          <cell r="P45">
            <v>0</v>
          </cell>
          <cell r="Q45">
            <v>0</v>
          </cell>
        </row>
        <row r="46">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50">
          <cell r="O50">
            <v>3283.5066666666662</v>
          </cell>
          <cell r="P50">
            <v>3085.6533333333318</v>
          </cell>
          <cell r="Q50">
            <v>3135.0266666666653</v>
          </cell>
        </row>
        <row r="53">
          <cell r="O53">
            <v>0</v>
          </cell>
          <cell r="P53">
            <v>0</v>
          </cell>
          <cell r="Q53">
            <v>0</v>
          </cell>
        </row>
        <row r="54">
          <cell r="O54">
            <v>0</v>
          </cell>
          <cell r="P54">
            <v>0</v>
          </cell>
          <cell r="Q54">
            <v>0</v>
          </cell>
        </row>
        <row r="55">
          <cell r="O55">
            <v>0</v>
          </cell>
          <cell r="P55">
            <v>0</v>
          </cell>
          <cell r="Q55">
            <v>0</v>
          </cell>
        </row>
        <row r="56">
          <cell r="O56">
            <v>0</v>
          </cell>
          <cell r="P56">
            <v>0</v>
          </cell>
          <cell r="Q56">
            <v>0</v>
          </cell>
        </row>
        <row r="57">
          <cell r="O57">
            <v>0</v>
          </cell>
          <cell r="P57">
            <v>0</v>
          </cell>
          <cell r="Q57">
            <v>0</v>
          </cell>
        </row>
        <row r="58">
          <cell r="O58">
            <v>0</v>
          </cell>
          <cell r="P58">
            <v>0</v>
          </cell>
          <cell r="Q58">
            <v>0</v>
          </cell>
        </row>
        <row r="59">
          <cell r="O59">
            <v>0</v>
          </cell>
          <cell r="P59">
            <v>0</v>
          </cell>
          <cell r="Q59">
            <v>0</v>
          </cell>
        </row>
        <row r="60">
          <cell r="O60">
            <v>0</v>
          </cell>
          <cell r="P60">
            <v>0</v>
          </cell>
          <cell r="Q60">
            <v>0</v>
          </cell>
        </row>
        <row r="61">
          <cell r="C61">
            <v>0</v>
          </cell>
          <cell r="D61">
            <v>0</v>
          </cell>
          <cell r="E61">
            <v>0</v>
          </cell>
          <cell r="F61">
            <v>0</v>
          </cell>
          <cell r="G61">
            <v>0</v>
          </cell>
          <cell r="H61">
            <v>0</v>
          </cell>
          <cell r="I61">
            <v>0</v>
          </cell>
          <cell r="J61">
            <v>19.456</v>
          </cell>
          <cell r="K61">
            <v>8.3239999999999998</v>
          </cell>
          <cell r="L61">
            <v>0</v>
          </cell>
          <cell r="M61">
            <v>0</v>
          </cell>
          <cell r="N61">
            <v>0</v>
          </cell>
          <cell r="O61">
            <v>0</v>
          </cell>
          <cell r="P61">
            <v>0</v>
          </cell>
          <cell r="Q61">
            <v>0</v>
          </cell>
        </row>
        <row r="63">
          <cell r="O63">
            <v>0</v>
          </cell>
          <cell r="P63">
            <v>0</v>
          </cell>
          <cell r="Q63">
            <v>0</v>
          </cell>
        </row>
        <row r="64">
          <cell r="O64">
            <v>0</v>
          </cell>
          <cell r="P64">
            <v>0</v>
          </cell>
          <cell r="Q64">
            <v>0</v>
          </cell>
        </row>
        <row r="65">
          <cell r="O65">
            <v>0</v>
          </cell>
          <cell r="P65">
            <v>0</v>
          </cell>
          <cell r="Q65">
            <v>0</v>
          </cell>
        </row>
        <row r="66">
          <cell r="O66">
            <v>0</v>
          </cell>
          <cell r="P66">
            <v>0</v>
          </cell>
          <cell r="Q66">
            <v>0</v>
          </cell>
        </row>
        <row r="67">
          <cell r="O67">
            <v>2208.6666666666665</v>
          </cell>
          <cell r="P67">
            <v>3166.3333333333326</v>
          </cell>
          <cell r="Q67">
            <v>4558.6666666666652</v>
          </cell>
        </row>
        <row r="68">
          <cell r="O68">
            <v>0</v>
          </cell>
          <cell r="P68">
            <v>0</v>
          </cell>
          <cell r="Q68">
            <v>0</v>
          </cell>
        </row>
        <row r="69">
          <cell r="O69">
            <v>0</v>
          </cell>
          <cell r="P69">
            <v>0</v>
          </cell>
          <cell r="Q69">
            <v>0</v>
          </cell>
        </row>
        <row r="70">
          <cell r="O70">
            <v>2208.6666666666665</v>
          </cell>
          <cell r="P70">
            <v>3166.3333333333326</v>
          </cell>
          <cell r="Q70">
            <v>4558.6666666666652</v>
          </cell>
        </row>
        <row r="72">
          <cell r="O72">
            <v>0</v>
          </cell>
          <cell r="P72">
            <v>0</v>
          </cell>
          <cell r="Q72">
            <v>0</v>
          </cell>
        </row>
        <row r="73">
          <cell r="O73">
            <v>635</v>
          </cell>
          <cell r="P73">
            <v>0</v>
          </cell>
          <cell r="Q73">
            <v>0</v>
          </cell>
        </row>
        <row r="74">
          <cell r="O74">
            <v>125</v>
          </cell>
          <cell r="P74">
            <v>0</v>
          </cell>
          <cell r="Q74">
            <v>0</v>
          </cell>
        </row>
        <row r="76">
          <cell r="O76">
            <v>0</v>
          </cell>
          <cell r="P76">
            <v>2346</v>
          </cell>
          <cell r="Q76">
            <v>4703</v>
          </cell>
        </row>
        <row r="78">
          <cell r="O78">
            <v>6908</v>
          </cell>
          <cell r="P78">
            <v>10777</v>
          </cell>
          <cell r="Q78">
            <v>16627</v>
          </cell>
        </row>
        <row r="79">
          <cell r="O79">
            <v>0</v>
          </cell>
          <cell r="P79">
            <v>0</v>
          </cell>
          <cell r="Q79">
            <v>0</v>
          </cell>
          <cell r="R79">
            <v>0</v>
          </cell>
          <cell r="S79">
            <v>0</v>
          </cell>
          <cell r="T79">
            <v>0</v>
          </cell>
        </row>
        <row r="80">
          <cell r="O80">
            <v>6593.16</v>
          </cell>
          <cell r="P80">
            <v>8511.68</v>
          </cell>
          <cell r="Q80">
            <v>13347.64</v>
          </cell>
        </row>
        <row r="81">
          <cell r="C81">
            <v>0</v>
          </cell>
          <cell r="D81">
            <v>0</v>
          </cell>
          <cell r="E81">
            <v>0</v>
          </cell>
          <cell r="F81">
            <v>0</v>
          </cell>
          <cell r="G81">
            <v>0</v>
          </cell>
          <cell r="H81">
            <v>0</v>
          </cell>
          <cell r="I81">
            <v>0</v>
          </cell>
          <cell r="J81">
            <v>0</v>
          </cell>
          <cell r="K81">
            <v>0</v>
          </cell>
          <cell r="L81">
            <v>0</v>
          </cell>
          <cell r="M81">
            <v>0</v>
          </cell>
          <cell r="N81">
            <v>0</v>
          </cell>
          <cell r="O81">
            <v>0</v>
          </cell>
          <cell r="P81">
            <v>980</v>
          </cell>
          <cell r="Q81">
            <v>980</v>
          </cell>
        </row>
        <row r="83">
          <cell r="O83">
            <v>2523.5066666666662</v>
          </cell>
          <cell r="P83">
            <v>4451.6533333333318</v>
          </cell>
          <cell r="Q83">
            <v>6858.0266666666648</v>
          </cell>
        </row>
        <row r="84">
          <cell r="O84">
            <v>2388</v>
          </cell>
          <cell r="P84">
            <v>2624</v>
          </cell>
          <cell r="Q84">
            <v>2408</v>
          </cell>
        </row>
        <row r="85">
          <cell r="O85">
            <v>1.0567448352875486</v>
          </cell>
          <cell r="P85">
            <v>1.6965142276422758</v>
          </cell>
          <cell r="Q85">
            <v>2.8480177187153926</v>
          </cell>
        </row>
        <row r="87">
          <cell r="C87">
            <v>0</v>
          </cell>
          <cell r="D87">
            <v>0</v>
          </cell>
          <cell r="E87">
            <v>0</v>
          </cell>
          <cell r="F87">
            <v>0</v>
          </cell>
          <cell r="G87">
            <v>0</v>
          </cell>
          <cell r="H87">
            <v>0</v>
          </cell>
          <cell r="I87">
            <v>0</v>
          </cell>
          <cell r="J87">
            <v>993.09627999999987</v>
          </cell>
          <cell r="K87">
            <v>1475.8069999999998</v>
          </cell>
          <cell r="L87">
            <v>1885.3506666666663</v>
          </cell>
          <cell r="M87">
            <v>2062.6776666666665</v>
          </cell>
          <cell r="N87">
            <v>2773.8133333333326</v>
          </cell>
          <cell r="O87">
            <v>3283.5066666666662</v>
          </cell>
          <cell r="P87">
            <v>3085.6533333333318</v>
          </cell>
          <cell r="Q87">
            <v>3135.0266666666648</v>
          </cell>
        </row>
        <row r="88">
          <cell r="O88">
            <v>0.18375185064123531</v>
          </cell>
          <cell r="P88">
            <v>-6.0256717411872995E-2</v>
          </cell>
          <cell r="Q88">
            <v>1.600093335176981E-2</v>
          </cell>
        </row>
        <row r="89">
          <cell r="C89">
            <v>0</v>
          </cell>
          <cell r="D89">
            <v>0</v>
          </cell>
          <cell r="E89">
            <v>0</v>
          </cell>
          <cell r="F89">
            <v>0</v>
          </cell>
          <cell r="G89">
            <v>0</v>
          </cell>
          <cell r="H89">
            <v>0</v>
          </cell>
          <cell r="I89">
            <v>0</v>
          </cell>
          <cell r="J89">
            <v>993.09627999999987</v>
          </cell>
          <cell r="K89">
            <v>1234.4516399999998</v>
          </cell>
          <cell r="L89">
            <v>1680.578833333333</v>
          </cell>
          <cell r="M89">
            <v>1974.0141666666664</v>
          </cell>
          <cell r="N89">
            <v>2773.8133333333326</v>
          </cell>
          <cell r="O89">
            <v>3283.5066666666662</v>
          </cell>
          <cell r="P89">
            <v>3085.6533333333318</v>
          </cell>
          <cell r="Q89">
            <v>3135.0266666666648</v>
          </cell>
        </row>
        <row r="92">
          <cell r="O92">
            <v>27</v>
          </cell>
          <cell r="P92" t="e">
            <v>#DIV/0!</v>
          </cell>
          <cell r="Q92" t="e">
            <v>#DIV/0!</v>
          </cell>
        </row>
        <row r="95">
          <cell r="O95">
            <v>14.214754098360656</v>
          </cell>
          <cell r="P95">
            <v>14.03088326127239</v>
          </cell>
          <cell r="Q95">
            <v>11.872131147540983</v>
          </cell>
        </row>
        <row r="96">
          <cell r="O96">
            <v>197.06818181818181</v>
          </cell>
          <cell r="P96" t="str">
            <v xml:space="preserve">--  </v>
          </cell>
          <cell r="Q96" t="str">
            <v xml:space="preserve">--  </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v>25.958478420787596</v>
          </cell>
          <cell r="K97">
            <v>23.128116717502184</v>
          </cell>
          <cell r="L97">
            <v>30.806358274745449</v>
          </cell>
          <cell r="M97">
            <v>78.743224932249291</v>
          </cell>
          <cell r="N97">
            <v>-44.213583556747103</v>
          </cell>
          <cell r="O97">
            <v>-12.224039247751433</v>
          </cell>
          <cell r="P97">
            <v>-7.7586206896551717</v>
          </cell>
          <cell r="Q97">
            <v>-5.8671505999206053</v>
          </cell>
        </row>
        <row r="98">
          <cell r="O98">
            <v>6.8872120730738677</v>
          </cell>
          <cell r="P98">
            <v>8.1390182730204224</v>
          </cell>
          <cell r="Q98">
            <v>9.7535353535353533</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v>4.3320490631172399</v>
          </cell>
          <cell r="K99">
            <v>2.4738123239340317</v>
          </cell>
          <cell r="L99">
            <v>2.4076933275737451</v>
          </cell>
          <cell r="M99">
            <v>2.4277089899820234</v>
          </cell>
          <cell r="N99">
            <v>2.325931709595066</v>
          </cell>
          <cell r="O99">
            <v>2.3196896736222583</v>
          </cell>
          <cell r="P99">
            <v>2.4433688286544051</v>
          </cell>
          <cell r="Q99">
            <v>2.5961641871303107</v>
          </cell>
        </row>
        <row r="100">
          <cell r="O100">
            <v>13.078431372549019</v>
          </cell>
          <cell r="P100">
            <v>20.084880636604776</v>
          </cell>
          <cell r="Q100">
            <v>62.565874730021598</v>
          </cell>
        </row>
        <row r="101">
          <cell r="B101" t="str">
            <v xml:space="preserve"> Total other assets turns</v>
          </cell>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cell r="O101" t="str">
            <v xml:space="preserve">--  </v>
          </cell>
          <cell r="P101" t="str">
            <v xml:space="preserve">--  </v>
          </cell>
          <cell r="Q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v>1.8562470096051515</v>
          </cell>
          <cell r="K102">
            <v>2.2347777025918978</v>
          </cell>
          <cell r="L102">
            <v>2.2331591506220132</v>
          </cell>
          <cell r="M102">
            <v>2.3550996130135848</v>
          </cell>
          <cell r="N102">
            <v>2.1403747428329716</v>
          </cell>
          <cell r="O102">
            <v>2.6407742941489385</v>
          </cell>
          <cell r="P102">
            <v>3.6809060425884974</v>
          </cell>
          <cell r="Q102">
            <v>4.6200563950545899</v>
          </cell>
        </row>
        <row r="105">
          <cell r="O105">
            <v>0.28942718979026666</v>
          </cell>
          <cell r="P105">
            <v>0.34837724725364172</v>
          </cell>
          <cell r="Q105">
            <v>0.35004090763641249</v>
          </cell>
        </row>
        <row r="106">
          <cell r="O106">
            <v>2.6407742941489385</v>
          </cell>
          <cell r="P106">
            <v>3.6809060425884974</v>
          </cell>
          <cell r="Q106">
            <v>4.6200563950545899</v>
          </cell>
        </row>
        <row r="107">
          <cell r="O107">
            <v>0.76431188282590234</v>
          </cell>
          <cell r="P107">
            <v>1.2823439145162767</v>
          </cell>
          <cell r="Q107">
            <v>1.6172087338563206</v>
          </cell>
        </row>
        <row r="108">
          <cell r="O108">
            <v>0.17917791348734502</v>
          </cell>
          <cell r="P108">
            <v>0.51803203169037437</v>
          </cell>
          <cell r="Q108">
            <v>0.33486481934004386</v>
          </cell>
        </row>
        <row r="109">
          <cell r="O109">
            <v>1.2466970766485552</v>
          </cell>
          <cell r="P109">
            <v>2.8394438714170476</v>
          </cell>
          <cell r="Q109" t="str">
            <v>NM</v>
          </cell>
        </row>
        <row r="112">
          <cell r="O112">
            <v>0.30621690565989512</v>
          </cell>
          <cell r="P112">
            <v>0.67777571346273779</v>
          </cell>
          <cell r="Q112">
            <v>0.26113495416427424</v>
          </cell>
        </row>
        <row r="113">
          <cell r="O113">
            <v>4.4411877142283229E-2</v>
          </cell>
          <cell r="P113">
            <v>0.12890082285952009</v>
          </cell>
          <cell r="Q113">
            <v>0.20083047832257206</v>
          </cell>
        </row>
        <row r="114">
          <cell r="O114" t="str">
            <v xml:space="preserve">  --</v>
          </cell>
          <cell r="P114" t="str">
            <v xml:space="preserve">  --</v>
          </cell>
          <cell r="Q114" t="str">
            <v xml:space="preserve">  --</v>
          </cell>
        </row>
      </sheetData>
      <sheetData sheetId="8" refreshError="1">
        <row r="1">
          <cell r="M1">
            <v>0</v>
          </cell>
          <cell r="O1">
            <v>0</v>
          </cell>
          <cell r="P1">
            <v>0</v>
          </cell>
          <cell r="Q1">
            <v>0</v>
          </cell>
        </row>
        <row r="2">
          <cell r="P2" t="str">
            <v>NOPAT Statement</v>
          </cell>
        </row>
        <row r="3">
          <cell r="O3" t="str">
            <v>P-2</v>
          </cell>
          <cell r="P3" t="str">
            <v>P-1</v>
          </cell>
          <cell r="Q3" t="str">
            <v>Present (P)</v>
          </cell>
        </row>
        <row r="4">
          <cell r="O4">
            <v>1996</v>
          </cell>
          <cell r="P4">
            <v>1997</v>
          </cell>
          <cell r="Q4">
            <v>1998</v>
          </cell>
        </row>
        <row r="5">
          <cell r="C5">
            <v>0</v>
          </cell>
          <cell r="D5">
            <v>0</v>
          </cell>
          <cell r="E5">
            <v>0</v>
          </cell>
          <cell r="F5">
            <v>0</v>
          </cell>
          <cell r="G5">
            <v>0</v>
          </cell>
          <cell r="H5">
            <v>0</v>
          </cell>
          <cell r="I5">
            <v>0</v>
          </cell>
          <cell r="J5">
            <v>1843.432</v>
          </cell>
          <cell r="K5">
            <v>2758.7249999999999</v>
          </cell>
          <cell r="L5">
            <v>3753</v>
          </cell>
          <cell r="M5">
            <v>4649</v>
          </cell>
          <cell r="N5">
            <v>5937</v>
          </cell>
          <cell r="O5">
            <v>8671</v>
          </cell>
          <cell r="P5">
            <v>11358</v>
          </cell>
          <cell r="Q5">
            <v>14484</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1843.432</v>
          </cell>
          <cell r="K8">
            <v>2758.7249999999999</v>
          </cell>
          <cell r="L8">
            <v>3753</v>
          </cell>
          <cell r="M8">
            <v>4649</v>
          </cell>
          <cell r="N8">
            <v>5937</v>
          </cell>
          <cell r="O8">
            <v>8671</v>
          </cell>
          <cell r="P8">
            <v>11358</v>
          </cell>
          <cell r="Q8">
            <v>14484</v>
          </cell>
        </row>
        <row r="9">
          <cell r="C9">
            <v>0</v>
          </cell>
          <cell r="D9">
            <v>0</v>
          </cell>
          <cell r="E9">
            <v>0</v>
          </cell>
          <cell r="F9">
            <v>0</v>
          </cell>
          <cell r="G9">
            <v>0</v>
          </cell>
          <cell r="H9">
            <v>0</v>
          </cell>
          <cell r="I9">
            <v>0</v>
          </cell>
          <cell r="J9">
            <v>362.589</v>
          </cell>
          <cell r="K9">
            <v>466.42399999999998</v>
          </cell>
          <cell r="L9">
            <v>633</v>
          </cell>
          <cell r="M9">
            <v>763</v>
          </cell>
          <cell r="N9">
            <v>877</v>
          </cell>
          <cell r="O9">
            <v>1188</v>
          </cell>
          <cell r="P9">
            <v>1085</v>
          </cell>
          <cell r="Q9">
            <v>1197</v>
          </cell>
        </row>
        <row r="10">
          <cell r="C10">
            <v>0</v>
          </cell>
          <cell r="D10">
            <v>0</v>
          </cell>
          <cell r="E10">
            <v>0</v>
          </cell>
          <cell r="F10">
            <v>0</v>
          </cell>
          <cell r="G10">
            <v>0</v>
          </cell>
          <cell r="H10">
            <v>0</v>
          </cell>
          <cell r="I10">
            <v>0</v>
          </cell>
          <cell r="J10">
            <v>1480.8430000000001</v>
          </cell>
          <cell r="K10">
            <v>2292.3009999999999</v>
          </cell>
          <cell r="L10">
            <v>3120</v>
          </cell>
          <cell r="M10">
            <v>3886</v>
          </cell>
          <cell r="N10">
            <v>5060</v>
          </cell>
          <cell r="O10">
            <v>7483</v>
          </cell>
          <cell r="P10">
            <v>10273</v>
          </cell>
          <cell r="Q10">
            <v>13287</v>
          </cell>
        </row>
        <row r="12">
          <cell r="C12">
            <v>0</v>
          </cell>
          <cell r="D12">
            <v>0</v>
          </cell>
          <cell r="E12">
            <v>0</v>
          </cell>
          <cell r="F12">
            <v>0</v>
          </cell>
          <cell r="G12">
            <v>0</v>
          </cell>
          <cell r="H12">
            <v>0</v>
          </cell>
          <cell r="I12">
            <v>0</v>
          </cell>
          <cell r="J12">
            <v>595.61500000000001</v>
          </cell>
          <cell r="K12">
            <v>944.1690000000001</v>
          </cell>
          <cell r="L12">
            <v>1324</v>
          </cell>
          <cell r="M12">
            <v>1550</v>
          </cell>
          <cell r="N12">
            <v>2162</v>
          </cell>
          <cell r="O12">
            <v>2973</v>
          </cell>
          <cell r="P12">
            <v>3218</v>
          </cell>
          <cell r="Q12">
            <v>3845</v>
          </cell>
        </row>
        <row r="13">
          <cell r="O13">
            <v>1432</v>
          </cell>
          <cell r="P13">
            <v>1925</v>
          </cell>
          <cell r="Q13">
            <v>2798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O15">
            <v>5593</v>
          </cell>
          <cell r="P15">
            <v>6228</v>
          </cell>
          <cell r="Q15">
            <v>7840</v>
          </cell>
        </row>
        <row r="17">
          <cell r="C17">
            <v>0</v>
          </cell>
          <cell r="D17">
            <v>0</v>
          </cell>
          <cell r="E17">
            <v>0</v>
          </cell>
          <cell r="F17">
            <v>0</v>
          </cell>
          <cell r="G17">
            <v>0</v>
          </cell>
          <cell r="H17">
            <v>0</v>
          </cell>
          <cell r="I17">
            <v>0</v>
          </cell>
          <cell r="J17">
            <v>649.8420000000001</v>
          </cell>
          <cell r="K17">
            <v>995.97899999999981</v>
          </cell>
          <cell r="L17">
            <v>1326</v>
          </cell>
          <cell r="M17">
            <v>1726</v>
          </cell>
          <cell r="N17">
            <v>2038</v>
          </cell>
          <cell r="O17">
            <v>3078</v>
          </cell>
          <cell r="P17">
            <v>5130</v>
          </cell>
          <cell r="Q17">
            <v>6644</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O19">
            <v>3078</v>
          </cell>
          <cell r="P19">
            <v>5130</v>
          </cell>
          <cell r="Q19">
            <v>6644</v>
          </cell>
        </row>
        <row r="21">
          <cell r="O21">
            <v>1432</v>
          </cell>
          <cell r="P21">
            <v>1925</v>
          </cell>
          <cell r="Q21">
            <v>2798</v>
          </cell>
        </row>
        <row r="22">
          <cell r="C22">
            <v>0</v>
          </cell>
          <cell r="D22">
            <v>0</v>
          </cell>
          <cell r="E22">
            <v>0</v>
          </cell>
          <cell r="F22">
            <v>0</v>
          </cell>
          <cell r="G22">
            <v>0</v>
          </cell>
          <cell r="H22">
            <v>0</v>
          </cell>
          <cell r="I22">
            <v>0</v>
          </cell>
          <cell r="J22">
            <v>0</v>
          </cell>
          <cell r="K22">
            <v>78.462000000000003</v>
          </cell>
          <cell r="L22">
            <v>195.84633333333335</v>
          </cell>
          <cell r="M22">
            <v>352.51299999999998</v>
          </cell>
          <cell r="N22">
            <v>477.38433333333336</v>
          </cell>
          <cell r="O22">
            <v>646.66666666666663</v>
          </cell>
          <cell r="P22">
            <v>967.33333333333337</v>
          </cell>
          <cell r="Q22">
            <v>1405.6666666666667</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O24">
            <v>785.33333333333337</v>
          </cell>
          <cell r="P24">
            <v>957.66666666666663</v>
          </cell>
          <cell r="Q24">
            <v>1392.3333333333333</v>
          </cell>
        </row>
        <row r="26">
          <cell r="C26">
            <v>0</v>
          </cell>
          <cell r="D26">
            <v>0</v>
          </cell>
          <cell r="E26">
            <v>0</v>
          </cell>
          <cell r="F26">
            <v>0</v>
          </cell>
          <cell r="G26">
            <v>0</v>
          </cell>
          <cell r="H26">
            <v>0</v>
          </cell>
          <cell r="I26">
            <v>0</v>
          </cell>
          <cell r="J26">
            <v>885.22800000000007</v>
          </cell>
          <cell r="K26">
            <v>1269.6699999999998</v>
          </cell>
          <cell r="L26">
            <v>1600.1536666666666</v>
          </cell>
          <cell r="M26">
            <v>1983.4870000000001</v>
          </cell>
          <cell r="N26">
            <v>2420.6156666666666</v>
          </cell>
          <cell r="O26">
            <v>3863.3333333333335</v>
          </cell>
          <cell r="P26">
            <v>6087.666666666667</v>
          </cell>
          <cell r="Q26">
            <v>8036.333333333333</v>
          </cell>
        </row>
        <row r="28">
          <cell r="O28">
            <v>0</v>
          </cell>
          <cell r="P28">
            <v>0</v>
          </cell>
          <cell r="Q28">
            <v>0</v>
          </cell>
        </row>
        <row r="29">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2">
          <cell r="C32">
            <v>0</v>
          </cell>
          <cell r="D32">
            <v>0</v>
          </cell>
          <cell r="E32">
            <v>0</v>
          </cell>
          <cell r="F32">
            <v>0</v>
          </cell>
          <cell r="G32">
            <v>0</v>
          </cell>
          <cell r="H32">
            <v>0</v>
          </cell>
          <cell r="I32">
            <v>0</v>
          </cell>
          <cell r="J32">
            <v>885.22800000000007</v>
          </cell>
          <cell r="K32">
            <v>1269.6699999999998</v>
          </cell>
          <cell r="L32">
            <v>1600.1536666666666</v>
          </cell>
          <cell r="M32">
            <v>1983.4870000000001</v>
          </cell>
          <cell r="N32">
            <v>2420.6156666666666</v>
          </cell>
          <cell r="O32">
            <v>3863.3333333333335</v>
          </cell>
          <cell r="P32">
            <v>6087.666666666667</v>
          </cell>
          <cell r="Q32">
            <v>8036.333333333333</v>
          </cell>
        </row>
        <row r="34">
          <cell r="C34">
            <v>0</v>
          </cell>
          <cell r="D34">
            <v>0</v>
          </cell>
          <cell r="E34">
            <v>0</v>
          </cell>
          <cell r="F34">
            <v>0</v>
          </cell>
          <cell r="G34">
            <v>0</v>
          </cell>
          <cell r="H34">
            <v>0</v>
          </cell>
          <cell r="I34">
            <v>0</v>
          </cell>
          <cell r="J34">
            <v>207.90100000000001</v>
          </cell>
          <cell r="K34">
            <v>333.20499999999998</v>
          </cell>
          <cell r="L34">
            <v>448</v>
          </cell>
          <cell r="M34">
            <v>576</v>
          </cell>
          <cell r="N34">
            <v>714</v>
          </cell>
          <cell r="O34">
            <v>1184</v>
          </cell>
          <cell r="P34">
            <v>1860</v>
          </cell>
          <cell r="Q34">
            <v>2627</v>
          </cell>
        </row>
        <row r="35">
          <cell r="O35">
            <v>169.71017066193156</v>
          </cell>
          <cell r="P35">
            <v>270.79789235980428</v>
          </cell>
          <cell r="Q35">
            <v>339.34082712753502</v>
          </cell>
        </row>
        <row r="36">
          <cell r="O36">
            <v>0</v>
          </cell>
          <cell r="P36">
            <v>0</v>
          </cell>
          <cell r="Q36">
            <v>0</v>
          </cell>
        </row>
        <row r="37">
          <cell r="O37">
            <v>0</v>
          </cell>
          <cell r="P37">
            <v>0</v>
          </cell>
          <cell r="Q37">
            <v>0</v>
          </cell>
        </row>
        <row r="38">
          <cell r="O38">
            <v>0</v>
          </cell>
          <cell r="P38">
            <v>0</v>
          </cell>
          <cell r="Q38">
            <v>0</v>
          </cell>
        </row>
        <row r="39">
          <cell r="C39">
            <v>0</v>
          </cell>
          <cell r="D39">
            <v>0</v>
          </cell>
          <cell r="E39">
            <v>0</v>
          </cell>
          <cell r="F39">
            <v>0</v>
          </cell>
          <cell r="G39">
            <v>0</v>
          </cell>
          <cell r="H39">
            <v>0</v>
          </cell>
          <cell r="I39">
            <v>0</v>
          </cell>
          <cell r="J39">
            <v>274.42247515522394</v>
          </cell>
          <cell r="K39">
            <v>406.29464387067657</v>
          </cell>
          <cell r="L39">
            <v>511.6836849869141</v>
          </cell>
          <cell r="M39">
            <v>663.46603484320553</v>
          </cell>
          <cell r="N39">
            <v>797.56326072911861</v>
          </cell>
          <cell r="O39">
            <v>1353.7101706619314</v>
          </cell>
          <cell r="P39">
            <v>2130.7978923598043</v>
          </cell>
          <cell r="Q39">
            <v>2966.3408271275348</v>
          </cell>
        </row>
        <row r="41">
          <cell r="C41">
            <v>0</v>
          </cell>
          <cell r="D41">
            <v>0</v>
          </cell>
          <cell r="E41">
            <v>0</v>
          </cell>
          <cell r="F41">
            <v>0</v>
          </cell>
          <cell r="G41">
            <v>0</v>
          </cell>
          <cell r="H41">
            <v>0</v>
          </cell>
          <cell r="I41">
            <v>0</v>
          </cell>
          <cell r="J41">
            <v>610.80552484477607</v>
          </cell>
          <cell r="K41">
            <v>863.37535612932334</v>
          </cell>
          <cell r="L41">
            <v>1088.4699816797524</v>
          </cell>
          <cell r="M41">
            <v>1320.0209651567945</v>
          </cell>
          <cell r="N41">
            <v>1623.052405937548</v>
          </cell>
          <cell r="O41">
            <v>2509.623162671402</v>
          </cell>
          <cell r="P41">
            <v>3956.8687743068626</v>
          </cell>
          <cell r="Q41">
            <v>5069.9925062057982</v>
          </cell>
        </row>
        <row r="43">
          <cell r="O43">
            <v>2195</v>
          </cell>
          <cell r="P43">
            <v>3439</v>
          </cell>
          <cell r="Q43">
            <v>4462</v>
          </cell>
        </row>
        <row r="44">
          <cell r="O44">
            <v>1432</v>
          </cell>
          <cell r="P44">
            <v>1925</v>
          </cell>
          <cell r="Q44">
            <v>2798</v>
          </cell>
        </row>
        <row r="45">
          <cell r="O45">
            <v>0</v>
          </cell>
          <cell r="P45">
            <v>0</v>
          </cell>
          <cell r="Q45">
            <v>0</v>
          </cell>
        </row>
        <row r="46">
          <cell r="O46">
            <v>3627</v>
          </cell>
          <cell r="P46">
            <v>5364</v>
          </cell>
          <cell r="Q46">
            <v>7260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O49">
            <v>646.66666666666663</v>
          </cell>
          <cell r="P49">
            <v>967.33333333333337</v>
          </cell>
          <cell r="Q49">
            <v>1405.6666666666667</v>
          </cell>
        </row>
        <row r="50">
          <cell r="O50">
            <v>0</v>
          </cell>
          <cell r="P50">
            <v>0</v>
          </cell>
          <cell r="Q50">
            <v>0</v>
          </cell>
        </row>
        <row r="51">
          <cell r="O51">
            <v>0</v>
          </cell>
          <cell r="P51">
            <v>0</v>
          </cell>
          <cell r="Q51">
            <v>0</v>
          </cell>
        </row>
        <row r="52">
          <cell r="O52">
            <v>0</v>
          </cell>
          <cell r="P52">
            <v>0</v>
          </cell>
          <cell r="Q52">
            <v>0</v>
          </cell>
        </row>
        <row r="53">
          <cell r="O53">
            <v>0</v>
          </cell>
          <cell r="P53">
            <v>0</v>
          </cell>
          <cell r="Q53">
            <v>0</v>
          </cell>
        </row>
        <row r="54">
          <cell r="O54">
            <v>0</v>
          </cell>
          <cell r="P54">
            <v>0</v>
          </cell>
          <cell r="Q54">
            <v>0</v>
          </cell>
        </row>
        <row r="55">
          <cell r="O55">
            <v>-646.66666666666663</v>
          </cell>
          <cell r="P55">
            <v>-967.33333333333337</v>
          </cell>
          <cell r="Q55">
            <v>-1405.6666666666667</v>
          </cell>
        </row>
        <row r="57">
          <cell r="O57">
            <v>2980.3333333333335</v>
          </cell>
          <cell r="P57">
            <v>4396.666666666667</v>
          </cell>
          <cell r="Q57">
            <v>5854.333333333333</v>
          </cell>
        </row>
        <row r="58">
          <cell r="C58">
            <v>0</v>
          </cell>
          <cell r="D58">
            <v>0</v>
          </cell>
          <cell r="E58">
            <v>0</v>
          </cell>
          <cell r="F58">
            <v>0</v>
          </cell>
          <cell r="G58">
            <v>0</v>
          </cell>
          <cell r="H58">
            <v>0</v>
          </cell>
          <cell r="I58">
            <v>0</v>
          </cell>
          <cell r="J58">
            <v>0</v>
          </cell>
          <cell r="K58">
            <v>0</v>
          </cell>
          <cell r="L58">
            <v>75</v>
          </cell>
          <cell r="M58">
            <v>102</v>
          </cell>
          <cell r="N58">
            <v>191</v>
          </cell>
          <cell r="O58">
            <v>320</v>
          </cell>
          <cell r="P58">
            <v>443</v>
          </cell>
          <cell r="Q58">
            <v>703</v>
          </cell>
        </row>
        <row r="59">
          <cell r="C59">
            <v>0</v>
          </cell>
          <cell r="D59">
            <v>0</v>
          </cell>
          <cell r="E59">
            <v>0</v>
          </cell>
          <cell r="F59">
            <v>0</v>
          </cell>
          <cell r="G59">
            <v>0</v>
          </cell>
          <cell r="H59">
            <v>0</v>
          </cell>
          <cell r="I59">
            <v>0</v>
          </cell>
          <cell r="J59">
            <v>16.463000000000001</v>
          </cell>
          <cell r="K59">
            <v>10.608000000000001</v>
          </cell>
          <cell r="L59">
            <v>0</v>
          </cell>
          <cell r="M59">
            <v>16</v>
          </cell>
          <cell r="N59">
            <v>16</v>
          </cell>
          <cell r="O59">
            <v>19</v>
          </cell>
          <cell r="P59">
            <v>259</v>
          </cell>
          <cell r="Q59">
            <v>230</v>
          </cell>
        </row>
        <row r="60">
          <cell r="O60">
            <v>0</v>
          </cell>
          <cell r="P60">
            <v>0</v>
          </cell>
          <cell r="Q60">
            <v>0</v>
          </cell>
        </row>
        <row r="61">
          <cell r="O61">
            <v>0</v>
          </cell>
          <cell r="P61">
            <v>15</v>
          </cell>
          <cell r="Q61">
            <v>28</v>
          </cell>
        </row>
        <row r="63">
          <cell r="C63">
            <v>0</v>
          </cell>
          <cell r="D63">
            <v>0</v>
          </cell>
          <cell r="E63">
            <v>0</v>
          </cell>
          <cell r="F63">
            <v>0</v>
          </cell>
          <cell r="G63">
            <v>0</v>
          </cell>
          <cell r="H63">
            <v>0</v>
          </cell>
          <cell r="I63">
            <v>0</v>
          </cell>
          <cell r="J63">
            <v>-37.265000000000001</v>
          </cell>
          <cell r="K63">
            <v>-55.893999999999998</v>
          </cell>
          <cell r="L63">
            <v>0</v>
          </cell>
          <cell r="M63">
            <v>0</v>
          </cell>
          <cell r="N63">
            <v>0</v>
          </cell>
          <cell r="O63">
            <v>0</v>
          </cell>
          <cell r="P63">
            <v>0</v>
          </cell>
          <cell r="Q63">
            <v>0</v>
          </cell>
        </row>
        <row r="64">
          <cell r="O64">
            <v>169.71017066193156</v>
          </cell>
          <cell r="P64">
            <v>270.79789235980428</v>
          </cell>
          <cell r="Q64">
            <v>339.34082712753502</v>
          </cell>
        </row>
        <row r="65">
          <cell r="O65">
            <v>0</v>
          </cell>
          <cell r="P65">
            <v>0</v>
          </cell>
          <cell r="Q65">
            <v>0</v>
          </cell>
        </row>
        <row r="66">
          <cell r="O66">
            <v>0</v>
          </cell>
          <cell r="P66">
            <v>0</v>
          </cell>
          <cell r="Q66">
            <v>0</v>
          </cell>
        </row>
        <row r="67">
          <cell r="O67">
            <v>-169.71017066193156</v>
          </cell>
          <cell r="P67">
            <v>-270.79789235980428</v>
          </cell>
          <cell r="Q67">
            <v>-339.34082712753502</v>
          </cell>
        </row>
        <row r="69">
          <cell r="O69">
            <v>2509.623162671402</v>
          </cell>
          <cell r="P69">
            <v>3956.8687743068631</v>
          </cell>
          <cell r="Q69">
            <v>5069.9925062057982</v>
          </cell>
        </row>
        <row r="71">
          <cell r="O71" t="str">
            <v>P-2</v>
          </cell>
          <cell r="P71" t="str">
            <v>P-1</v>
          </cell>
          <cell r="Q71" t="str">
            <v>Present (P)</v>
          </cell>
        </row>
        <row r="72">
          <cell r="O72">
            <v>1996</v>
          </cell>
          <cell r="P72">
            <v>1997</v>
          </cell>
          <cell r="Q72">
            <v>1998</v>
          </cell>
        </row>
        <row r="73">
          <cell r="O73">
            <v>8671</v>
          </cell>
          <cell r="P73">
            <v>11358</v>
          </cell>
          <cell r="Q73">
            <v>14484</v>
          </cell>
        </row>
        <row r="74">
          <cell r="O74">
            <v>0</v>
          </cell>
          <cell r="P74">
            <v>0</v>
          </cell>
          <cell r="Q74">
            <v>0</v>
          </cell>
        </row>
        <row r="75">
          <cell r="O75">
            <v>0</v>
          </cell>
          <cell r="P75">
            <v>0</v>
          </cell>
          <cell r="Q75">
            <v>0</v>
          </cell>
        </row>
        <row r="76">
          <cell r="O76">
            <v>8671</v>
          </cell>
          <cell r="P76">
            <v>11358</v>
          </cell>
          <cell r="Q76">
            <v>14484</v>
          </cell>
        </row>
        <row r="77">
          <cell r="O77">
            <v>1188</v>
          </cell>
          <cell r="P77">
            <v>1085</v>
          </cell>
          <cell r="Q77">
            <v>1197</v>
          </cell>
        </row>
        <row r="78">
          <cell r="O78">
            <v>7483</v>
          </cell>
          <cell r="P78">
            <v>10273</v>
          </cell>
          <cell r="Q78">
            <v>13287</v>
          </cell>
        </row>
        <row r="79">
          <cell r="O79">
            <v>2973</v>
          </cell>
          <cell r="P79">
            <v>3218</v>
          </cell>
          <cell r="Q79">
            <v>3845</v>
          </cell>
        </row>
        <row r="80">
          <cell r="O80">
            <v>1432</v>
          </cell>
          <cell r="P80">
            <v>1925</v>
          </cell>
          <cell r="Q80">
            <v>2798</v>
          </cell>
        </row>
        <row r="81">
          <cell r="O81">
            <v>0</v>
          </cell>
          <cell r="P81">
            <v>0</v>
          </cell>
          <cell r="Q81">
            <v>0</v>
          </cell>
        </row>
        <row r="82">
          <cell r="O82">
            <v>5593</v>
          </cell>
          <cell r="P82">
            <v>6228</v>
          </cell>
          <cell r="Q82">
            <v>7840</v>
          </cell>
        </row>
        <row r="84">
          <cell r="O84">
            <v>3078</v>
          </cell>
          <cell r="P84">
            <v>5130</v>
          </cell>
          <cell r="Q84">
            <v>6644</v>
          </cell>
        </row>
        <row r="85">
          <cell r="O85">
            <v>0</v>
          </cell>
          <cell r="P85">
            <v>0</v>
          </cell>
          <cell r="Q85">
            <v>0</v>
          </cell>
        </row>
        <row r="86">
          <cell r="O86">
            <v>0</v>
          </cell>
          <cell r="P86">
            <v>0</v>
          </cell>
          <cell r="Q86">
            <v>0</v>
          </cell>
        </row>
        <row r="87">
          <cell r="O87">
            <v>0</v>
          </cell>
          <cell r="P87">
            <v>0</v>
          </cell>
          <cell r="Q87">
            <v>0</v>
          </cell>
        </row>
        <row r="88">
          <cell r="O88">
            <v>320</v>
          </cell>
          <cell r="P88">
            <v>443</v>
          </cell>
          <cell r="Q88">
            <v>703</v>
          </cell>
        </row>
        <row r="89">
          <cell r="O89">
            <v>19</v>
          </cell>
          <cell r="P89">
            <v>259</v>
          </cell>
          <cell r="Q89">
            <v>230</v>
          </cell>
        </row>
        <row r="90">
          <cell r="C90">
            <v>0</v>
          </cell>
          <cell r="D90">
            <v>0</v>
          </cell>
          <cell r="E90">
            <v>0</v>
          </cell>
          <cell r="F90">
            <v>0</v>
          </cell>
          <cell r="G90">
            <v>0</v>
          </cell>
          <cell r="H90">
            <v>0</v>
          </cell>
          <cell r="I90">
            <v>0</v>
          </cell>
          <cell r="J90">
            <v>670.64400000000012</v>
          </cell>
          <cell r="K90">
            <v>1041.2649999999999</v>
          </cell>
          <cell r="L90">
            <v>1401</v>
          </cell>
          <cell r="M90">
            <v>1722</v>
          </cell>
          <cell r="N90">
            <v>2167</v>
          </cell>
          <cell r="O90">
            <v>3379</v>
          </cell>
          <cell r="P90">
            <v>5314</v>
          </cell>
          <cell r="Q90">
            <v>7117</v>
          </cell>
        </row>
        <row r="91">
          <cell r="O91">
            <v>1184</v>
          </cell>
          <cell r="P91">
            <v>1860</v>
          </cell>
          <cell r="Q91">
            <v>2627</v>
          </cell>
        </row>
        <row r="92">
          <cell r="O92">
            <v>0</v>
          </cell>
          <cell r="P92">
            <v>0</v>
          </cell>
          <cell r="Q92">
            <v>0</v>
          </cell>
        </row>
        <row r="93">
          <cell r="O93">
            <v>0</v>
          </cell>
          <cell r="P93">
            <v>15</v>
          </cell>
          <cell r="Q93">
            <v>28</v>
          </cell>
        </row>
        <row r="94">
          <cell r="C94">
            <v>0</v>
          </cell>
          <cell r="D94">
            <v>0</v>
          </cell>
          <cell r="E94">
            <v>0</v>
          </cell>
          <cell r="F94">
            <v>0</v>
          </cell>
          <cell r="G94">
            <v>0</v>
          </cell>
          <cell r="H94">
            <v>0</v>
          </cell>
          <cell r="I94">
            <v>0</v>
          </cell>
          <cell r="J94">
            <v>462.74300000000011</v>
          </cell>
          <cell r="K94">
            <v>708.06</v>
          </cell>
          <cell r="L94">
            <v>953</v>
          </cell>
          <cell r="M94">
            <v>1146</v>
          </cell>
          <cell r="N94">
            <v>1453</v>
          </cell>
          <cell r="O94">
            <v>2195</v>
          </cell>
          <cell r="P94">
            <v>3439</v>
          </cell>
          <cell r="Q94">
            <v>4462</v>
          </cell>
        </row>
        <row r="95">
          <cell r="O95">
            <v>-1055.02</v>
          </cell>
        </row>
        <row r="96">
          <cell r="C96">
            <v>0</v>
          </cell>
          <cell r="D96">
            <v>0</v>
          </cell>
          <cell r="E96">
            <v>0</v>
          </cell>
          <cell r="F96">
            <v>0</v>
          </cell>
          <cell r="G96">
            <v>0</v>
          </cell>
          <cell r="H96">
            <v>0</v>
          </cell>
          <cell r="I96">
            <v>0</v>
          </cell>
          <cell r="J96">
            <v>0.22427542553603974</v>
          </cell>
          <cell r="K96">
            <v>0.33348718914845515</v>
          </cell>
          <cell r="L96">
            <v>0.43012402736906719</v>
          </cell>
          <cell r="M96">
            <v>0.50392232736482923</v>
          </cell>
          <cell r="N96">
            <v>0.62389433728938737</v>
          </cell>
          <cell r="O96">
            <v>0.92814978942205228</v>
          </cell>
          <cell r="P96">
            <v>1.3105945121951219</v>
          </cell>
          <cell r="Q96">
            <v>1.67</v>
          </cell>
        </row>
        <row r="97">
          <cell r="O97">
            <v>0.35039952648712636</v>
          </cell>
          <cell r="P97">
            <v>0.35001881821603309</v>
          </cell>
          <cell r="Q97">
            <v>0.36911620064633971</v>
          </cell>
        </row>
        <row r="98">
          <cell r="O98">
            <v>0.35039952648712636</v>
          </cell>
          <cell r="P98">
            <v>0.35001881821603315</v>
          </cell>
          <cell r="Q98">
            <v>0.36911620064633976</v>
          </cell>
        </row>
        <row r="100">
          <cell r="C100">
            <v>0</v>
          </cell>
          <cell r="D100">
            <v>0</v>
          </cell>
          <cell r="E100">
            <v>0</v>
          </cell>
          <cell r="F100">
            <v>0</v>
          </cell>
          <cell r="G100">
            <v>0</v>
          </cell>
          <cell r="H100">
            <v>0</v>
          </cell>
          <cell r="I100">
            <v>0</v>
          </cell>
          <cell r="J100">
            <v>75.762</v>
          </cell>
          <cell r="K100">
            <v>112.321</v>
          </cell>
          <cell r="L100">
            <v>151</v>
          </cell>
          <cell r="M100">
            <v>237</v>
          </cell>
          <cell r="N100">
            <v>269</v>
          </cell>
          <cell r="O100">
            <v>480</v>
          </cell>
          <cell r="P100">
            <v>480</v>
          </cell>
          <cell r="Q100">
            <v>1024</v>
          </cell>
        </row>
        <row r="101">
          <cell r="C101">
            <v>0</v>
          </cell>
          <cell r="D101">
            <v>0</v>
          </cell>
          <cell r="E101">
            <v>0</v>
          </cell>
          <cell r="F101">
            <v>0</v>
          </cell>
          <cell r="G101">
            <v>0</v>
          </cell>
          <cell r="H101">
            <v>0</v>
          </cell>
          <cell r="I101">
            <v>0</v>
          </cell>
          <cell r="J101">
            <v>649.8420000000001</v>
          </cell>
          <cell r="K101">
            <v>995.97899999999981</v>
          </cell>
          <cell r="L101">
            <v>1326</v>
          </cell>
          <cell r="M101">
            <v>1726</v>
          </cell>
          <cell r="N101">
            <v>2038</v>
          </cell>
          <cell r="O101">
            <v>3078</v>
          </cell>
          <cell r="P101">
            <v>5130</v>
          </cell>
          <cell r="Q101">
            <v>6644</v>
          </cell>
        </row>
        <row r="102">
          <cell r="C102">
            <v>0</v>
          </cell>
          <cell r="D102">
            <v>0</v>
          </cell>
          <cell r="E102">
            <v>0</v>
          </cell>
          <cell r="F102">
            <v>0</v>
          </cell>
          <cell r="G102">
            <v>0</v>
          </cell>
          <cell r="H102">
            <v>0</v>
          </cell>
          <cell r="I102">
            <v>0</v>
          </cell>
          <cell r="J102">
            <v>725.60400000000004</v>
          </cell>
          <cell r="K102">
            <v>1108.2999999999997</v>
          </cell>
          <cell r="L102">
            <v>1477</v>
          </cell>
          <cell r="M102">
            <v>1963</v>
          </cell>
          <cell r="N102">
            <v>2307</v>
          </cell>
          <cell r="O102">
            <v>3558</v>
          </cell>
          <cell r="P102">
            <v>5610</v>
          </cell>
          <cell r="Q102">
            <v>7668</v>
          </cell>
        </row>
        <row r="103">
          <cell r="O103">
            <v>708</v>
          </cell>
          <cell r="P103">
            <v>605</v>
          </cell>
          <cell r="Q103">
            <v>173</v>
          </cell>
        </row>
        <row r="104">
          <cell r="C104">
            <v>0</v>
          </cell>
          <cell r="D104">
            <v>0</v>
          </cell>
          <cell r="E104">
            <v>0</v>
          </cell>
          <cell r="F104">
            <v>0</v>
          </cell>
          <cell r="G104">
            <v>0</v>
          </cell>
          <cell r="H104">
            <v>0</v>
          </cell>
          <cell r="I104">
            <v>0</v>
          </cell>
          <cell r="J104">
            <v>75.762</v>
          </cell>
          <cell r="K104">
            <v>112.321</v>
          </cell>
          <cell r="L104">
            <v>151</v>
          </cell>
          <cell r="M104">
            <v>237</v>
          </cell>
          <cell r="N104">
            <v>269</v>
          </cell>
          <cell r="O104">
            <v>480</v>
          </cell>
          <cell r="P104">
            <v>480</v>
          </cell>
          <cell r="Q104">
            <v>1024</v>
          </cell>
        </row>
        <row r="105">
          <cell r="O105">
            <v>0</v>
          </cell>
          <cell r="P105">
            <v>0</v>
          </cell>
          <cell r="Q105">
            <v>0</v>
          </cell>
        </row>
        <row r="108">
          <cell r="O108">
            <v>0.86299158113251062</v>
          </cell>
          <cell r="P108">
            <v>0.90447261841873572</v>
          </cell>
          <cell r="Q108">
            <v>0.91735708367854185</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v>0.39361582092531761</v>
          </cell>
          <cell r="K109">
            <v>0.40174355907167253</v>
          </cell>
          <cell r="L109">
            <v>0.39355182520650145</v>
          </cell>
          <cell r="M109">
            <v>0.42224134222413423</v>
          </cell>
          <cell r="N109">
            <v>0.38858009095502777</v>
          </cell>
          <cell r="O109">
            <v>0.41033329489101605</v>
          </cell>
          <cell r="P109">
            <v>0.49392498679344954</v>
          </cell>
          <cell r="Q109">
            <v>0.52941176470588236</v>
          </cell>
        </row>
        <row r="110">
          <cell r="O110">
            <v>0.35497635797485871</v>
          </cell>
          <cell r="P110">
            <v>0.45166402535657685</v>
          </cell>
          <cell r="Q110">
            <v>0.45871306268986467</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v>0.35251747826879432</v>
          </cell>
          <cell r="K111">
            <v>0.36102873610091613</v>
          </cell>
          <cell r="L111">
            <v>0.35331734612310151</v>
          </cell>
          <cell r="M111">
            <v>0.37126263712626373</v>
          </cell>
          <cell r="N111">
            <v>0.34327101229577228</v>
          </cell>
          <cell r="O111">
            <v>0.35497635797485871</v>
          </cell>
          <cell r="P111">
            <v>0.45166402535657685</v>
          </cell>
          <cell r="Q111">
            <v>0.45871306268986467</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v>0.33134150044307359</v>
          </cell>
          <cell r="K112">
            <v>0.3129617327313608</v>
          </cell>
          <cell r="L112">
            <v>0.29002664046889221</v>
          </cell>
          <cell r="M112">
            <v>0.2839365379988803</v>
          </cell>
          <cell r="N112">
            <v>0.27337921609188948</v>
          </cell>
          <cell r="O112">
            <v>0.28942718979026666</v>
          </cell>
          <cell r="P112">
            <v>0.34837724725364172</v>
          </cell>
          <cell r="Q112">
            <v>0.35004090763641249</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v>0.25102254924510375</v>
          </cell>
          <cell r="K113">
            <v>0.2566620449664247</v>
          </cell>
          <cell r="L113">
            <v>0.25393018918198773</v>
          </cell>
          <cell r="M113">
            <v>0.24650462465046247</v>
          </cell>
          <cell r="N113">
            <v>0.24473639885464038</v>
          </cell>
          <cell r="O113">
            <v>0.25314265943951103</v>
          </cell>
          <cell r="P113">
            <v>0.30278217996126078</v>
          </cell>
          <cell r="Q113">
            <v>0.30806407069870201</v>
          </cell>
        </row>
        <row r="114">
          <cell r="O114">
            <v>0.34286702802444929</v>
          </cell>
          <cell r="P114">
            <v>0.28332452896636734</v>
          </cell>
          <cell r="Q114">
            <v>0.26546534106600389</v>
          </cell>
        </row>
        <row r="115">
          <cell r="O115">
            <v>5.5356936916157305E-2</v>
          </cell>
          <cell r="P115">
            <v>4.226096143687269E-2</v>
          </cell>
          <cell r="Q115">
            <v>7.0698702016017675E-2</v>
          </cell>
        </row>
        <row r="119">
          <cell r="O119">
            <v>0.28942718979026666</v>
          </cell>
          <cell r="P119">
            <v>0.34837724725364172</v>
          </cell>
          <cell r="Q119">
            <v>0.35004090763641249</v>
          </cell>
        </row>
        <row r="120">
          <cell r="O120">
            <v>2.6407742941489385</v>
          </cell>
          <cell r="P120">
            <v>3.6809060425884974</v>
          </cell>
          <cell r="Q120">
            <v>4.6200563950545899</v>
          </cell>
        </row>
        <row r="121">
          <cell r="O121">
            <v>0.76431188282590234</v>
          </cell>
          <cell r="P121">
            <v>1.2823439145162767</v>
          </cell>
          <cell r="Q121">
            <v>1.6172087338563206</v>
          </cell>
        </row>
        <row r="122">
          <cell r="O122">
            <v>1.2466970766485552</v>
          </cell>
          <cell r="P122">
            <v>2.8394438714170476</v>
          </cell>
          <cell r="Q122" t="str">
            <v>NM</v>
          </cell>
        </row>
        <row r="123">
          <cell r="O123">
            <v>0.17917791348734502</v>
          </cell>
          <cell r="P123">
            <v>0.51803203169037437</v>
          </cell>
          <cell r="Q123">
            <v>0.33486481934004386</v>
          </cell>
        </row>
        <row r="124">
          <cell r="O124">
            <v>2093.6521206047355</v>
          </cell>
          <cell r="P124">
            <v>3584.9915151018267</v>
          </cell>
          <cell r="Q124">
            <v>4691.3010948295905</v>
          </cell>
        </row>
        <row r="125">
          <cell r="O125">
            <v>808.29761893385421</v>
          </cell>
          <cell r="P125">
            <v>1491.3393944970912</v>
          </cell>
          <cell r="Q125">
            <v>1106.3095797277638</v>
          </cell>
        </row>
        <row r="128">
          <cell r="O128">
            <v>14.214754098360656</v>
          </cell>
          <cell r="P128">
            <v>14.03088326127239</v>
          </cell>
          <cell r="Q128">
            <v>11.872131147540983</v>
          </cell>
        </row>
        <row r="129">
          <cell r="O129">
            <v>197.06818181818181</v>
          </cell>
          <cell r="P129" t="str">
            <v xml:space="preserve">--  </v>
          </cell>
          <cell r="Q129" t="str">
            <v xml:space="preserve">--  </v>
          </cell>
        </row>
        <row r="130">
          <cell r="O130">
            <v>-12.224039247751433</v>
          </cell>
          <cell r="P130">
            <v>-7.7586206896551717</v>
          </cell>
          <cell r="Q130">
            <v>-5.8671505999206053</v>
          </cell>
        </row>
        <row r="131">
          <cell r="O131">
            <v>6.8872120730738677</v>
          </cell>
          <cell r="P131">
            <v>8.1390182730204224</v>
          </cell>
          <cell r="Q131">
            <v>9.7535353535353533</v>
          </cell>
        </row>
        <row r="132">
          <cell r="O132">
            <v>2.3196896736222583</v>
          </cell>
          <cell r="P132">
            <v>2.4433688286544051</v>
          </cell>
          <cell r="Q132">
            <v>2.5961641871303107</v>
          </cell>
        </row>
        <row r="133">
          <cell r="O133">
            <v>13.078431372549019</v>
          </cell>
          <cell r="P133">
            <v>20.084880636604776</v>
          </cell>
          <cell r="Q133">
            <v>62.565874730021598</v>
          </cell>
        </row>
        <row r="134">
          <cell r="O134" t="str">
            <v xml:space="preserve">--  </v>
          </cell>
          <cell r="P134" t="str">
            <v xml:space="preserve">--  </v>
          </cell>
          <cell r="Q134" t="str">
            <v xml:space="preserve">--  </v>
          </cell>
        </row>
        <row r="135">
          <cell r="O135">
            <v>2.6407742941489385</v>
          </cell>
          <cell r="P135">
            <v>3.6809060425884974</v>
          </cell>
          <cell r="Q135">
            <v>4.6200563950545899</v>
          </cell>
        </row>
        <row r="138">
          <cell r="O138">
            <v>0.46050193700522152</v>
          </cell>
          <cell r="P138">
            <v>0.30988351977857226</v>
          </cell>
          <cell r="Q138">
            <v>0.27522451135763337</v>
          </cell>
        </row>
        <row r="139">
          <cell r="O139" t="str">
            <v xml:space="preserve">--  </v>
          </cell>
          <cell r="P139" t="str">
            <v xml:space="preserve">--  </v>
          </cell>
          <cell r="Q139" t="str">
            <v xml:space="preserve">--  </v>
          </cell>
        </row>
        <row r="140">
          <cell r="O140">
            <v>0.46050193700522152</v>
          </cell>
          <cell r="P140">
            <v>0.30988351977857226</v>
          </cell>
          <cell r="Q140">
            <v>0.27522451135763337</v>
          </cell>
        </row>
        <row r="141">
          <cell r="O141">
            <v>0.51066758430832759</v>
          </cell>
          <cell r="P141">
            <v>0.56674259681093397</v>
          </cell>
          <cell r="Q141">
            <v>0.29747019482407677</v>
          </cell>
        </row>
        <row r="142">
          <cell r="O142">
            <v>0.5422626788036411</v>
          </cell>
          <cell r="P142">
            <v>0.57672849915682967</v>
          </cell>
          <cell r="Q142">
            <v>0.36684491978609624</v>
          </cell>
        </row>
        <row r="143">
          <cell r="O143">
            <v>0.51030421982335628</v>
          </cell>
          <cell r="P143">
            <v>0.66666666666666663</v>
          </cell>
          <cell r="Q143">
            <v>0.29512670565302146</v>
          </cell>
        </row>
        <row r="144">
          <cell r="O144">
            <v>0.54623667941376852</v>
          </cell>
          <cell r="P144">
            <v>0.57667845641611015</v>
          </cell>
          <cell r="Q144">
            <v>0.28131429051344392</v>
          </cell>
        </row>
        <row r="145">
          <cell r="O145">
            <v>0.66511627906976745</v>
          </cell>
          <cell r="P145">
            <v>0.34427374301675978</v>
          </cell>
          <cell r="Q145">
            <v>0.45350649350649352</v>
          </cell>
        </row>
        <row r="146">
          <cell r="O146">
            <v>0.78438661710037172</v>
          </cell>
          <cell r="P146">
            <v>0</v>
          </cell>
          <cell r="Q146">
            <v>1.1333333333333333</v>
          </cell>
        </row>
        <row r="147">
          <cell r="O147">
            <v>0</v>
          </cell>
          <cell r="P147">
            <v>0</v>
          </cell>
          <cell r="Q147">
            <v>0</v>
          </cell>
        </row>
        <row r="148">
          <cell r="O148">
            <v>0</v>
          </cell>
          <cell r="P148">
            <v>0</v>
          </cell>
          <cell r="Q148">
            <v>0</v>
          </cell>
        </row>
        <row r="149">
          <cell r="O149">
            <v>0</v>
          </cell>
          <cell r="P149">
            <v>0</v>
          </cell>
          <cell r="Q149">
            <v>0</v>
          </cell>
        </row>
        <row r="150">
          <cell r="O150">
            <v>0.48767144362065107</v>
          </cell>
          <cell r="P150">
            <v>0.41205064864714708</v>
          </cell>
          <cell r="Q150">
            <v>0.27423088107007848</v>
          </cell>
        </row>
        <row r="151">
          <cell r="M151">
            <v>3.0141843971631204E-2</v>
          </cell>
          <cell r="N151">
            <v>1.2048192771084338E-2</v>
          </cell>
          <cell r="O151">
            <v>1.5306122448979591E-2</v>
          </cell>
          <cell r="P151">
            <v>9.8827470686767172E-2</v>
          </cell>
          <cell r="Q151">
            <v>-8.2317073170731711E-2</v>
          </cell>
        </row>
        <row r="152">
          <cell r="O152">
            <v>0.46105263157894738</v>
          </cell>
          <cell r="P152">
            <v>0.29193083573487033</v>
          </cell>
          <cell r="Q152">
            <v>0.553312513941557</v>
          </cell>
        </row>
        <row r="153">
          <cell r="M153" t="str">
            <v>--</v>
          </cell>
          <cell r="N153">
            <v>0</v>
          </cell>
          <cell r="O153">
            <v>0</v>
          </cell>
          <cell r="P153">
            <v>0</v>
          </cell>
          <cell r="Q153">
            <v>0</v>
          </cell>
        </row>
        <row r="154">
          <cell r="O154">
            <v>0.11241610738255034</v>
          </cell>
          <cell r="P154">
            <v>0.10482654600301659</v>
          </cell>
          <cell r="Q154">
            <v>2.7303754266211604E-2</v>
          </cell>
        </row>
        <row r="155">
          <cell r="O155">
            <v>1.3316582914572865</v>
          </cell>
          <cell r="P155">
            <v>-0.78125</v>
          </cell>
          <cell r="Q155">
            <v>0.28078817733990147</v>
          </cell>
        </row>
        <row r="159">
          <cell r="P159" t="str">
            <v>5 year CAGR</v>
          </cell>
        </row>
        <row r="160">
          <cell r="P160" t="str">
            <v>Sales</v>
          </cell>
          <cell r="Q160">
            <v>0.28163260402248325</v>
          </cell>
        </row>
        <row r="161">
          <cell r="P161" t="str">
            <v>EBITDA</v>
          </cell>
          <cell r="Q161">
            <v>-1</v>
          </cell>
        </row>
        <row r="162">
          <cell r="P162" t="str">
            <v>NOPAT</v>
          </cell>
          <cell r="Q162">
            <v>0.26574116645566637</v>
          </cell>
        </row>
      </sheetData>
      <sheetData sheetId="9" refreshError="1">
        <row r="1">
          <cell r="F1" t="str">
            <v>Discounted Cash Flow</v>
          </cell>
        </row>
        <row r="2">
          <cell r="D2">
            <v>1</v>
          </cell>
          <cell r="E2">
            <v>2</v>
          </cell>
          <cell r="F2">
            <v>3</v>
          </cell>
          <cell r="G2">
            <v>4</v>
          </cell>
          <cell r="H2">
            <v>5</v>
          </cell>
          <cell r="I2">
            <v>6</v>
          </cell>
          <cell r="J2">
            <v>7</v>
          </cell>
          <cell r="K2">
            <v>8</v>
          </cell>
          <cell r="L2">
            <v>9</v>
          </cell>
          <cell r="M2">
            <v>10</v>
          </cell>
          <cell r="Q2">
            <v>14</v>
          </cell>
          <cell r="R2">
            <v>15</v>
          </cell>
          <cell r="AA2">
            <v>24</v>
          </cell>
          <cell r="AB2">
            <v>25</v>
          </cell>
        </row>
        <row r="3">
          <cell r="C3" t="str">
            <v>Present(P)</v>
          </cell>
          <cell r="D3" t="str">
            <v>Estimated Year 1</v>
          </cell>
          <cell r="E3" t="str">
            <v>EY 2</v>
          </cell>
          <cell r="F3" t="str">
            <v>EY 3</v>
          </cell>
          <cell r="G3" t="str">
            <v>EY 4</v>
          </cell>
          <cell r="H3" t="str">
            <v>EY 5</v>
          </cell>
          <cell r="I3" t="str">
            <v>EY 6</v>
          </cell>
          <cell r="J3" t="str">
            <v>EY 7</v>
          </cell>
          <cell r="K3" t="str">
            <v>EY 8</v>
          </cell>
          <cell r="L3" t="str">
            <v>EY 9</v>
          </cell>
          <cell r="M3" t="str">
            <v>EY 10</v>
          </cell>
          <cell r="Q3" t="str">
            <v>EY 14</v>
          </cell>
          <cell r="R3" t="str">
            <v>EY 15</v>
          </cell>
          <cell r="AA3" t="str">
            <v>EY 24</v>
          </cell>
          <cell r="AB3" t="str">
            <v>EY 25</v>
          </cell>
        </row>
        <row r="4">
          <cell r="C4">
            <v>1998</v>
          </cell>
          <cell r="D4" t="str">
            <v>1999E</v>
          </cell>
          <cell r="E4" t="str">
            <v>2000E</v>
          </cell>
          <cell r="F4" t="str">
            <v>2001E</v>
          </cell>
          <cell r="G4" t="str">
            <v>2002E</v>
          </cell>
          <cell r="H4" t="str">
            <v>2003E</v>
          </cell>
          <cell r="I4" t="str">
            <v>2004E</v>
          </cell>
          <cell r="J4" t="str">
            <v>2005E</v>
          </cell>
          <cell r="K4" t="str">
            <v>2006E</v>
          </cell>
          <cell r="L4" t="str">
            <v>2007E</v>
          </cell>
          <cell r="M4" t="str">
            <v>2008E</v>
          </cell>
          <cell r="Q4" t="str">
            <v>2012E</v>
          </cell>
          <cell r="R4" t="str">
            <v>2013E</v>
          </cell>
          <cell r="AA4" t="str">
            <v>2022E</v>
          </cell>
          <cell r="AB4" t="str">
            <v>2023E</v>
          </cell>
        </row>
        <row r="6">
          <cell r="C6">
            <v>14484</v>
          </cell>
          <cell r="D6">
            <v>17500</v>
          </cell>
          <cell r="E6">
            <v>21612.5</v>
          </cell>
          <cell r="F6">
            <v>26691.437500000004</v>
          </cell>
          <cell r="G6">
            <v>32296.639375000002</v>
          </cell>
          <cell r="H6">
            <v>39078.933643750002</v>
          </cell>
          <cell r="I6">
            <v>46503.931036062502</v>
          </cell>
          <cell r="J6">
            <v>55339.677932914376</v>
          </cell>
          <cell r="K6">
            <v>65854.216740168107</v>
          </cell>
          <cell r="L6">
            <v>78366.517920800048</v>
          </cell>
          <cell r="M6">
            <v>93256.156325752047</v>
          </cell>
          <cell r="N6">
            <v>108177.14133787237</v>
          </cell>
          <cell r="O6">
            <v>125485.48395193194</v>
          </cell>
          <cell r="P6">
            <v>145563.16138424104</v>
          </cell>
          <cell r="Q6">
            <v>168853.2672057196</v>
          </cell>
          <cell r="R6">
            <v>195869.78995863473</v>
          </cell>
          <cell r="S6">
            <v>223291.56055284361</v>
          </cell>
          <cell r="T6">
            <v>254552.37903024175</v>
          </cell>
          <cell r="U6">
            <v>290189.71209447563</v>
          </cell>
          <cell r="V6">
            <v>330816.27178770228</v>
          </cell>
          <cell r="W6">
            <v>377130.54983798065</v>
          </cell>
          <cell r="X6">
            <v>429928.826815298</v>
          </cell>
          <cell r="Y6">
            <v>490118.86256943975</v>
          </cell>
          <cell r="Z6">
            <v>558735.50332916132</v>
          </cell>
          <cell r="AA6">
            <v>636958.473795244</v>
          </cell>
          <cell r="AB6">
            <v>726132.6601265783</v>
          </cell>
          <cell r="AC6">
            <v>827791.23254429933</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14484</v>
          </cell>
          <cell r="D9">
            <v>17500</v>
          </cell>
          <cell r="E9">
            <v>21612.5</v>
          </cell>
          <cell r="F9">
            <v>26691.437500000004</v>
          </cell>
          <cell r="G9">
            <v>32296.639375000002</v>
          </cell>
          <cell r="H9">
            <v>39078.933643750002</v>
          </cell>
          <cell r="I9">
            <v>46503.931036062502</v>
          </cell>
          <cell r="J9">
            <v>55339.677932914376</v>
          </cell>
          <cell r="K9">
            <v>65854.216740168107</v>
          </cell>
          <cell r="L9">
            <v>78366.517920800048</v>
          </cell>
          <cell r="M9">
            <v>93256.156325752047</v>
          </cell>
          <cell r="N9">
            <v>108177.14133787237</v>
          </cell>
          <cell r="O9">
            <v>125485.48395193194</v>
          </cell>
          <cell r="P9">
            <v>145563.16138424104</v>
          </cell>
          <cell r="Q9">
            <v>168853.2672057196</v>
          </cell>
          <cell r="R9">
            <v>195869.78995863473</v>
          </cell>
          <cell r="S9">
            <v>223291.56055284361</v>
          </cell>
          <cell r="T9">
            <v>254552.37903024175</v>
          </cell>
          <cell r="U9">
            <v>290189.71209447563</v>
          </cell>
          <cell r="V9">
            <v>330816.27178770228</v>
          </cell>
          <cell r="W9">
            <v>377130.54983798065</v>
          </cell>
          <cell r="X9">
            <v>429928.826815298</v>
          </cell>
          <cell r="Y9">
            <v>490118.86256943975</v>
          </cell>
          <cell r="Z9">
            <v>558735.50332916132</v>
          </cell>
          <cell r="AA9">
            <v>636958.473795244</v>
          </cell>
          <cell r="AB9">
            <v>726132.6601265783</v>
          </cell>
          <cell r="AC9">
            <v>827791.23254429933</v>
          </cell>
        </row>
        <row r="10">
          <cell r="C10">
            <v>0.27522451135763337</v>
          </cell>
          <cell r="D10">
            <v>0.20822977078155205</v>
          </cell>
          <cell r="E10">
            <v>0.23499999999999999</v>
          </cell>
          <cell r="F10">
            <v>0.23500000000000018</v>
          </cell>
          <cell r="G10">
            <v>0.20999999999999994</v>
          </cell>
          <cell r="H10">
            <v>0.21</v>
          </cell>
          <cell r="I10">
            <v>0.18999999999999997</v>
          </cell>
          <cell r="J10">
            <v>0.18999999999999995</v>
          </cell>
          <cell r="K10">
            <v>0.19</v>
          </cell>
          <cell r="L10">
            <v>0.19</v>
          </cell>
          <cell r="M10">
            <v>0.18999999999999986</v>
          </cell>
          <cell r="Q10">
            <v>0.15999999999999995</v>
          </cell>
          <cell r="R10">
            <v>0.15999999999999998</v>
          </cell>
          <cell r="AA10">
            <v>0.14000000000000018</v>
          </cell>
          <cell r="AB10">
            <v>0.14000000000000021</v>
          </cell>
        </row>
        <row r="12">
          <cell r="C12">
            <v>5069.9925062057982</v>
          </cell>
          <cell r="D12">
            <v>6318.6657333333351</v>
          </cell>
          <cell r="E12">
            <v>7475.881768166666</v>
          </cell>
          <cell r="F12">
            <v>8875.9970636858325</v>
          </cell>
          <cell r="G12">
            <v>10754.780911875001</v>
          </cell>
          <cell r="H12">
            <v>13013.284903368751</v>
          </cell>
          <cell r="I12">
            <v>15485.809035008813</v>
          </cell>
          <cell r="J12">
            <v>18428.112751660487</v>
          </cell>
          <cell r="K12">
            <v>21929.454174475981</v>
          </cell>
          <cell r="L12">
            <v>26096.050467626417</v>
          </cell>
          <cell r="M12">
            <v>31054.300056475433</v>
          </cell>
          <cell r="N12">
            <v>36022.988065511498</v>
          </cell>
          <cell r="O12">
            <v>41786.666155993335</v>
          </cell>
          <cell r="P12">
            <v>48472.532740952272</v>
          </cell>
          <cell r="Q12">
            <v>56228.13797950463</v>
          </cell>
          <cell r="R12">
            <v>65224.640056225369</v>
          </cell>
          <cell r="S12">
            <v>74356.089664096929</v>
          </cell>
          <cell r="T12">
            <v>84765.942217070507</v>
          </cell>
          <cell r="U12">
            <v>96633.174127460385</v>
          </cell>
          <cell r="V12">
            <v>110161.81850530487</v>
          </cell>
          <cell r="W12">
            <v>125584.47309604756</v>
          </cell>
          <cell r="X12">
            <v>143166.29932949424</v>
          </cell>
          <cell r="Y12">
            <v>163209.58123562345</v>
          </cell>
          <cell r="Z12">
            <v>186058.92260861074</v>
          </cell>
          <cell r="AA12">
            <v>212107.17177381626</v>
          </cell>
          <cell r="AB12">
            <v>241802.17582215057</v>
          </cell>
          <cell r="AC12">
            <v>275654.48043725168</v>
          </cell>
        </row>
        <row r="13">
          <cell r="C13">
            <v>0.28131429051344392</v>
          </cell>
          <cell r="D13">
            <v>0.2462869965979495</v>
          </cell>
          <cell r="E13">
            <v>0.18314246767772216</v>
          </cell>
          <cell r="F13">
            <v>0.1872843015630678</v>
          </cell>
          <cell r="G13">
            <v>0.21167017459658641</v>
          </cell>
          <cell r="H13">
            <v>0.20999999999999996</v>
          </cell>
          <cell r="I13">
            <v>0.18999999999999997</v>
          </cell>
          <cell r="J13">
            <v>0.18999999999999992</v>
          </cell>
          <cell r="K13">
            <v>0.19000000000000011</v>
          </cell>
          <cell r="L13">
            <v>0.19</v>
          </cell>
          <cell r="M13">
            <v>0.18999999999999986</v>
          </cell>
          <cell r="Q13">
            <v>0.15999999999999989</v>
          </cell>
          <cell r="R13">
            <v>0.15999999999999998</v>
          </cell>
          <cell r="AA13">
            <v>0.14000000000000007</v>
          </cell>
          <cell r="AB13">
            <v>0.14000000000000021</v>
          </cell>
        </row>
        <row r="15">
          <cell r="C15">
            <v>7668</v>
          </cell>
          <cell r="D15">
            <v>10062.500000000002</v>
          </cell>
          <cell r="E15">
            <v>11772.999999999998</v>
          </cell>
          <cell r="F15">
            <v>13773.999999999998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-1439.9599999999998</v>
          </cell>
          <cell r="D18">
            <v>-311.36000000000013</v>
          </cell>
          <cell r="E18">
            <v>-429.5454545454545</v>
          </cell>
          <cell r="F18">
            <v>-519.02746212121247</v>
          </cell>
          <cell r="G18">
            <v>-165.23270833333299</v>
          </cell>
          <cell r="H18">
            <v>-968.89918125000077</v>
          </cell>
          <cell r="I18">
            <v>-617.81933189166648</v>
          </cell>
          <cell r="J18">
            <v>-1178.0995862469163</v>
          </cell>
          <cell r="K18">
            <v>-1401.9385076338303</v>
          </cell>
          <cell r="L18">
            <v>-1668.3068240842586</v>
          </cell>
          <cell r="M18">
            <v>-1985.2851206602663</v>
          </cell>
          <cell r="Q18">
            <v>-2911.2632276848199</v>
          </cell>
          <cell r="R18">
            <v>-3377.0653441143913</v>
          </cell>
          <cell r="AA18">
            <v>-9202.7024077744281</v>
          </cell>
          <cell r="AB18">
            <v>-10491.080744862862</v>
          </cell>
        </row>
        <row r="19">
          <cell r="C19">
            <v>975.40054330008002</v>
          </cell>
          <cell r="D19">
            <v>347.58825583323483</v>
          </cell>
          <cell r="E19">
            <v>622.52545538638253</v>
          </cell>
          <cell r="F19">
            <v>642.47306548298025</v>
          </cell>
          <cell r="G19">
            <v>1244.671824259769</v>
          </cell>
          <cell r="H19">
            <v>2187.8368608870969</v>
          </cell>
          <cell r="I19">
            <v>1926.3708217534004</v>
          </cell>
          <cell r="J19">
            <v>2761.17090526621</v>
          </cell>
          <cell r="K19">
            <v>3285.793377266793</v>
          </cell>
          <cell r="L19">
            <v>3910.0941189474797</v>
          </cell>
          <cell r="M19">
            <v>4653.0120015475004</v>
          </cell>
          <cell r="Q19">
            <v>7057.6078246904726</v>
          </cell>
          <cell r="R19">
            <v>8186.8250766409474</v>
          </cell>
          <cell r="AA19">
            <v>22673.324772777589</v>
          </cell>
          <cell r="AB19">
            <v>25847.59024096647</v>
          </cell>
        </row>
        <row r="20">
          <cell r="C20">
            <v>0</v>
          </cell>
          <cell r="D20">
            <v>0</v>
          </cell>
          <cell r="E20">
            <v>0</v>
          </cell>
          <cell r="F20">
            <v>0</v>
          </cell>
          <cell r="G20">
            <v>0</v>
          </cell>
          <cell r="H20">
            <v>0</v>
          </cell>
          <cell r="I20">
            <v>0</v>
          </cell>
          <cell r="J20">
            <v>0</v>
          </cell>
          <cell r="K20">
            <v>0</v>
          </cell>
          <cell r="L20">
            <v>0</v>
          </cell>
          <cell r="M20">
            <v>0</v>
          </cell>
          <cell r="Q20">
            <v>0</v>
          </cell>
          <cell r="R20">
            <v>0</v>
          </cell>
          <cell r="AA20">
            <v>0</v>
          </cell>
          <cell r="AB20">
            <v>0</v>
          </cell>
        </row>
        <row r="21">
          <cell r="C21">
            <v>-464.55945669991979</v>
          </cell>
          <cell r="D21">
            <v>549.99925583323602</v>
          </cell>
          <cell r="E21">
            <v>520.00010084092901</v>
          </cell>
          <cell r="F21">
            <v>520.00000186176749</v>
          </cell>
          <cell r="G21">
            <v>1079.439115926436</v>
          </cell>
          <cell r="H21">
            <v>1218.9376796370962</v>
          </cell>
          <cell r="I21">
            <v>1308.5514898617339</v>
          </cell>
          <cell r="J21">
            <v>1583.0713190192928</v>
          </cell>
          <cell r="K21">
            <v>1883.8548696329635</v>
          </cell>
          <cell r="L21">
            <v>2241.7872948632212</v>
          </cell>
          <cell r="M21">
            <v>2667.7268808872359</v>
          </cell>
          <cell r="Q21">
            <v>4146.3445970056528</v>
          </cell>
          <cell r="R21">
            <v>4809.7597325265524</v>
          </cell>
          <cell r="AA21">
            <v>13470.622365003161</v>
          </cell>
          <cell r="AB21">
            <v>15356.509496103608</v>
          </cell>
        </row>
        <row r="23">
          <cell r="C23">
            <v>5534.551962905718</v>
          </cell>
          <cell r="D23">
            <v>5768.6664775000991</v>
          </cell>
          <cell r="E23">
            <v>6955.881667325737</v>
          </cell>
          <cell r="F23">
            <v>8355.9970618240659</v>
          </cell>
          <cell r="G23">
            <v>9675.341795948565</v>
          </cell>
          <cell r="H23">
            <v>11794.347223731655</v>
          </cell>
          <cell r="I23">
            <v>14177.25754514708</v>
          </cell>
          <cell r="J23">
            <v>16845.041432641192</v>
          </cell>
          <cell r="K23">
            <v>20045.599304843017</v>
          </cell>
          <cell r="L23">
            <v>23854.263172763196</v>
          </cell>
          <cell r="M23">
            <v>28386.573175588197</v>
          </cell>
          <cell r="Q23">
            <v>52081.793382498974</v>
          </cell>
          <cell r="R23">
            <v>60414.880323698817</v>
          </cell>
          <cell r="AA23">
            <v>198636.54940881309</v>
          </cell>
          <cell r="AB23">
            <v>226445.66632604698</v>
          </cell>
        </row>
        <row r="26">
          <cell r="C26">
            <v>5534.551962905718</v>
          </cell>
          <cell r="D26">
            <v>5150.929813933788</v>
          </cell>
          <cell r="E26">
            <v>5545.9070811825331</v>
          </cell>
          <cell r="F26">
            <v>5948.7933710985008</v>
          </cell>
          <cell r="G26">
            <v>6150.4532742778074</v>
          </cell>
          <cell r="H26">
            <v>6694.6043971750541</v>
          </cell>
          <cell r="I26">
            <v>7185.4412023210007</v>
          </cell>
          <cell r="J26">
            <v>7623.3085230587631</v>
          </cell>
          <cell r="K26">
            <v>8100.2917213917799</v>
          </cell>
          <cell r="L26">
            <v>8607.1193069490364</v>
          </cell>
          <cell r="M26">
            <v>9145.6586147895032</v>
          </cell>
          <cell r="Q26">
            <v>10666.667466867808</v>
          </cell>
          <cell r="R26">
            <v>11048.33787743816</v>
          </cell>
          <cell r="AA26">
            <v>13107.021345083123</v>
          </cell>
          <cell r="AB26">
            <v>13341.942353749055</v>
          </cell>
        </row>
        <row r="27">
          <cell r="C27">
            <v>5534.551962905718</v>
          </cell>
          <cell r="D27">
            <v>5150.929813933788</v>
          </cell>
          <cell r="E27">
            <v>10696.836895116321</v>
          </cell>
          <cell r="F27">
            <v>16645.630266214823</v>
          </cell>
          <cell r="G27">
            <v>22796.083540492629</v>
          </cell>
          <cell r="H27">
            <v>29490.687937667684</v>
          </cell>
          <cell r="I27">
            <v>36676.129139988683</v>
          </cell>
          <cell r="J27">
            <v>44299.437663047443</v>
          </cell>
          <cell r="K27">
            <v>52399.729384439226</v>
          </cell>
          <cell r="L27">
            <v>61006.848691388266</v>
          </cell>
          <cell r="M27">
            <v>70152.507306177766</v>
          </cell>
          <cell r="Q27">
            <v>110689.22946798794</v>
          </cell>
          <cell r="R27">
            <v>121737.5673454261</v>
          </cell>
          <cell r="AA27">
            <v>231911.2163468012</v>
          </cell>
          <cell r="AB27">
            <v>245253.15870055027</v>
          </cell>
        </row>
        <row r="29">
          <cell r="C29">
            <v>52309.571795579046</v>
          </cell>
          <cell r="D29">
            <v>62336.824987497377</v>
          </cell>
          <cell r="E29">
            <v>74011.533716940015</v>
          </cell>
          <cell r="F29">
            <v>89677.567980965847</v>
          </cell>
          <cell r="G29">
            <v>108509.85725696868</v>
          </cell>
          <cell r="H29">
            <v>129126.73013579272</v>
          </cell>
          <cell r="I29">
            <v>153660.80886159334</v>
          </cell>
          <cell r="J29">
            <v>182856.36254529608</v>
          </cell>
          <cell r="K29">
            <v>217599.07142890233</v>
          </cell>
          <cell r="L29">
            <v>258942.89500039374</v>
          </cell>
          <cell r="M29">
            <v>300373.75820045674</v>
          </cell>
          <cell r="Q29">
            <v>543868.54930886964</v>
          </cell>
          <cell r="R29">
            <v>620010.14621211146</v>
          </cell>
          <cell r="AA29">
            <v>2016241.0780765882</v>
          </cell>
          <cell r="AB29">
            <v>2298514.8290073108</v>
          </cell>
        </row>
        <row r="30">
          <cell r="C30">
            <v>52309.571795579046</v>
          </cell>
          <cell r="D30">
            <v>55661.496740442723</v>
          </cell>
          <cell r="E30">
            <v>59009.210990181142</v>
          </cell>
          <cell r="F30">
            <v>63843.167726647174</v>
          </cell>
          <cell r="G30">
            <v>68977.904960112108</v>
          </cell>
          <cell r="H30">
            <v>73293.787181416163</v>
          </cell>
          <cell r="I30">
            <v>77879.710068045475</v>
          </cell>
          <cell r="J30">
            <v>82752.569808818414</v>
          </cell>
          <cell r="K30">
            <v>87930.31977109451</v>
          </cell>
          <cell r="L30">
            <v>93432.036647434827</v>
          </cell>
          <cell r="M30">
            <v>96775.184251727958</v>
          </cell>
          <cell r="Q30">
            <v>111387.58065721499</v>
          </cell>
          <cell r="R30">
            <v>113384.01311215005</v>
          </cell>
          <cell r="AA30">
            <v>133041.5521505769</v>
          </cell>
          <cell r="AB30">
            <v>135426.09512207506</v>
          </cell>
        </row>
        <row r="32">
          <cell r="C32">
            <v>57844.123758484762</v>
          </cell>
          <cell r="D32">
            <v>60812.426554376507</v>
          </cell>
          <cell r="E32">
            <v>69706.047885297463</v>
          </cell>
          <cell r="F32">
            <v>80488.797992862004</v>
          </cell>
          <cell r="G32">
            <v>91773.988500604741</v>
          </cell>
          <cell r="H32">
            <v>102784.47511908384</v>
          </cell>
          <cell r="I32">
            <v>114555.83920803416</v>
          </cell>
          <cell r="J32">
            <v>127052.00747186586</v>
          </cell>
          <cell r="K32">
            <v>140330.04915553372</v>
          </cell>
          <cell r="L32">
            <v>154438.88533882308</v>
          </cell>
          <cell r="M32">
            <v>166927.69155790572</v>
          </cell>
          <cell r="Q32">
            <v>222076.81012520293</v>
          </cell>
          <cell r="R32">
            <v>235121.58045757614</v>
          </cell>
          <cell r="AA32">
            <v>364952.7684973781</v>
          </cell>
          <cell r="AB32">
            <v>380679.25382262532</v>
          </cell>
        </row>
        <row r="33">
          <cell r="C33">
            <v>13347.64</v>
          </cell>
          <cell r="D33">
            <v>13347.64</v>
          </cell>
          <cell r="E33">
            <v>13347.64</v>
          </cell>
          <cell r="F33">
            <v>13347.64</v>
          </cell>
          <cell r="G33">
            <v>13347.64</v>
          </cell>
          <cell r="H33">
            <v>13347.64</v>
          </cell>
          <cell r="I33">
            <v>13347.64</v>
          </cell>
          <cell r="J33">
            <v>13347.64</v>
          </cell>
          <cell r="K33">
            <v>13347.64</v>
          </cell>
          <cell r="L33">
            <v>13347.64</v>
          </cell>
          <cell r="M33">
            <v>13347.64</v>
          </cell>
          <cell r="N33">
            <v>13347.64</v>
          </cell>
          <cell r="O33">
            <v>13347.64</v>
          </cell>
          <cell r="P33">
            <v>13347.64</v>
          </cell>
          <cell r="Q33">
            <v>13347.64</v>
          </cell>
          <cell r="R33">
            <v>13347.64</v>
          </cell>
          <cell r="S33">
            <v>13347.64</v>
          </cell>
          <cell r="T33">
            <v>13347.64</v>
          </cell>
          <cell r="U33">
            <v>13347.64</v>
          </cell>
          <cell r="V33">
            <v>13347.64</v>
          </cell>
          <cell r="W33">
            <v>13347.64</v>
          </cell>
          <cell r="X33">
            <v>13347.64</v>
          </cell>
          <cell r="Y33">
            <v>13347.64</v>
          </cell>
          <cell r="Z33">
            <v>13347.64</v>
          </cell>
          <cell r="AA33">
            <v>13347.64</v>
          </cell>
          <cell r="AB33">
            <v>13347.64</v>
          </cell>
        </row>
        <row r="34">
          <cell r="C34">
            <v>0</v>
          </cell>
          <cell r="D34">
            <v>0</v>
          </cell>
          <cell r="E34">
            <v>0</v>
          </cell>
          <cell r="F34">
            <v>0</v>
          </cell>
          <cell r="G34">
            <v>0</v>
          </cell>
          <cell r="H34">
            <v>0</v>
          </cell>
          <cell r="I34">
            <v>0</v>
          </cell>
          <cell r="J34">
            <v>0</v>
          </cell>
          <cell r="K34">
            <v>0</v>
          </cell>
          <cell r="L34">
            <v>0</v>
          </cell>
          <cell r="M34">
            <v>0</v>
          </cell>
          <cell r="Q34">
            <v>0</v>
          </cell>
          <cell r="R34">
            <v>0</v>
          </cell>
          <cell r="AA34">
            <v>0</v>
          </cell>
          <cell r="AB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C36">
            <v>71191.763758484769</v>
          </cell>
          <cell r="D36">
            <v>74160.066554376506</v>
          </cell>
          <cell r="E36">
            <v>83053.687885297462</v>
          </cell>
          <cell r="F36">
            <v>93836.437992862004</v>
          </cell>
          <cell r="G36">
            <v>105121.62850060474</v>
          </cell>
          <cell r="H36">
            <v>116132.11511908384</v>
          </cell>
          <cell r="I36">
            <v>127903.47920803416</v>
          </cell>
          <cell r="J36">
            <v>140399.64747186587</v>
          </cell>
          <cell r="K36">
            <v>153677.68915553374</v>
          </cell>
          <cell r="L36">
            <v>167786.52533882309</v>
          </cell>
          <cell r="M36">
            <v>180275.33155790571</v>
          </cell>
          <cell r="Q36">
            <v>235424.45012520294</v>
          </cell>
          <cell r="R36">
            <v>248469.22045757616</v>
          </cell>
          <cell r="AA36">
            <v>378300.40849737811</v>
          </cell>
          <cell r="AB36">
            <v>394026.89382262534</v>
          </cell>
        </row>
        <row r="37">
          <cell r="C37">
            <v>2470</v>
          </cell>
          <cell r="D37">
            <v>2470</v>
          </cell>
          <cell r="E37">
            <v>2470</v>
          </cell>
          <cell r="F37">
            <v>2470</v>
          </cell>
          <cell r="G37">
            <v>2470</v>
          </cell>
          <cell r="H37">
            <v>2470</v>
          </cell>
          <cell r="I37">
            <v>2470</v>
          </cell>
          <cell r="J37">
            <v>2470</v>
          </cell>
          <cell r="K37">
            <v>2470</v>
          </cell>
          <cell r="L37">
            <v>2470</v>
          </cell>
          <cell r="M37">
            <v>2470</v>
          </cell>
          <cell r="N37">
            <v>2470</v>
          </cell>
          <cell r="O37">
            <v>2470</v>
          </cell>
          <cell r="P37">
            <v>2470</v>
          </cell>
          <cell r="Q37">
            <v>2470</v>
          </cell>
          <cell r="R37">
            <v>2470</v>
          </cell>
          <cell r="S37">
            <v>2470</v>
          </cell>
          <cell r="T37">
            <v>2470</v>
          </cell>
          <cell r="U37">
            <v>2470</v>
          </cell>
          <cell r="V37">
            <v>2470</v>
          </cell>
          <cell r="W37">
            <v>2470</v>
          </cell>
          <cell r="X37">
            <v>2470</v>
          </cell>
          <cell r="Y37">
            <v>2470</v>
          </cell>
          <cell r="Z37">
            <v>2470</v>
          </cell>
          <cell r="AA37">
            <v>2470</v>
          </cell>
          <cell r="AB37">
            <v>2470</v>
          </cell>
        </row>
        <row r="39">
          <cell r="C39">
            <v>28.822576420439177</v>
          </cell>
          <cell r="D39">
            <v>30.024318443067411</v>
          </cell>
          <cell r="E39">
            <v>33.624974852347151</v>
          </cell>
          <cell r="F39">
            <v>37.990460725855066</v>
          </cell>
          <cell r="G39">
            <v>42.559363765427022</v>
          </cell>
          <cell r="H39">
            <v>47.017050655499531</v>
          </cell>
          <cell r="I39">
            <v>51.782785104467273</v>
          </cell>
          <cell r="J39">
            <v>56.841962539216951</v>
          </cell>
          <cell r="K39">
            <v>62.217687917220132</v>
          </cell>
          <cell r="L39">
            <v>67.929767343653069</v>
          </cell>
          <cell r="M39">
            <v>72.985964193484094</v>
          </cell>
          <cell r="Q39">
            <v>95.313542560810902</v>
          </cell>
          <cell r="R39">
            <v>100.59482609618468</v>
          </cell>
          <cell r="AA39">
            <v>153.15806012039599</v>
          </cell>
          <cell r="AB39">
            <v>159.52505822778355</v>
          </cell>
        </row>
        <row r="41">
          <cell r="D41">
            <v>1</v>
          </cell>
          <cell r="E41">
            <v>2</v>
          </cell>
          <cell r="F41">
            <v>3</v>
          </cell>
          <cell r="G41">
            <v>4</v>
          </cell>
          <cell r="H41">
            <v>5</v>
          </cell>
          <cell r="I41">
            <v>6</v>
          </cell>
          <cell r="J41">
            <v>7</v>
          </cell>
          <cell r="K41">
            <v>8</v>
          </cell>
          <cell r="L41">
            <v>9</v>
          </cell>
          <cell r="M41">
            <v>10</v>
          </cell>
          <cell r="Q41">
            <v>14</v>
          </cell>
          <cell r="R41">
            <v>15</v>
          </cell>
          <cell r="AA41">
            <v>24</v>
          </cell>
          <cell r="AB41">
            <v>25</v>
          </cell>
        </row>
        <row r="44">
          <cell r="C44">
            <v>1.6172087338563206</v>
          </cell>
          <cell r="D44">
            <v>1.8529668652028675</v>
          </cell>
          <cell r="E44">
            <v>1.8950145878589821</v>
          </cell>
          <cell r="F44">
            <v>1.9878936909743068</v>
          </cell>
          <cell r="G44">
            <v>2.0427921429411025</v>
          </cell>
          <cell r="H44">
            <v>2.0289084580577792</v>
          </cell>
          <cell r="I44">
            <v>2.0169910608393615</v>
          </cell>
          <cell r="J44">
            <v>2.0198534565148138</v>
          </cell>
          <cell r="K44">
            <v>2.0198534565148138</v>
          </cell>
          <cell r="L44">
            <v>2.0198534565148138</v>
          </cell>
          <cell r="M44">
            <v>2.0198534565148134</v>
          </cell>
          <cell r="Q44">
            <v>2.0090212765957443</v>
          </cell>
          <cell r="R44">
            <v>2.0090212765957447</v>
          </cell>
          <cell r="AA44">
            <v>2.0602121772924962</v>
          </cell>
          <cell r="AB44">
            <v>2.0602121772924962</v>
          </cell>
        </row>
        <row r="45">
          <cell r="C45">
            <v>0.33486481934004386</v>
          </cell>
          <cell r="D45">
            <v>0.23575813134654688</v>
          </cell>
          <cell r="E45">
            <v>4.2047722656114672E-2</v>
          </cell>
          <cell r="F45">
            <v>9.2879103115324657E-2</v>
          </cell>
          <cell r="G45">
            <v>5.4898451966795658E-2</v>
          </cell>
          <cell r="H45">
            <v>-1.3883684883323255E-2</v>
          </cell>
          <cell r="I45">
            <v>-1.1917397218417669E-2</v>
          </cell>
          <cell r="J45">
            <v>2.8623956754523228E-3</v>
          </cell>
          <cell r="K45">
            <v>0</v>
          </cell>
          <cell r="L45">
            <v>0</v>
          </cell>
          <cell r="M45">
            <v>-4.4408920985006262E-16</v>
          </cell>
          <cell r="Q45">
            <v>-4.4408920985006262E-16</v>
          </cell>
          <cell r="R45">
            <v>4.4408920985006262E-16</v>
          </cell>
          <cell r="AA45">
            <v>4.4408920985006262E-16</v>
          </cell>
          <cell r="AB45">
            <v>0</v>
          </cell>
        </row>
        <row r="46">
          <cell r="C46">
            <v>9.5426712753357048</v>
          </cell>
          <cell r="D46">
            <v>9.486575090296455</v>
          </cell>
          <cell r="E46">
            <v>3.1437366886592808</v>
          </cell>
          <cell r="F46">
            <v>2.3937145238754018</v>
          </cell>
          <cell r="G46">
            <v>2.0930608151202255</v>
          </cell>
          <cell r="H46">
            <v>1.9647490499711482</v>
          </cell>
          <cell r="I46">
            <v>1.8325321293555097</v>
          </cell>
          <cell r="J46">
            <v>1.8667361449172493</v>
          </cell>
          <cell r="K46">
            <v>1.8670738031554825</v>
          </cell>
          <cell r="L46">
            <v>1.8586046511627907</v>
          </cell>
          <cell r="M46">
            <v>1.8586046511627898</v>
          </cell>
          <cell r="Q46">
            <v>1.8704680851063826</v>
          </cell>
          <cell r="R46">
            <v>1.8704680851063831</v>
          </cell>
          <cell r="AA46">
            <v>1.9337079207920789</v>
          </cell>
          <cell r="AB46">
            <v>1.9337079207920795</v>
          </cell>
        </row>
        <row r="47">
          <cell r="C47" t="str">
            <v>NM</v>
          </cell>
          <cell r="D47">
            <v>25.290438032558981</v>
          </cell>
          <cell r="E47">
            <v>2.1040320010618481</v>
          </cell>
          <cell r="F47">
            <v>2.6925288923116377</v>
          </cell>
          <cell r="G47">
            <v>3.6130458489663795</v>
          </cell>
          <cell r="H47">
            <v>2.0922940054431631</v>
          </cell>
          <cell r="I47">
            <v>2.0284253846153857</v>
          </cell>
          <cell r="J47">
            <v>2.248519633692494</v>
          </cell>
          <cell r="K47">
            <v>2.2117395348837241</v>
          </cell>
          <cell r="L47">
            <v>2.211739534883717</v>
          </cell>
          <cell r="M47">
            <v>2.211739534883721</v>
          </cell>
          <cell r="Q47">
            <v>2.1697429787233991</v>
          </cell>
          <cell r="R47">
            <v>2.1697429787234044</v>
          </cell>
          <cell r="AA47">
            <v>2.2044270297029764</v>
          </cell>
          <cell r="AB47">
            <v>2.2044270297029702</v>
          </cell>
        </row>
        <row r="48">
          <cell r="C48">
            <v>4691.3010948295905</v>
          </cell>
          <cell r="D48">
            <v>5909.7107791829258</v>
          </cell>
          <cell r="E48">
            <v>7002.7657929495372</v>
          </cell>
          <cell r="F48">
            <v>8340.518930881708</v>
          </cell>
          <cell r="G48">
            <v>10123.394640162907</v>
          </cell>
          <cell r="H48">
            <v>12244.079668421226</v>
          </cell>
          <cell r="I48">
            <v>14565.046432443634</v>
          </cell>
          <cell r="J48">
            <v>17333.958014978241</v>
          </cell>
          <cell r="K48">
            <v>20627.410037824109</v>
          </cell>
          <cell r="L48">
            <v>24546.617945010687</v>
          </cell>
          <cell r="M48">
            <v>29210.475354562717</v>
          </cell>
          <cell r="Q48">
            <v>52871.635969838935</v>
          </cell>
          <cell r="R48">
            <v>61331.097725013162</v>
          </cell>
          <cell r="AA48">
            <v>199760.18027399667</v>
          </cell>
          <cell r="AB48">
            <v>227726.60551235624</v>
          </cell>
        </row>
        <row r="49">
          <cell r="C49">
            <v>4697.2650815105171</v>
          </cell>
          <cell r="D49">
            <v>5306.3186988261568</v>
          </cell>
          <cell r="E49">
            <v>5608.1482760641866</v>
          </cell>
          <cell r="F49">
            <v>5959.9725964786603</v>
          </cell>
          <cell r="G49">
            <v>6476.4189017800381</v>
          </cell>
          <cell r="H49">
            <v>6991.3653871256629</v>
          </cell>
          <cell r="I49">
            <v>7421.7522971001745</v>
          </cell>
          <cell r="J49">
            <v>7887.5297322467759</v>
          </cell>
          <cell r="K49">
            <v>8381.0450015362167</v>
          </cell>
          <cell r="L49">
            <v>8905.4390540809618</v>
          </cell>
          <cell r="M49">
            <v>9462.6439461205318</v>
          </cell>
          <cell r="N49">
            <v>9786.7000157860366</v>
          </cell>
          <cell r="O49">
            <v>10140.670764368651</v>
          </cell>
          <cell r="P49">
            <v>10503.520172219542</v>
          </cell>
          <cell r="Q49">
            <v>10879.352911827966</v>
          </cell>
          <cell r="R49">
            <v>11268.633547555555</v>
          </cell>
          <cell r="S49">
            <v>11458.830851520013</v>
          </cell>
          <cell r="T49">
            <v>11686.943883263752</v>
          </cell>
          <cell r="U49">
            <v>11896.412424818267</v>
          </cell>
          <cell r="V49">
            <v>12109.635332812739</v>
          </cell>
          <cell r="W49">
            <v>12326.679897863985</v>
          </cell>
          <cell r="X49">
            <v>12547.614616658391</v>
          </cell>
          <cell r="Y49">
            <v>12772.509213568665</v>
          </cell>
          <cell r="Z49">
            <v>13001.434662657979</v>
          </cell>
          <cell r="AA49">
            <v>13234.463210078604</v>
          </cell>
          <cell r="AB49">
            <v>13471.668396871873</v>
          </cell>
        </row>
        <row r="50">
          <cell r="C50">
            <v>4697.2650815105171</v>
          </cell>
          <cell r="D50">
            <v>5306.3186988261568</v>
          </cell>
          <cell r="E50">
            <v>10914.466974890343</v>
          </cell>
          <cell r="F50">
            <v>16874.439571369003</v>
          </cell>
          <cell r="G50">
            <v>23350.858473149041</v>
          </cell>
          <cell r="H50">
            <v>30342.223860274702</v>
          </cell>
          <cell r="I50">
            <v>37763.976157374876</v>
          </cell>
          <cell r="J50">
            <v>45651.505889621651</v>
          </cell>
          <cell r="K50">
            <v>54032.550891157865</v>
          </cell>
          <cell r="L50">
            <v>62937.989945238827</v>
          </cell>
          <cell r="M50">
            <v>72400.633891359364</v>
          </cell>
          <cell r="Q50">
            <v>113710.87775556155</v>
          </cell>
          <cell r="R50">
            <v>124979.51130311711</v>
          </cell>
          <cell r="AA50">
            <v>236014.03539635945</v>
          </cell>
          <cell r="AB50">
            <v>249485.70379323134</v>
          </cell>
        </row>
        <row r="51">
          <cell r="C51">
            <v>4697.2650815105171</v>
          </cell>
          <cell r="D51">
            <v>5942.6907184885731</v>
          </cell>
          <cell r="E51">
            <v>7033.9468747106084</v>
          </cell>
          <cell r="F51">
            <v>8371.7000067076315</v>
          </cell>
          <cell r="G51">
            <v>10188.121703244953</v>
          </cell>
          <cell r="H51">
            <v>12317.171568574611</v>
          </cell>
          <cell r="I51">
            <v>14643.511899907904</v>
          </cell>
          <cell r="J51">
            <v>17428.88468163104</v>
          </cell>
          <cell r="K51">
            <v>20740.372771140937</v>
          </cell>
          <cell r="L51">
            <v>24681.043597657714</v>
          </cell>
          <cell r="M51">
            <v>29370.441881212679</v>
          </cell>
          <cell r="Q51">
            <v>53120.265748332691</v>
          </cell>
          <cell r="R51">
            <v>61619.508268065918</v>
          </cell>
          <cell r="AA51">
            <v>200567.92738146149</v>
          </cell>
          <cell r="AB51">
            <v>228647.43721486614</v>
          </cell>
        </row>
        <row r="52">
          <cell r="C52">
            <v>3085.6533333333318</v>
          </cell>
          <cell r="D52">
            <v>3135.0266666666648</v>
          </cell>
          <cell r="E52">
            <v>3135.0266666666648</v>
          </cell>
          <cell r="F52">
            <v>3135.0266666666648</v>
          </cell>
          <cell r="G52">
            <v>3135.0266666666648</v>
          </cell>
          <cell r="H52">
            <v>3135.0266666666648</v>
          </cell>
          <cell r="I52">
            <v>3135.0266666666648</v>
          </cell>
          <cell r="J52">
            <v>3135.0266666666648</v>
          </cell>
          <cell r="K52">
            <v>3135.0266666666648</v>
          </cell>
          <cell r="L52">
            <v>3135.0266666666648</v>
          </cell>
          <cell r="M52">
            <v>3135.0266666666648</v>
          </cell>
          <cell r="Q52">
            <v>3135.0266666666648</v>
          </cell>
          <cell r="R52">
            <v>3135.0266666666648</v>
          </cell>
          <cell r="AA52">
            <v>3135.0266666666648</v>
          </cell>
          <cell r="AB52">
            <v>3135.0266666666648</v>
          </cell>
        </row>
        <row r="54">
          <cell r="C54">
            <v>49197.033031482904</v>
          </cell>
          <cell r="D54">
            <v>58651.799064997474</v>
          </cell>
          <cell r="E54">
            <v>69806.507693599182</v>
          </cell>
          <cell r="F54">
            <v>84952.541955763256</v>
          </cell>
          <cell r="G54">
            <v>102705.39211583966</v>
          </cell>
          <cell r="H54">
            <v>122103.3273150266</v>
          </cell>
          <cell r="I54">
            <v>145328.85455096548</v>
          </cell>
          <cell r="J54">
            <v>172941.33691564892</v>
          </cell>
          <cell r="K54">
            <v>205800.19092962221</v>
          </cell>
          <cell r="L54">
            <v>244902.22720625042</v>
          </cell>
          <cell r="M54">
            <v>283665.36352542613</v>
          </cell>
          <cell r="Q54">
            <v>513807.55098057864</v>
          </cell>
          <cell r="R54">
            <v>585139.38815129385</v>
          </cell>
          <cell r="AA54">
            <v>1906551.7245329912</v>
          </cell>
          <cell r="AB54">
            <v>2173468.9659676105</v>
          </cell>
        </row>
        <row r="55">
          <cell r="C55">
            <v>49197.033031482904</v>
          </cell>
          <cell r="D55">
            <v>52371.081188883683</v>
          </cell>
          <cell r="E55">
            <v>55656.554243740451</v>
          </cell>
          <cell r="F55">
            <v>60479.331754826329</v>
          </cell>
          <cell r="G55">
            <v>65288.103360789028</v>
          </cell>
          <cell r="H55">
            <v>69307.224592142491</v>
          </cell>
          <cell r="I55">
            <v>73656.836383992602</v>
          </cell>
          <cell r="J55">
            <v>78265.474915577535</v>
          </cell>
          <cell r="K55">
            <v>83162.471597709198</v>
          </cell>
          <cell r="L55">
            <v>88365.868726917601</v>
          </cell>
          <cell r="M55">
            <v>91392.030999879673</v>
          </cell>
          <cell r="Q55">
            <v>105230.90570297471</v>
          </cell>
          <cell r="R55">
            <v>107007.04248779235</v>
          </cell>
          <cell r="AA55">
            <v>125803.70643435189</v>
          </cell>
          <cell r="AB55">
            <v>128058.52336272725</v>
          </cell>
        </row>
        <row r="56">
          <cell r="C56">
            <v>53894.29811299342</v>
          </cell>
          <cell r="D56">
            <v>57677.399887709842</v>
          </cell>
          <cell r="E56">
            <v>66571.021218630791</v>
          </cell>
          <cell r="F56">
            <v>77353.771326195332</v>
          </cell>
          <cell r="G56">
            <v>88638.961833938069</v>
          </cell>
          <cell r="H56">
            <v>99649.448452417186</v>
          </cell>
          <cell r="I56">
            <v>111420.81254136749</v>
          </cell>
          <cell r="J56">
            <v>123916.98080519919</v>
          </cell>
          <cell r="K56">
            <v>137195.02248886705</v>
          </cell>
          <cell r="L56">
            <v>151303.85867215644</v>
          </cell>
          <cell r="M56">
            <v>163792.66489123902</v>
          </cell>
          <cell r="Q56">
            <v>218941.78345853626</v>
          </cell>
          <cell r="R56">
            <v>231986.55379090947</v>
          </cell>
          <cell r="AA56">
            <v>361817.74183071137</v>
          </cell>
          <cell r="AB56">
            <v>377544.22715595859</v>
          </cell>
        </row>
        <row r="58">
          <cell r="C58">
            <v>56979.951446326755</v>
          </cell>
          <cell r="D58">
            <v>60812.426554376507</v>
          </cell>
          <cell r="E58">
            <v>69706.047885297448</v>
          </cell>
          <cell r="F58">
            <v>80488.797992862004</v>
          </cell>
          <cell r="G58">
            <v>91773.988500604726</v>
          </cell>
          <cell r="H58">
            <v>102784.47511908386</v>
          </cell>
          <cell r="I58">
            <v>114555.83920803416</v>
          </cell>
          <cell r="J58">
            <v>127052.00747186586</v>
          </cell>
          <cell r="K58">
            <v>140330.04915553372</v>
          </cell>
          <cell r="L58">
            <v>154438.88533882311</v>
          </cell>
          <cell r="M58">
            <v>166927.69155790569</v>
          </cell>
          <cell r="Q58">
            <v>222076.81012520293</v>
          </cell>
          <cell r="R58">
            <v>235121.58045757614</v>
          </cell>
          <cell r="AA58">
            <v>364952.76849737804</v>
          </cell>
          <cell r="AB58">
            <v>380679.25382262527</v>
          </cell>
        </row>
        <row r="59">
          <cell r="C59">
            <v>13347.64</v>
          </cell>
          <cell r="D59">
            <v>13347.64</v>
          </cell>
          <cell r="E59">
            <v>13347.64</v>
          </cell>
          <cell r="F59">
            <v>13347.64</v>
          </cell>
          <cell r="G59">
            <v>13347.64</v>
          </cell>
          <cell r="H59">
            <v>13347.64</v>
          </cell>
          <cell r="I59">
            <v>13347.64</v>
          </cell>
          <cell r="J59">
            <v>13347.64</v>
          </cell>
          <cell r="K59">
            <v>13347.64</v>
          </cell>
          <cell r="L59">
            <v>13347.64</v>
          </cell>
          <cell r="M59">
            <v>13347.64</v>
          </cell>
          <cell r="Q59">
            <v>13347.64</v>
          </cell>
          <cell r="R59">
            <v>13347.64</v>
          </cell>
          <cell r="AA59">
            <v>13347.64</v>
          </cell>
          <cell r="AB59">
            <v>13347.64</v>
          </cell>
        </row>
        <row r="60">
          <cell r="C60">
            <v>0</v>
          </cell>
          <cell r="D60">
            <v>0</v>
          </cell>
          <cell r="E60">
            <v>0</v>
          </cell>
          <cell r="F60">
            <v>0</v>
          </cell>
          <cell r="G60">
            <v>0</v>
          </cell>
          <cell r="H60">
            <v>0</v>
          </cell>
          <cell r="I60">
            <v>0</v>
          </cell>
          <cell r="J60">
            <v>0</v>
          </cell>
          <cell r="K60">
            <v>0</v>
          </cell>
          <cell r="L60">
            <v>0</v>
          </cell>
          <cell r="M60">
            <v>0</v>
          </cell>
          <cell r="Q60">
            <v>0</v>
          </cell>
          <cell r="R60">
            <v>0</v>
          </cell>
          <cell r="AA60">
            <v>0</v>
          </cell>
          <cell r="AB60">
            <v>0</v>
          </cell>
        </row>
        <row r="61">
          <cell r="C61">
            <v>70327.591446326755</v>
          </cell>
          <cell r="D61">
            <v>74160.066554376506</v>
          </cell>
          <cell r="E61">
            <v>83053.687885297448</v>
          </cell>
          <cell r="F61">
            <v>93836.437992862004</v>
          </cell>
          <cell r="G61">
            <v>105121.62850060473</v>
          </cell>
          <cell r="H61">
            <v>116132.11511908386</v>
          </cell>
          <cell r="I61">
            <v>127903.47920803416</v>
          </cell>
          <cell r="J61">
            <v>140399.64747186587</v>
          </cell>
          <cell r="K61">
            <v>153677.68915553374</v>
          </cell>
          <cell r="L61">
            <v>167786.52533882309</v>
          </cell>
          <cell r="M61">
            <v>180275.33155790571</v>
          </cell>
          <cell r="Q61">
            <v>235424.45012520294</v>
          </cell>
          <cell r="R61">
            <v>248469.22045757616</v>
          </cell>
          <cell r="AA61">
            <v>378300.40849737806</v>
          </cell>
          <cell r="AB61">
            <v>394026.89382262528</v>
          </cell>
        </row>
        <row r="62">
          <cell r="C62">
            <v>2470</v>
          </cell>
          <cell r="D62">
            <v>2470</v>
          </cell>
          <cell r="E62">
            <v>2470</v>
          </cell>
          <cell r="F62">
            <v>2470</v>
          </cell>
          <cell r="G62">
            <v>2470</v>
          </cell>
          <cell r="H62">
            <v>2470</v>
          </cell>
          <cell r="I62">
            <v>2470</v>
          </cell>
          <cell r="J62">
            <v>2470</v>
          </cell>
          <cell r="K62">
            <v>2470</v>
          </cell>
          <cell r="L62">
            <v>2470</v>
          </cell>
          <cell r="M62">
            <v>2470</v>
          </cell>
          <cell r="Q62">
            <v>2470</v>
          </cell>
          <cell r="R62">
            <v>2470</v>
          </cell>
          <cell r="AA62">
            <v>2470</v>
          </cell>
          <cell r="AB62">
            <v>2470</v>
          </cell>
        </row>
        <row r="64">
          <cell r="C64">
            <v>28.472709087581681</v>
          </cell>
          <cell r="D64">
            <v>30.024318443067411</v>
          </cell>
          <cell r="E64">
            <v>33.624974852347144</v>
          </cell>
          <cell r="F64">
            <v>37.990460725855066</v>
          </cell>
          <cell r="G64">
            <v>42.559363765427015</v>
          </cell>
          <cell r="H64">
            <v>47.017050655499538</v>
          </cell>
          <cell r="I64">
            <v>51.782785104467273</v>
          </cell>
          <cell r="J64">
            <v>56.841962539216951</v>
          </cell>
          <cell r="K64">
            <v>62.217687917220132</v>
          </cell>
          <cell r="L64">
            <v>67.929767343653069</v>
          </cell>
          <cell r="M64">
            <v>72.985964193484094</v>
          </cell>
          <cell r="Q64">
            <v>95.313542560810902</v>
          </cell>
          <cell r="R64">
            <v>100.59482609618468</v>
          </cell>
          <cell r="AA64">
            <v>153.15806012039599</v>
          </cell>
          <cell r="AB64">
            <v>159.52505822778352</v>
          </cell>
        </row>
        <row r="65">
          <cell r="C65">
            <v>1106.3095797277638</v>
          </cell>
          <cell r="D65">
            <v>1218.4096843533353</v>
          </cell>
          <cell r="E65">
            <v>1093.0550137666114</v>
          </cell>
          <cell r="F65">
            <v>1337.7531379321708</v>
          </cell>
          <cell r="G65">
            <v>1782.8757092811993</v>
          </cell>
          <cell r="H65">
            <v>2120.6850282583182</v>
          </cell>
          <cell r="I65">
            <v>2320.9667640224088</v>
          </cell>
          <cell r="J65">
            <v>2768.9115825346071</v>
          </cell>
          <cell r="K65">
            <v>3293.4520228458678</v>
          </cell>
          <cell r="L65">
            <v>3919.2079071865774</v>
          </cell>
          <cell r="M65">
            <v>4663.8574095520307</v>
          </cell>
          <cell r="Q65">
            <v>7292.6394441157099</v>
          </cell>
          <cell r="R65">
            <v>8459.4617551742267</v>
          </cell>
          <cell r="AA65">
            <v>24531.951963473286</v>
          </cell>
          <cell r="AB65">
            <v>27966.425238359574</v>
          </cell>
        </row>
        <row r="68">
          <cell r="C68">
            <v>0.27522451135763337</v>
          </cell>
          <cell r="D68">
            <v>0.20822977078155205</v>
          </cell>
          <cell r="E68">
            <v>0.23499999999999999</v>
          </cell>
          <cell r="F68">
            <v>0.23500000000000018</v>
          </cell>
          <cell r="G68">
            <v>0.20999999999999994</v>
          </cell>
          <cell r="H68">
            <v>0.21</v>
          </cell>
          <cell r="I68">
            <v>0.18999999999999997</v>
          </cell>
          <cell r="J68">
            <v>0.18999999999999995</v>
          </cell>
          <cell r="K68">
            <v>0.19</v>
          </cell>
          <cell r="L68">
            <v>0.19</v>
          </cell>
          <cell r="M68">
            <v>0.18999999999999986</v>
          </cell>
          <cell r="Q68">
            <v>0.15999999999999995</v>
          </cell>
          <cell r="R68">
            <v>0.15999999999999998</v>
          </cell>
          <cell r="AA68">
            <v>0.14000000000000018</v>
          </cell>
          <cell r="AB68">
            <v>0.14000000000000021</v>
          </cell>
        </row>
        <row r="69">
          <cell r="C69">
            <v>0.35004090763641249</v>
          </cell>
          <cell r="D69">
            <v>0.36106661333333345</v>
          </cell>
          <cell r="E69">
            <v>0.34590546064391747</v>
          </cell>
          <cell r="F69">
            <v>0.33254099048377711</v>
          </cell>
          <cell r="G69">
            <v>0.33300000000000002</v>
          </cell>
          <cell r="H69">
            <v>0.33300000000000002</v>
          </cell>
          <cell r="I69">
            <v>0.33300000000000002</v>
          </cell>
          <cell r="J69">
            <v>0.33300000000000002</v>
          </cell>
          <cell r="K69">
            <v>0.33300000000000002</v>
          </cell>
          <cell r="L69">
            <v>0.33300000000000002</v>
          </cell>
          <cell r="M69">
            <v>0.33300000000000002</v>
          </cell>
          <cell r="Q69">
            <v>0.33300000000000002</v>
          </cell>
          <cell r="R69">
            <v>0.33300000000000002</v>
          </cell>
          <cell r="AA69">
            <v>0.33300000000000002</v>
          </cell>
          <cell r="AB69">
            <v>0.33300000000000002</v>
          </cell>
        </row>
        <row r="70">
          <cell r="C70">
            <v>-0.46063979526551496</v>
          </cell>
          <cell r="D70">
            <v>-0.10323607427055707</v>
          </cell>
          <cell r="E70">
            <v>-0.10444874274661507</v>
          </cell>
          <cell r="F70">
            <v>-0.10219213410702772</v>
          </cell>
          <cell r="G70">
            <v>-2.9478458049886566E-2</v>
          </cell>
          <cell r="H70">
            <v>-0.14285714285714296</v>
          </cell>
          <cell r="I70">
            <v>-8.3208020050125286E-2</v>
          </cell>
          <cell r="J70">
            <v>-0.1333333333333333</v>
          </cell>
          <cell r="K70">
            <v>-0.13333333333333328</v>
          </cell>
          <cell r="L70">
            <v>-0.1333333333333333</v>
          </cell>
          <cell r="M70">
            <v>-0.13333333333333333</v>
          </cell>
          <cell r="Q70">
            <v>-0.125</v>
          </cell>
          <cell r="R70">
            <v>-0.125</v>
          </cell>
          <cell r="AA70">
            <v>-0.11764705882352934</v>
          </cell>
          <cell r="AB70">
            <v>-0.11764705882352947</v>
          </cell>
        </row>
        <row r="71">
          <cell r="C71">
            <v>0.31202832479209214</v>
          </cell>
          <cell r="D71">
            <v>0.11524809543542269</v>
          </cell>
          <cell r="E71">
            <v>0.1513739709146219</v>
          </cell>
          <cell r="F71">
            <v>0.1264975332897835</v>
          </cell>
          <cell r="G71">
            <v>0.22205655603791599</v>
          </cell>
          <cell r="H71">
            <v>0.32258064516129037</v>
          </cell>
          <cell r="I71">
            <v>0.25944397283531384</v>
          </cell>
          <cell r="J71">
            <v>0.31249999999999994</v>
          </cell>
          <cell r="K71">
            <v>0.31250000000000017</v>
          </cell>
          <cell r="L71">
            <v>0.31249999999999983</v>
          </cell>
          <cell r="M71">
            <v>0.31250000000000006</v>
          </cell>
          <cell r="Q71">
            <v>0.30303030303030304</v>
          </cell>
          <cell r="R71">
            <v>0.30303030303030298</v>
          </cell>
          <cell r="AA71">
            <v>0.28985507246376813</v>
          </cell>
          <cell r="AB71">
            <v>0.28985507246376824</v>
          </cell>
        </row>
        <row r="74">
          <cell r="C74">
            <v>-3188.64</v>
          </cell>
          <cell r="D74">
            <v>-3500</v>
          </cell>
          <cell r="E74">
            <v>-3929.5454545454545</v>
          </cell>
          <cell r="F74">
            <v>-4448.572916666667</v>
          </cell>
          <cell r="G74">
            <v>-4613.805625</v>
          </cell>
          <cell r="H74">
            <v>-5582.7048062500007</v>
          </cell>
          <cell r="I74">
            <v>-6200.5241381416672</v>
          </cell>
          <cell r="J74">
            <v>-7378.6237243885835</v>
          </cell>
          <cell r="K74">
            <v>-8780.5622320224138</v>
          </cell>
          <cell r="L74">
            <v>-10448.869056106672</v>
          </cell>
          <cell r="M74">
            <v>-12434.154176766939</v>
          </cell>
          <cell r="Q74">
            <v>-21106.65840071495</v>
          </cell>
          <cell r="R74">
            <v>-24483.723744829342</v>
          </cell>
          <cell r="AA74">
            <v>-74936.29103473459</v>
          </cell>
          <cell r="AB74">
            <v>-85427.371779597452</v>
          </cell>
        </row>
        <row r="75">
          <cell r="C75">
            <v>6323.6666666666652</v>
          </cell>
          <cell r="D75">
            <v>7185.0259224999008</v>
          </cell>
          <cell r="E75">
            <v>8134.5714778862839</v>
          </cell>
          <cell r="F75">
            <v>9173.5989418692643</v>
          </cell>
          <cell r="G75">
            <v>10418.270766129033</v>
          </cell>
          <cell r="H75">
            <v>12606.10762701613</v>
          </cell>
          <cell r="I75">
            <v>14532.478448769531</v>
          </cell>
          <cell r="J75">
            <v>17293.649354035741</v>
          </cell>
          <cell r="K75">
            <v>20579.442731302534</v>
          </cell>
          <cell r="L75">
            <v>24489.536850250013</v>
          </cell>
          <cell r="M75">
            <v>29142.548851797514</v>
          </cell>
          <cell r="Q75">
            <v>51167.656729005947</v>
          </cell>
          <cell r="R75">
            <v>59354.481805646894</v>
          </cell>
          <cell r="AA75">
            <v>184625.64457833159</v>
          </cell>
          <cell r="AB75">
            <v>210473.23481929806</v>
          </cell>
        </row>
        <row r="76">
          <cell r="C76">
            <v>0</v>
          </cell>
          <cell r="D76">
            <v>0</v>
          </cell>
          <cell r="E76">
            <v>0</v>
          </cell>
          <cell r="F76">
            <v>0</v>
          </cell>
          <cell r="G76">
            <v>0</v>
          </cell>
          <cell r="H76">
            <v>0</v>
          </cell>
          <cell r="I76">
            <v>0</v>
          </cell>
          <cell r="J76">
            <v>0</v>
          </cell>
          <cell r="K76">
            <v>0</v>
          </cell>
          <cell r="L76">
            <v>0</v>
          </cell>
          <cell r="M76">
            <v>0</v>
          </cell>
          <cell r="Q76">
            <v>0</v>
          </cell>
          <cell r="R76">
            <v>0</v>
          </cell>
          <cell r="AA76">
            <v>0</v>
          </cell>
          <cell r="AB76">
            <v>0</v>
          </cell>
        </row>
        <row r="77">
          <cell r="C77">
            <v>3135.0266666666648</v>
          </cell>
          <cell r="D77">
            <v>3685.0259224999008</v>
          </cell>
          <cell r="E77">
            <v>4205.0260233408299</v>
          </cell>
          <cell r="F77">
            <v>4725.0260252025973</v>
          </cell>
          <cell r="G77">
            <v>5804.4651411290333</v>
          </cell>
          <cell r="H77">
            <v>7023.4028207661295</v>
          </cell>
          <cell r="I77">
            <v>8331.9543106278634</v>
          </cell>
          <cell r="J77">
            <v>9915.0256296471562</v>
          </cell>
          <cell r="K77">
            <v>11798.88049928012</v>
          </cell>
          <cell r="L77">
            <v>14040.667794143341</v>
          </cell>
          <cell r="M77">
            <v>16708.394675030577</v>
          </cell>
          <cell r="N77">
            <v>19258.80925333334</v>
          </cell>
          <cell r="O77">
            <v>22340.21873386667</v>
          </cell>
          <cell r="P77">
            <v>25914.653731285343</v>
          </cell>
          <cell r="Q77">
            <v>30060.998328290996</v>
          </cell>
          <cell r="R77">
            <v>34870.758060817549</v>
          </cell>
          <cell r="S77">
            <v>38452.596105434277</v>
          </cell>
          <cell r="T77">
            <v>43835.959560195079</v>
          </cell>
          <cell r="U77">
            <v>49972.993898622401</v>
          </cell>
          <cell r="V77">
            <v>56969.21304442954</v>
          </cell>
          <cell r="W77">
            <v>64944.90287064969</v>
          </cell>
          <cell r="X77">
            <v>74037.189272540651</v>
          </cell>
          <cell r="Y77">
            <v>84402.39577069637</v>
          </cell>
          <cell r="Z77">
            <v>96218.731178593836</v>
          </cell>
          <cell r="AA77">
            <v>109689.353543597</v>
          </cell>
          <cell r="AB77">
            <v>125045.86303970061</v>
          </cell>
        </row>
        <row r="78">
          <cell r="C78">
            <v>3135.0266666666648</v>
          </cell>
          <cell r="D78">
            <v>3410.0262945832828</v>
          </cell>
          <cell r="E78">
            <v>3945.0259729203653</v>
          </cell>
          <cell r="F78">
            <v>4465.026024271714</v>
          </cell>
          <cell r="G78">
            <v>5264.7455831658153</v>
          </cell>
          <cell r="H78">
            <v>6413.9339809475814</v>
          </cell>
          <cell r="I78">
            <v>7677.6785656969969</v>
          </cell>
          <cell r="J78">
            <v>9123.4899701375107</v>
          </cell>
          <cell r="K78">
            <v>10856.953064463638</v>
          </cell>
          <cell r="L78">
            <v>12919.77414671173</v>
          </cell>
          <cell r="M78">
            <v>15374.531234586959</v>
          </cell>
          <cell r="N78">
            <v>17983.601964181958</v>
          </cell>
          <cell r="O78">
            <v>20799.513993600005</v>
          </cell>
          <cell r="P78">
            <v>24127.436232576008</v>
          </cell>
          <cell r="Q78">
            <v>27987.826029788172</v>
          </cell>
          <cell r="R78">
            <v>32465.878194554272</v>
          </cell>
          <cell r="S78">
            <v>36661.677083125913</v>
          </cell>
          <cell r="T78">
            <v>41144.277832814681</v>
          </cell>
          <cell r="U78">
            <v>46904.476729408736</v>
          </cell>
          <cell r="V78">
            <v>53471.103471525974</v>
          </cell>
          <cell r="W78">
            <v>60957.057957539611</v>
          </cell>
          <cell r="X78">
            <v>69491.046071595163</v>
          </cell>
          <cell r="Y78">
            <v>79219.79252161851</v>
          </cell>
          <cell r="Z78">
            <v>90310.563474645111</v>
          </cell>
          <cell r="AA78">
            <v>102954.04236109542</v>
          </cell>
          <cell r="AB78">
            <v>117367.60829164879</v>
          </cell>
        </row>
        <row r="79">
          <cell r="C79">
            <v>1.600093335176981E-2</v>
          </cell>
          <cell r="D79">
            <v>0.17543686683151116</v>
          </cell>
          <cell r="E79">
            <v>0.14111165342580925</v>
          </cell>
          <cell r="F79">
            <v>0.12366154192040774</v>
          </cell>
          <cell r="G79">
            <v>0.22845146464143598</v>
          </cell>
          <cell r="H79">
            <v>0.20999999999999985</v>
          </cell>
          <cell r="I79">
            <v>0.18631303418803394</v>
          </cell>
          <cell r="J79">
            <v>0.18999999999999984</v>
          </cell>
          <cell r="K79">
            <v>0.19000000000000039</v>
          </cell>
          <cell r="L79">
            <v>0.18999999999999986</v>
          </cell>
          <cell r="M79">
            <v>0.19000000000000009</v>
          </cell>
          <cell r="Q79">
            <v>0.15999999999999992</v>
          </cell>
          <cell r="R79">
            <v>0.15999999999999978</v>
          </cell>
          <cell r="AA79">
            <v>0.14000000000000024</v>
          </cell>
          <cell r="AB79">
            <v>0.14000000000000026</v>
          </cell>
        </row>
        <row r="80">
          <cell r="C80">
            <v>-5.8671505999206053</v>
          </cell>
          <cell r="D80">
            <v>-5.232752846617549</v>
          </cell>
          <cell r="E80">
            <v>-5.8179871520342612</v>
          </cell>
          <cell r="F80">
            <v>-6.3717021692397893</v>
          </cell>
          <cell r="G80">
            <v>-7.1276297335203367</v>
          </cell>
          <cell r="H80">
            <v>-7.6651583710407243</v>
          </cell>
          <cell r="I80">
            <v>-7.8932406822488943</v>
          </cell>
          <cell r="J80">
            <v>-8.1506849315068486</v>
          </cell>
          <cell r="K80">
            <v>-8.1506849315068486</v>
          </cell>
          <cell r="L80">
            <v>-8.1506849315068504</v>
          </cell>
          <cell r="M80">
            <v>-8.1506849315068504</v>
          </cell>
          <cell r="Q80">
            <v>-8.5925925925925917</v>
          </cell>
          <cell r="R80">
            <v>-8.5925925925925917</v>
          </cell>
          <cell r="AA80">
            <v>-9.05607476635514</v>
          </cell>
          <cell r="AB80">
            <v>-9.05607476635514</v>
          </cell>
        </row>
        <row r="81">
          <cell r="C81">
            <v>2.5961641871303107</v>
          </cell>
          <cell r="D81">
            <v>2.5909243081057753</v>
          </cell>
          <cell r="E81">
            <v>2.8215493443000246</v>
          </cell>
          <cell r="F81">
            <v>3.0842586885479695</v>
          </cell>
          <cell r="G81">
            <v>3.2969430540684987</v>
          </cell>
          <cell r="H81">
            <v>3.3945701357466063</v>
          </cell>
          <cell r="I81">
            <v>3.4271447234722023</v>
          </cell>
          <cell r="J81">
            <v>3.4776255707762562</v>
          </cell>
          <cell r="K81">
            <v>3.4776255707762562</v>
          </cell>
          <cell r="L81">
            <v>3.4776255707762562</v>
          </cell>
          <cell r="M81">
            <v>3.4776255707762558</v>
          </cell>
          <cell r="Q81">
            <v>3.5444444444444438</v>
          </cell>
          <cell r="R81">
            <v>3.5444444444444438</v>
          </cell>
          <cell r="AA81">
            <v>3.6757009345794396</v>
          </cell>
          <cell r="AB81">
            <v>3.6757009345794396</v>
          </cell>
        </row>
        <row r="82">
          <cell r="C82" t="str">
            <v xml:space="preserve">--  </v>
          </cell>
          <cell r="D82" t="str">
            <v xml:space="preserve">--  </v>
          </cell>
          <cell r="E82" t="str">
            <v xml:space="preserve">--  </v>
          </cell>
          <cell r="F82" t="str">
            <v xml:space="preserve">--  </v>
          </cell>
          <cell r="G82" t="str">
            <v xml:space="preserve">--  </v>
          </cell>
          <cell r="H82" t="str">
            <v xml:space="preserve">--  </v>
          </cell>
          <cell r="I82" t="str">
            <v xml:space="preserve">--  </v>
          </cell>
          <cell r="J82" t="str">
            <v xml:space="preserve">--  </v>
          </cell>
          <cell r="K82" t="str">
            <v xml:space="preserve">--  </v>
          </cell>
          <cell r="L82" t="str">
            <v xml:space="preserve">--  </v>
          </cell>
          <cell r="M82" t="str">
            <v xml:space="preserve">--  </v>
          </cell>
          <cell r="Q82" t="str">
            <v xml:space="preserve">--  </v>
          </cell>
          <cell r="R82" t="str">
            <v xml:space="preserve">--  </v>
          </cell>
          <cell r="AA82" t="str">
            <v xml:space="preserve">--  </v>
          </cell>
          <cell r="AB82" t="str">
            <v xml:space="preserve">--  </v>
          </cell>
        </row>
        <row r="83">
          <cell r="C83">
            <v>4.6200563950545899</v>
          </cell>
          <cell r="D83">
            <v>5.1319252369983737</v>
          </cell>
          <cell r="E83">
            <v>5.4784176703407148</v>
          </cell>
          <cell r="F83">
            <v>5.9778906897532851</v>
          </cell>
          <cell r="G83">
            <v>6.1345109397630706</v>
          </cell>
          <cell r="H83">
            <v>6.0928181923657032</v>
          </cell>
          <cell r="I83">
            <v>6.0570302127308153</v>
          </cell>
          <cell r="J83">
            <v>6.0656259955399818</v>
          </cell>
          <cell r="K83">
            <v>6.0656259955399818</v>
          </cell>
          <cell r="L83">
            <v>6.0656259955399809</v>
          </cell>
          <cell r="M83">
            <v>6.0656259955399801</v>
          </cell>
          <cell r="N83">
            <v>6.0153211549793744</v>
          </cell>
          <cell r="O83">
            <v>6.0330969267139478</v>
          </cell>
          <cell r="P83">
            <v>6.0330969267139469</v>
          </cell>
          <cell r="Q83">
            <v>6.033096926713946</v>
          </cell>
          <cell r="R83">
            <v>6.0330969267139469</v>
          </cell>
          <cell r="S83">
            <v>6.0905986391881921</v>
          </cell>
          <cell r="T83">
            <v>6.1868233552327201</v>
          </cell>
          <cell r="U83">
            <v>6.186823355232721</v>
          </cell>
          <cell r="V83">
            <v>6.1868233552327201</v>
          </cell>
          <cell r="W83">
            <v>6.186823355232721</v>
          </cell>
          <cell r="X83">
            <v>6.186823355232721</v>
          </cell>
          <cell r="Y83">
            <v>6.1868233552327201</v>
          </cell>
          <cell r="Z83">
            <v>6.1868233552327192</v>
          </cell>
          <cell r="AA83">
            <v>6.186823355232721</v>
          </cell>
          <cell r="AB83">
            <v>6.186823355232721</v>
          </cell>
        </row>
        <row r="85">
          <cell r="C85">
            <v>-4.5423754327863914</v>
          </cell>
          <cell r="D85">
            <v>-5</v>
          </cell>
          <cell r="E85">
            <v>-5.5</v>
          </cell>
          <cell r="F85">
            <v>-6</v>
          </cell>
          <cell r="G85">
            <v>-7.0000000000000009</v>
          </cell>
          <cell r="H85">
            <v>-6.9999999999999991</v>
          </cell>
          <cell r="I85">
            <v>-7.5</v>
          </cell>
          <cell r="J85">
            <v>-7.5</v>
          </cell>
          <cell r="K85">
            <v>-7.5</v>
          </cell>
          <cell r="L85">
            <v>-7.5000000000000009</v>
          </cell>
          <cell r="M85">
            <v>-7.5000000000000009</v>
          </cell>
          <cell r="Q85">
            <v>-8</v>
          </cell>
          <cell r="R85">
            <v>-8</v>
          </cell>
          <cell r="AA85">
            <v>-8.5</v>
          </cell>
          <cell r="AB85">
            <v>-8.5</v>
          </cell>
        </row>
        <row r="86">
          <cell r="C86">
            <v>2.2904433082072644</v>
          </cell>
          <cell r="D86">
            <v>2.4356209968844746</v>
          </cell>
          <cell r="E86">
            <v>2.6568701324652775</v>
          </cell>
          <cell r="F86">
            <v>2.909592807483385</v>
          </cell>
          <cell r="G86">
            <v>3.1</v>
          </cell>
          <cell r="H86">
            <v>3.1</v>
          </cell>
          <cell r="I86">
            <v>3.2</v>
          </cell>
          <cell r="J86">
            <v>3.2</v>
          </cell>
          <cell r="K86">
            <v>3.2</v>
          </cell>
          <cell r="L86">
            <v>3.2</v>
          </cell>
          <cell r="M86">
            <v>3.2</v>
          </cell>
          <cell r="Q86">
            <v>3.3</v>
          </cell>
          <cell r="R86">
            <v>3.3</v>
          </cell>
          <cell r="AA86">
            <v>3.45</v>
          </cell>
          <cell r="AB86">
            <v>3.45</v>
          </cell>
        </row>
        <row r="87">
          <cell r="C87" t="e">
            <v>#DIV/0!</v>
          </cell>
          <cell r="D87" t="e">
            <v>#DIV/0!</v>
          </cell>
          <cell r="E87" t="e">
            <v>#DIV/0!</v>
          </cell>
          <cell r="F87" t="e">
            <v>#DIV/0!</v>
          </cell>
          <cell r="G87" t="e">
            <v>#DIV/0!</v>
          </cell>
          <cell r="H87" t="e">
            <v>#DIV/0!</v>
          </cell>
          <cell r="I87" t="e">
            <v>#DIV/0!</v>
          </cell>
          <cell r="J87" t="e">
            <v>#DIV/0!</v>
          </cell>
          <cell r="K87" t="e">
            <v>#DIV/0!</v>
          </cell>
          <cell r="L87" t="e">
            <v>#DIV/0!</v>
          </cell>
          <cell r="M87" t="e">
            <v>#DIV/0!</v>
          </cell>
          <cell r="Q87" t="e">
            <v>#DIV/0!</v>
          </cell>
          <cell r="R87" t="e">
            <v>#DIV/0!</v>
          </cell>
          <cell r="AA87" t="e">
            <v>#DIV/0!</v>
          </cell>
          <cell r="AB87" t="e">
            <v>#DIV/0!</v>
          </cell>
        </row>
        <row r="88">
          <cell r="C88">
            <v>4.6200563950545899</v>
          </cell>
          <cell r="D88">
            <v>4.7489489539677647</v>
          </cell>
          <cell r="E88">
            <v>5.1396828176652267</v>
          </cell>
          <cell r="F88">
            <v>5.6489503671793093</v>
          </cell>
          <cell r="G88">
            <v>5.5641025641025639</v>
          </cell>
          <cell r="H88">
            <v>5.5641025641025639</v>
          </cell>
          <cell r="I88">
            <v>5.5813953488372103</v>
          </cell>
          <cell r="J88">
            <v>5.5813953488372112</v>
          </cell>
          <cell r="K88">
            <v>5.5813953488372094</v>
          </cell>
          <cell r="L88">
            <v>5.5813953488372094</v>
          </cell>
          <cell r="M88">
            <v>5.5813953488372086</v>
          </cell>
          <cell r="Q88">
            <v>5.6170212765957439</v>
          </cell>
          <cell r="R88">
            <v>5.6170212765957448</v>
          </cell>
          <cell r="AA88">
            <v>5.8069306930693072</v>
          </cell>
          <cell r="AB88">
            <v>5.8069306930693072</v>
          </cell>
        </row>
        <row r="91">
          <cell r="C91" t="str">
            <v>N/A</v>
          </cell>
          <cell r="D91" t="str">
            <v>N/A</v>
          </cell>
          <cell r="E91" t="str">
            <v>NM</v>
          </cell>
          <cell r="F91" t="str">
            <v>NM</v>
          </cell>
          <cell r="G91" t="str">
            <v>NM</v>
          </cell>
          <cell r="H91" t="str">
            <v>NM</v>
          </cell>
          <cell r="I91" t="str">
            <v>NM</v>
          </cell>
          <cell r="J91" t="str">
            <v>NM</v>
          </cell>
          <cell r="K91">
            <v>0.25432562418273008</v>
          </cell>
          <cell r="L91">
            <v>0.46631370761856944</v>
          </cell>
          <cell r="M91">
            <v>0.56538777747845093</v>
          </cell>
          <cell r="Q91" t="str">
            <v>NM</v>
          </cell>
        </row>
        <row r="92">
          <cell r="C92">
            <v>9.5426712753357048</v>
          </cell>
          <cell r="D92">
            <v>9.486575090296455</v>
          </cell>
          <cell r="E92">
            <v>3.1437366886592808</v>
          </cell>
          <cell r="F92">
            <v>2.3937145238754018</v>
          </cell>
          <cell r="G92">
            <v>2.0930608151202255</v>
          </cell>
          <cell r="H92">
            <v>1.9647490499711482</v>
          </cell>
          <cell r="I92">
            <v>1.8325321293555097</v>
          </cell>
          <cell r="J92">
            <v>1.8667361449172493</v>
          </cell>
          <cell r="K92">
            <v>1.8670738031554825</v>
          </cell>
          <cell r="L92">
            <v>1.8586046511627907</v>
          </cell>
          <cell r="M92">
            <v>1.8586046511627898</v>
          </cell>
          <cell r="Q92">
            <v>1.8704680851063826</v>
          </cell>
          <cell r="R92">
            <v>1.8704680851063831</v>
          </cell>
          <cell r="AA92">
            <v>1.9337079207920789</v>
          </cell>
          <cell r="AB92">
            <v>1.9337079207920795</v>
          </cell>
        </row>
        <row r="93">
          <cell r="C93" t="str">
            <v>NM</v>
          </cell>
          <cell r="D93">
            <v>25.290438032558981</v>
          </cell>
          <cell r="E93">
            <v>2.1040320010618481</v>
          </cell>
          <cell r="F93">
            <v>2.6925288923116377</v>
          </cell>
          <cell r="G93">
            <v>3.6130458489663795</v>
          </cell>
          <cell r="H93">
            <v>2.0922940054431631</v>
          </cell>
          <cell r="I93">
            <v>2.0284253846153857</v>
          </cell>
          <cell r="J93">
            <v>2.248519633692494</v>
          </cell>
          <cell r="K93">
            <v>2.2117395348837241</v>
          </cell>
          <cell r="L93">
            <v>2.211739534883717</v>
          </cell>
          <cell r="M93">
            <v>2.211739534883721</v>
          </cell>
          <cell r="Q93">
            <v>2.1697429787233991</v>
          </cell>
          <cell r="R93">
            <v>2.1697429787234044</v>
          </cell>
          <cell r="AA93">
            <v>2.2044270297029764</v>
          </cell>
          <cell r="AB93">
            <v>2.2044270297029702</v>
          </cell>
        </row>
        <row r="96">
          <cell r="C96">
            <v>1.6172087338563206</v>
          </cell>
          <cell r="D96">
            <v>1.8529668652028675</v>
          </cell>
          <cell r="E96">
            <v>1.8738727919415348</v>
          </cell>
          <cell r="F96">
            <v>1.9111339260999234</v>
          </cell>
          <cell r="G96">
            <v>1.9432308039490394</v>
          </cell>
          <cell r="H96">
            <v>1.9600718862241284</v>
          </cell>
          <cell r="I96">
            <v>1.9694456269765179</v>
          </cell>
          <cell r="J96">
            <v>1.9765689836929226</v>
          </cell>
          <cell r="K96">
            <v>1.9819284042357788</v>
          </cell>
          <cell r="L96">
            <v>1.986106887195221</v>
          </cell>
          <cell r="M96">
            <v>1.9894560154833445</v>
          </cell>
          <cell r="Q96">
            <v>1.9946061259864956</v>
          </cell>
          <cell r="R96">
            <v>1.9955639099107756</v>
          </cell>
          <cell r="AA96">
            <v>2.0182471654699023</v>
          </cell>
          <cell r="AB96">
            <v>2.0199092367389544</v>
          </cell>
        </row>
        <row r="97">
          <cell r="C97">
            <v>0.35004090763641249</v>
          </cell>
          <cell r="D97">
            <v>0.36106661333333345</v>
          </cell>
          <cell r="E97">
            <v>0.35340474417897388</v>
          </cell>
          <cell r="F97">
            <v>0.34630862832105319</v>
          </cell>
          <cell r="G97">
            <v>0.34293241866584756</v>
          </cell>
          <cell r="H97">
            <v>0.34092251274013374</v>
          </cell>
          <cell r="I97">
            <v>0.33958912413519771</v>
          </cell>
          <cell r="J97">
            <v>0.33863989777667308</v>
          </cell>
          <cell r="K97">
            <v>0.3379297196396423</v>
          </cell>
          <cell r="L97">
            <v>0.33737838869982151</v>
          </cell>
          <cell r="M97">
            <v>0.33693797165422684</v>
          </cell>
          <cell r="Q97">
            <v>0.33580810883543616</v>
          </cell>
          <cell r="R97">
            <v>0.33562016706466469</v>
          </cell>
          <cell r="AA97">
            <v>0.33463519709840617</v>
          </cell>
          <cell r="AB97">
            <v>0.33456963530720252</v>
          </cell>
        </row>
        <row r="98">
          <cell r="C98">
            <v>4.6200563950545899</v>
          </cell>
          <cell r="D98">
            <v>5.1319252369983737</v>
          </cell>
          <cell r="E98">
            <v>5.3023419260963687</v>
          </cell>
          <cell r="F98">
            <v>5.5185859369584183</v>
          </cell>
          <cell r="G98">
            <v>5.6665124035488708</v>
          </cell>
          <cell r="H98">
            <v>5.7493178448974467</v>
          </cell>
          <cell r="I98">
            <v>5.7994955874748211</v>
          </cell>
          <cell r="J98">
            <v>5.8367870905643677</v>
          </cell>
          <cell r="K98">
            <v>5.8649129953685204</v>
          </cell>
          <cell r="L98">
            <v>5.8868823662630518</v>
          </cell>
          <cell r="M98">
            <v>5.9045171006281496</v>
          </cell>
          <cell r="Q98">
            <v>5.939719957637946</v>
          </cell>
          <cell r="R98">
            <v>5.9458998765300235</v>
          </cell>
          <cell r="AA98">
            <v>6.0311861482891063</v>
          </cell>
          <cell r="AB98">
            <v>6.0373357997185506</v>
          </cell>
        </row>
        <row r="99">
          <cell r="C99" t="str">
            <v>N/A</v>
          </cell>
          <cell r="D99">
            <v>0.20822977078155214</v>
          </cell>
          <cell r="E99">
            <v>0.22154155349509774</v>
          </cell>
          <cell r="F99">
            <v>0.22601132692079595</v>
          </cell>
          <cell r="G99">
            <v>0.22198874109284783</v>
          </cell>
          <cell r="H99">
            <v>0.21958152752787674</v>
          </cell>
          <cell r="I99">
            <v>0.21460069407095195</v>
          </cell>
          <cell r="J99">
            <v>0.21105541501089453</v>
          </cell>
          <cell r="K99">
            <v>0.20840324841475266</v>
          </cell>
          <cell r="L99">
            <v>0.2063444683340494</v>
          </cell>
          <cell r="M99">
            <v>0.20469997001667317</v>
          </cell>
          <cell r="Q99">
            <v>0.19175562618453323</v>
          </cell>
          <cell r="R99">
            <v>0.18961179828565422</v>
          </cell>
          <cell r="AA99">
            <v>0.17075927887995013</v>
          </cell>
          <cell r="AB99">
            <v>0.16951311988121565</v>
          </cell>
        </row>
        <row r="100">
          <cell r="C100" t="str">
            <v>N/A</v>
          </cell>
          <cell r="D100">
            <v>0.2462869965979495</v>
          </cell>
          <cell r="E100">
            <v>0.21430435747779275</v>
          </cell>
          <cell r="F100">
            <v>0.20523002989947203</v>
          </cell>
          <cell r="G100">
            <v>0.20683684988355577</v>
          </cell>
          <cell r="H100">
            <v>0.20746881769222036</v>
          </cell>
          <cell r="I100">
            <v>0.20453964083874521</v>
          </cell>
          <cell r="J100">
            <v>0.20245172317627369</v>
          </cell>
          <cell r="K100">
            <v>0.20088816033470347</v>
          </cell>
          <cell r="L100">
            <v>0.19967346165170463</v>
          </cell>
          <cell r="M100">
            <v>0.19870258740595959</v>
          </cell>
          <cell r="Q100">
            <v>0.18751479047975361</v>
          </cell>
          <cell r="R100">
            <v>0.18566033589578601</v>
          </cell>
          <cell r="AA100">
            <v>0.16832723713157716</v>
          </cell>
          <cell r="AB100">
            <v>0.16718074795954818</v>
          </cell>
        </row>
        <row r="101">
          <cell r="C101" t="str">
            <v>N/A</v>
          </cell>
          <cell r="D101">
            <v>0.17543686683151116</v>
          </cell>
          <cell r="E101">
            <v>0.15814710059118076</v>
          </cell>
          <cell r="F101">
            <v>0.1465358931965639</v>
          </cell>
          <cell r="G101">
            <v>0.16648791022548526</v>
          </cell>
          <cell r="H101">
            <v>0.17506331417265786</v>
          </cell>
          <cell r="I101">
            <v>0.17693083169439894</v>
          </cell>
          <cell r="J101">
            <v>0.17878903107669397</v>
          </cell>
          <cell r="K101">
            <v>0.18018460568056427</v>
          </cell>
          <cell r="L101">
            <v>0.18127119477576992</v>
          </cell>
          <cell r="M101">
            <v>0.18214118630743759</v>
          </cell>
          <cell r="Q101">
            <v>0.17523811676220347</v>
          </cell>
          <cell r="R101">
            <v>0.1742160436110447</v>
          </cell>
          <cell r="AA101">
            <v>0.15965855152735076</v>
          </cell>
          <cell r="AB101">
            <v>0.15886573926009984</v>
          </cell>
        </row>
        <row r="102">
          <cell r="C102" t="str">
            <v>N/A</v>
          </cell>
          <cell r="D102">
            <v>4.2300536007880973E-2</v>
          </cell>
          <cell r="E102">
            <v>0.1210754906049738</v>
          </cell>
          <cell r="F102">
            <v>0.14719858618144044</v>
          </cell>
          <cell r="G102">
            <v>0.1498626349061587</v>
          </cell>
          <cell r="H102">
            <v>0.16337114540289144</v>
          </cell>
          <cell r="I102">
            <v>0.16972819958907692</v>
          </cell>
          <cell r="J102">
            <v>0.17234560371200591</v>
          </cell>
          <cell r="K102">
            <v>0.17453799950361804</v>
          </cell>
          <cell r="L102">
            <v>0.17624603039547515</v>
          </cell>
          <cell r="M102">
            <v>0.1776142433035619</v>
          </cell>
          <cell r="Q102">
            <v>0.1736621643794376</v>
          </cell>
          <cell r="R102">
            <v>0.17274636819203582</v>
          </cell>
          <cell r="AA102">
            <v>0.16088899861779349</v>
          </cell>
          <cell r="AB102">
            <v>0.16004613586731797</v>
          </cell>
        </row>
        <row r="105">
          <cell r="C105" t="str">
            <v>N/A</v>
          </cell>
          <cell r="D105">
            <v>0.14578089173706665</v>
          </cell>
          <cell r="E105">
            <v>2.2692107152985308E-2</v>
          </cell>
          <cell r="F105">
            <v>4.9012342021208966E-2</v>
          </cell>
          <cell r="G105">
            <v>2.7616392272913126E-2</v>
          </cell>
          <cell r="H105">
            <v>-6.7964256330721451E-3</v>
          </cell>
          <cell r="I105">
            <v>-5.8737973963723933E-3</v>
          </cell>
          <cell r="J105">
            <v>1.419141478128827E-3</v>
          </cell>
          <cell r="K105">
            <v>0</v>
          </cell>
          <cell r="L105">
            <v>0</v>
          </cell>
          <cell r="M105">
            <v>-2.2204460492503131E-16</v>
          </cell>
          <cell r="Q105">
            <v>-2.2204460492503131E-16</v>
          </cell>
          <cell r="R105">
            <v>2.2204460492503131E-16</v>
          </cell>
          <cell r="AA105">
            <v>2.2204460492503131E-16</v>
          </cell>
          <cell r="AB105">
            <v>0</v>
          </cell>
        </row>
        <row r="106">
          <cell r="C106" t="str">
            <v>N/A</v>
          </cell>
          <cell r="D106" t="str">
            <v>N/A</v>
          </cell>
          <cell r="E106" t="str">
            <v>N/A</v>
          </cell>
          <cell r="F106" t="str">
            <v>N/A</v>
          </cell>
          <cell r="G106" t="str">
            <v>N/A</v>
          </cell>
          <cell r="H106">
            <v>4.6403719973358459E-2</v>
          </cell>
          <cell r="I106">
            <v>1.7108453838055704E-2</v>
          </cell>
          <cell r="J106">
            <v>1.2841437307074877E-2</v>
          </cell>
          <cell r="K106">
            <v>3.1949592496003376E-3</v>
          </cell>
          <cell r="L106">
            <v>-2.2559728719027117E-3</v>
          </cell>
          <cell r="M106">
            <v>-8.941960774673241E-4</v>
          </cell>
          <cell r="Q106">
            <v>-1.0748791201453667E-3</v>
          </cell>
          <cell r="R106">
            <v>-1.0748791201452557E-3</v>
          </cell>
          <cell r="AA106">
            <v>0</v>
          </cell>
          <cell r="AB106">
            <v>0</v>
          </cell>
        </row>
        <row r="107">
          <cell r="C107" t="str">
            <v>N/A</v>
          </cell>
          <cell r="D107" t="str">
            <v>N/A</v>
          </cell>
          <cell r="E107" t="str">
            <v>N/A</v>
          </cell>
          <cell r="F107" t="str">
            <v>N/A</v>
          </cell>
          <cell r="G107" t="str">
            <v>N/A</v>
          </cell>
          <cell r="H107" t="str">
            <v>N/A</v>
          </cell>
          <cell r="I107" t="str">
            <v>N/A</v>
          </cell>
          <cell r="J107" t="str">
            <v>N/A</v>
          </cell>
          <cell r="K107" t="str">
            <v>N/A</v>
          </cell>
          <cell r="L107" t="str">
            <v>N/A</v>
          </cell>
          <cell r="M107">
            <v>2.2481310279807154E-2</v>
          </cell>
          <cell r="Q107">
            <v>-1.6656006597350892E-3</v>
          </cell>
          <cell r="R107">
            <v>-9.8454168362316352E-4</v>
          </cell>
          <cell r="AA107">
            <v>2.5192980882451366E-3</v>
          </cell>
          <cell r="AB107">
            <v>2.5192980882451366E-3</v>
          </cell>
        </row>
        <row r="110">
          <cell r="C110">
            <v>0</v>
          </cell>
          <cell r="D110">
            <v>0.75</v>
          </cell>
          <cell r="E110">
            <v>1.75</v>
          </cell>
          <cell r="F110">
            <v>2.75</v>
          </cell>
          <cell r="G110">
            <v>3.75</v>
          </cell>
          <cell r="H110">
            <v>4.75</v>
          </cell>
          <cell r="I110">
            <v>5.75</v>
          </cell>
          <cell r="J110">
            <v>6.75</v>
          </cell>
          <cell r="K110">
            <v>7.75</v>
          </cell>
          <cell r="L110">
            <v>8.75</v>
          </cell>
          <cell r="M110">
            <v>9.75</v>
          </cell>
          <cell r="Q110">
            <v>13.75</v>
          </cell>
          <cell r="R110">
            <v>14.75</v>
          </cell>
          <cell r="AA110">
            <v>23.75</v>
          </cell>
          <cell r="AB110">
            <v>24.75</v>
          </cell>
        </row>
        <row r="114">
          <cell r="D114" t="str">
            <v>1999E</v>
          </cell>
          <cell r="E114" t="str">
            <v>2000E</v>
          </cell>
          <cell r="F114" t="str">
            <v>2001E</v>
          </cell>
          <cell r="G114" t="str">
            <v>2002E</v>
          </cell>
          <cell r="H114" t="str">
            <v>2003E</v>
          </cell>
          <cell r="I114" t="str">
            <v>2004E</v>
          </cell>
          <cell r="J114" t="str">
            <v>2005E</v>
          </cell>
          <cell r="K114" t="str">
            <v>2006E</v>
          </cell>
          <cell r="L114" t="str">
            <v>2007E</v>
          </cell>
          <cell r="M114" t="str">
            <v>2008E</v>
          </cell>
          <cell r="Q114" t="str">
            <v>2012E</v>
          </cell>
          <cell r="R114" t="str">
            <v>2013E</v>
          </cell>
          <cell r="AA114" t="str">
            <v>2022E</v>
          </cell>
        </row>
        <row r="116">
          <cell r="D116">
            <v>4738.9993000000013</v>
          </cell>
          <cell r="E116">
            <v>7475.881768166666</v>
          </cell>
          <cell r="F116">
            <v>8875.9970636858325</v>
          </cell>
          <cell r="G116">
            <v>10754.780911875001</v>
          </cell>
          <cell r="H116">
            <v>13013.284903368751</v>
          </cell>
          <cell r="I116">
            <v>15485.809035008813</v>
          </cell>
          <cell r="J116">
            <v>18428.112751660487</v>
          </cell>
          <cell r="K116">
            <v>21929.454174475981</v>
          </cell>
          <cell r="L116">
            <v>26096.050467626417</v>
          </cell>
          <cell r="M116">
            <v>31054.300056475433</v>
          </cell>
          <cell r="Q116">
            <v>56228.13797950463</v>
          </cell>
          <cell r="R116">
            <v>65224.640056225369</v>
          </cell>
          <cell r="AA116">
            <v>212107.17177381626</v>
          </cell>
          <cell r="AB116">
            <v>241802.17582215057</v>
          </cell>
        </row>
        <row r="117">
          <cell r="D117">
            <v>412.49944187492702</v>
          </cell>
          <cell r="E117">
            <v>520.00010084092901</v>
          </cell>
          <cell r="F117">
            <v>520.00000186176749</v>
          </cell>
          <cell r="G117">
            <v>1079.439115926436</v>
          </cell>
          <cell r="H117">
            <v>1218.9376796370962</v>
          </cell>
          <cell r="I117">
            <v>1308.5514898617339</v>
          </cell>
          <cell r="J117">
            <v>1583.0713190192928</v>
          </cell>
          <cell r="K117">
            <v>1883.8548696329635</v>
          </cell>
          <cell r="L117">
            <v>2241.7872948632212</v>
          </cell>
          <cell r="M117">
            <v>2667.7268808872359</v>
          </cell>
          <cell r="Q117">
            <v>4146.3445970056528</v>
          </cell>
          <cell r="R117">
            <v>4809.7597325265524</v>
          </cell>
          <cell r="AA117">
            <v>13470.622365003161</v>
          </cell>
          <cell r="AB117">
            <v>15356.509496103608</v>
          </cell>
        </row>
        <row r="118">
          <cell r="D118">
            <v>5768.6664775000991</v>
          </cell>
          <cell r="E118">
            <v>6955.881667325737</v>
          </cell>
          <cell r="F118">
            <v>8355.9970618240659</v>
          </cell>
          <cell r="G118">
            <v>9675.341795948565</v>
          </cell>
          <cell r="H118">
            <v>11794.347223731655</v>
          </cell>
          <cell r="I118">
            <v>14177.25754514708</v>
          </cell>
          <cell r="J118">
            <v>16845.041432641192</v>
          </cell>
          <cell r="K118">
            <v>20045.599304843017</v>
          </cell>
          <cell r="L118">
            <v>23854.263172763196</v>
          </cell>
          <cell r="M118">
            <v>28386.573175588197</v>
          </cell>
          <cell r="Q118">
            <v>52081.793382498974</v>
          </cell>
          <cell r="R118">
            <v>60414.880323698817</v>
          </cell>
          <cell r="AA118">
            <v>198636.54940881309</v>
          </cell>
          <cell r="AB118">
            <v>226445.66632604698</v>
          </cell>
        </row>
        <row r="120">
          <cell r="D120">
            <v>5298.8677664348606</v>
          </cell>
          <cell r="E120">
            <v>5705.1890298769104</v>
          </cell>
          <cell r="F120">
            <v>6119.6464681047219</v>
          </cell>
          <cell r="G120">
            <v>6327.0981708727559</v>
          </cell>
          <cell r="H120">
            <v>6886.8776571685521</v>
          </cell>
          <cell r="I120">
            <v>7391.8116048865113</v>
          </cell>
          <cell r="J120">
            <v>7842.2547512008232</v>
          </cell>
          <cell r="K120">
            <v>8332.9372077819153</v>
          </cell>
          <cell r="L120">
            <v>8854.3212012085987</v>
          </cell>
          <cell r="M120">
            <v>9408.3276975802964</v>
          </cell>
          <cell r="Q120">
            <v>10973.020883058714</v>
          </cell>
          <cell r="R120">
            <v>11365.653108507089</v>
          </cell>
          <cell r="AA120">
            <v>13483.463263576006</v>
          </cell>
          <cell r="AB120">
            <v>13725.131351755137</v>
          </cell>
        </row>
        <row r="121">
          <cell r="D121">
            <v>5298.8677664348606</v>
          </cell>
          <cell r="E121">
            <v>11004.056796311772</v>
          </cell>
          <cell r="F121">
            <v>17123.703264416494</v>
          </cell>
          <cell r="G121">
            <v>23450.80143528925</v>
          </cell>
          <cell r="H121">
            <v>30337.679092457802</v>
          </cell>
          <cell r="I121">
            <v>37729.490697344314</v>
          </cell>
          <cell r="J121">
            <v>45571.745448545138</v>
          </cell>
          <cell r="K121">
            <v>53904.682656327052</v>
          </cell>
          <cell r="L121">
            <v>62759.003857535652</v>
          </cell>
          <cell r="M121">
            <v>72167.331555115947</v>
          </cell>
          <cell r="Q121">
            <v>113868.29394040979</v>
          </cell>
          <cell r="R121">
            <v>125233.94704891687</v>
          </cell>
          <cell r="AA121">
            <v>238571.85272658081</v>
          </cell>
          <cell r="AB121">
            <v>252296.98407833595</v>
          </cell>
        </row>
        <row r="123">
          <cell r="D123">
            <v>62336.824987497377</v>
          </cell>
          <cell r="E123">
            <v>74011.533716940015</v>
          </cell>
          <cell r="F123">
            <v>89677.567980965847</v>
          </cell>
          <cell r="G123">
            <v>108509.85725696868</v>
          </cell>
          <cell r="H123">
            <v>129126.73013579272</v>
          </cell>
          <cell r="I123">
            <v>153660.80886159334</v>
          </cell>
          <cell r="J123">
            <v>182856.36254529608</v>
          </cell>
          <cell r="K123">
            <v>217599.07142890233</v>
          </cell>
          <cell r="L123">
            <v>258942.89500039374</v>
          </cell>
          <cell r="M123">
            <v>300373.75820045674</v>
          </cell>
          <cell r="Q123">
            <v>543868.54930886964</v>
          </cell>
          <cell r="R123">
            <v>620010.14621211146</v>
          </cell>
          <cell r="AA123">
            <v>2016241.0780765882</v>
          </cell>
          <cell r="AB123">
            <v>2298514.8290073108</v>
          </cell>
        </row>
        <row r="124">
          <cell r="D124">
            <v>57260.130027708874</v>
          </cell>
          <cell r="E124">
            <v>60703.992741812937</v>
          </cell>
          <cell r="F124">
            <v>65676.783764107735</v>
          </cell>
          <cell r="G124">
            <v>70958.993888951416</v>
          </cell>
          <cell r="H124">
            <v>75398.830969304094</v>
          </cell>
          <cell r="I124">
            <v>80116.464453181397</v>
          </cell>
          <cell r="J124">
            <v>85129.275798599556</v>
          </cell>
          <cell r="K124">
            <v>90455.734004950224</v>
          </cell>
          <cell r="L124">
            <v>96115.463659434943</v>
          </cell>
          <cell r="M124">
            <v>99554.628571156733</v>
          </cell>
          <cell r="Q124">
            <v>114586.70221618097</v>
          </cell>
          <cell r="R124">
            <v>116640.47347019866</v>
          </cell>
          <cell r="AA124">
            <v>136862.58942611484</v>
          </cell>
          <cell r="AB124">
            <v>139315.61797547896</v>
          </cell>
        </row>
        <row r="126">
          <cell r="D126">
            <v>62558.997794143732</v>
          </cell>
          <cell r="E126">
            <v>71708.049538124702</v>
          </cell>
          <cell r="F126">
            <v>82800.487028524221</v>
          </cell>
          <cell r="G126">
            <v>94409.795324240666</v>
          </cell>
          <cell r="H126">
            <v>105736.51006176189</v>
          </cell>
          <cell r="I126">
            <v>117845.95515052571</v>
          </cell>
          <cell r="J126">
            <v>130701.0212471447</v>
          </cell>
          <cell r="K126">
            <v>144360.41666127727</v>
          </cell>
          <cell r="L126">
            <v>158874.46751697059</v>
          </cell>
          <cell r="M126">
            <v>171721.96012627269</v>
          </cell>
          <cell r="Q126">
            <v>228454.99615659076</v>
          </cell>
          <cell r="R126">
            <v>241874.42051911552</v>
          </cell>
          <cell r="AA126">
            <v>375434.44215269561</v>
          </cell>
          <cell r="AB126">
            <v>391612.60205381492</v>
          </cell>
        </row>
        <row r="128">
          <cell r="D128">
            <v>62558.997794143732</v>
          </cell>
          <cell r="E128">
            <v>71708.049538124702</v>
          </cell>
          <cell r="F128">
            <v>82800.487028524221</v>
          </cell>
          <cell r="G128">
            <v>94409.795324240666</v>
          </cell>
          <cell r="H128">
            <v>105736.51006176189</v>
          </cell>
          <cell r="I128">
            <v>117845.95515052571</v>
          </cell>
          <cell r="J128">
            <v>130701.0212471447</v>
          </cell>
          <cell r="K128">
            <v>144360.41666127727</v>
          </cell>
          <cell r="L128">
            <v>158874.46751697059</v>
          </cell>
          <cell r="M128">
            <v>171721.96012627269</v>
          </cell>
          <cell r="Q128">
            <v>228454.99615659076</v>
          </cell>
          <cell r="R128">
            <v>241874.42051911552</v>
          </cell>
          <cell r="AA128">
            <v>375434.44215269561</v>
          </cell>
          <cell r="AB128">
            <v>391612.60205381492</v>
          </cell>
        </row>
        <row r="130">
          <cell r="D130">
            <v>16451.400000000001</v>
          </cell>
          <cell r="E130">
            <v>16451.400000000001</v>
          </cell>
          <cell r="F130">
            <v>16451.400000000001</v>
          </cell>
          <cell r="G130">
            <v>16451.400000000001</v>
          </cell>
          <cell r="H130">
            <v>16451.400000000001</v>
          </cell>
          <cell r="I130">
            <v>16451.400000000001</v>
          </cell>
          <cell r="J130">
            <v>16451.400000000001</v>
          </cell>
          <cell r="K130">
            <v>16451.400000000001</v>
          </cell>
          <cell r="L130">
            <v>16451.400000000001</v>
          </cell>
          <cell r="M130">
            <v>16451.400000000001</v>
          </cell>
          <cell r="Q130">
            <v>16451.400000000001</v>
          </cell>
          <cell r="R130">
            <v>16451.400000000001</v>
          </cell>
          <cell r="AA130">
            <v>16451.400000000001</v>
          </cell>
          <cell r="AB130">
            <v>16451.400000000001</v>
          </cell>
        </row>
        <row r="131">
          <cell r="D131">
            <v>0</v>
          </cell>
          <cell r="E131">
            <v>0</v>
          </cell>
          <cell r="F131">
            <v>0</v>
          </cell>
          <cell r="G131">
            <v>0</v>
          </cell>
          <cell r="H131">
            <v>0</v>
          </cell>
          <cell r="I131">
            <v>0</v>
          </cell>
          <cell r="J131">
            <v>0</v>
          </cell>
          <cell r="K131">
            <v>0</v>
          </cell>
          <cell r="L131">
            <v>0</v>
          </cell>
          <cell r="M131">
            <v>0</v>
          </cell>
          <cell r="Q131">
            <v>0</v>
          </cell>
          <cell r="R131">
            <v>0</v>
          </cell>
          <cell r="AA131">
            <v>0</v>
          </cell>
          <cell r="AB131">
            <v>0</v>
          </cell>
        </row>
        <row r="132">
          <cell r="D132">
            <v>980</v>
          </cell>
          <cell r="E132">
            <v>980</v>
          </cell>
          <cell r="F132">
            <v>980</v>
          </cell>
          <cell r="G132">
            <v>980</v>
          </cell>
          <cell r="H132">
            <v>980</v>
          </cell>
          <cell r="I132">
            <v>980</v>
          </cell>
          <cell r="J132">
            <v>980</v>
          </cell>
          <cell r="K132">
            <v>980</v>
          </cell>
          <cell r="L132">
            <v>980</v>
          </cell>
          <cell r="M132">
            <v>980</v>
          </cell>
          <cell r="Q132">
            <v>980</v>
          </cell>
          <cell r="R132">
            <v>980</v>
          </cell>
          <cell r="AA132">
            <v>980</v>
          </cell>
          <cell r="AB132">
            <v>980</v>
          </cell>
        </row>
        <row r="134">
          <cell r="D134">
            <v>78030.397794143733</v>
          </cell>
          <cell r="E134">
            <v>87179.449538124696</v>
          </cell>
          <cell r="F134">
            <v>98271.887028524216</v>
          </cell>
          <cell r="G134">
            <v>109881.19532424066</v>
          </cell>
          <cell r="H134">
            <v>121207.91006176188</v>
          </cell>
          <cell r="I134">
            <v>133317.35515052572</v>
          </cell>
          <cell r="J134">
            <v>146172.4212471447</v>
          </cell>
          <cell r="K134">
            <v>159831.81666127726</v>
          </cell>
          <cell r="L134">
            <v>174345.86751697058</v>
          </cell>
          <cell r="M134">
            <v>187193.36012627269</v>
          </cell>
          <cell r="Q134">
            <v>243926.39615659075</v>
          </cell>
          <cell r="R134">
            <v>257345.82051911551</v>
          </cell>
          <cell r="AA134">
            <v>390905.84215269564</v>
          </cell>
          <cell r="AB134">
            <v>407084.00205381494</v>
          </cell>
        </row>
        <row r="136">
          <cell r="D136">
            <v>2470</v>
          </cell>
          <cell r="E136">
            <v>2470</v>
          </cell>
          <cell r="F136">
            <v>2470</v>
          </cell>
          <cell r="G136">
            <v>2470</v>
          </cell>
          <cell r="H136">
            <v>2470</v>
          </cell>
          <cell r="I136">
            <v>2470</v>
          </cell>
          <cell r="J136">
            <v>2470</v>
          </cell>
          <cell r="K136">
            <v>2470</v>
          </cell>
          <cell r="L136">
            <v>2470</v>
          </cell>
          <cell r="M136">
            <v>2470</v>
          </cell>
          <cell r="Q136">
            <v>2470</v>
          </cell>
          <cell r="R136">
            <v>2470</v>
          </cell>
          <cell r="AA136">
            <v>2470</v>
          </cell>
          <cell r="AB136">
            <v>2470</v>
          </cell>
        </row>
        <row r="138">
          <cell r="D138">
            <v>31.591254167669529</v>
          </cell>
          <cell r="E138">
            <v>35.295323699645628</v>
          </cell>
          <cell r="F138">
            <v>39.786189080374179</v>
          </cell>
          <cell r="G138">
            <v>44.486313896453709</v>
          </cell>
          <cell r="H138">
            <v>49.072028365085785</v>
          </cell>
          <cell r="I138">
            <v>53.974637712763446</v>
          </cell>
          <cell r="J138">
            <v>59.179117913823767</v>
          </cell>
          <cell r="K138">
            <v>64.709237514687146</v>
          </cell>
          <cell r="L138">
            <v>70.585371464360563</v>
          </cell>
          <cell r="M138">
            <v>75.786785476223756</v>
          </cell>
          <cell r="Q138">
            <v>98.75562597432824</v>
          </cell>
          <cell r="R138">
            <v>104.18859130328563</v>
          </cell>
          <cell r="AA138">
            <v>158.26147455574721</v>
          </cell>
          <cell r="AB138">
            <v>164.81133686389268</v>
          </cell>
        </row>
        <row r="142">
          <cell r="C142">
            <v>0</v>
          </cell>
          <cell r="D142" t="str">
            <v>1999E</v>
          </cell>
          <cell r="E142" t="str">
            <v>2000E</v>
          </cell>
          <cell r="F142" t="str">
            <v>2001E</v>
          </cell>
          <cell r="G142" t="str">
            <v>2002E</v>
          </cell>
          <cell r="H142" t="str">
            <v>2003E</v>
          </cell>
          <cell r="I142" t="str">
            <v>2004E</v>
          </cell>
          <cell r="J142" t="str">
            <v>2005E</v>
          </cell>
          <cell r="K142" t="str">
            <v>2006E</v>
          </cell>
          <cell r="L142" t="str">
            <v>2007E</v>
          </cell>
          <cell r="M142" t="str">
            <v>2008E</v>
          </cell>
          <cell r="Q142" t="str">
            <v>2012E</v>
          </cell>
          <cell r="R142" t="str">
            <v>2013E</v>
          </cell>
        </row>
        <row r="144">
          <cell r="AA144" t="str">
            <v>2022E</v>
          </cell>
        </row>
        <row r="145">
          <cell r="AA145">
            <v>23.75</v>
          </cell>
        </row>
        <row r="146">
          <cell r="D146">
            <v>4738.9993000000013</v>
          </cell>
          <cell r="E146">
            <v>7475.881768166666</v>
          </cell>
          <cell r="F146">
            <v>8875.9970636858325</v>
          </cell>
          <cell r="G146">
            <v>10754.780911875001</v>
          </cell>
          <cell r="H146">
            <v>13013.284903368751</v>
          </cell>
          <cell r="I146">
            <v>15485.809035008813</v>
          </cell>
          <cell r="J146">
            <v>18428.112751660487</v>
          </cell>
          <cell r="K146">
            <v>21929.454174475981</v>
          </cell>
          <cell r="L146">
            <v>26096.050467626417</v>
          </cell>
          <cell r="M146">
            <v>31054.300056475433</v>
          </cell>
          <cell r="Q146">
            <v>56228.13797950463</v>
          </cell>
          <cell r="R146">
            <v>65224.640056225369</v>
          </cell>
          <cell r="AA146">
            <v>212107.17177381626</v>
          </cell>
          <cell r="AB146">
            <v>241802.17582215057</v>
          </cell>
        </row>
        <row r="147">
          <cell r="D147">
            <v>875</v>
          </cell>
          <cell r="E147">
            <v>1080.625</v>
          </cell>
          <cell r="F147">
            <v>1334.5718750000003</v>
          </cell>
          <cell r="G147">
            <v>1614.8319687500002</v>
          </cell>
          <cell r="H147">
            <v>1953.9466821875003</v>
          </cell>
          <cell r="I147">
            <v>2325.1965518031252</v>
          </cell>
          <cell r="J147">
            <v>2766.9838966457191</v>
          </cell>
          <cell r="K147">
            <v>3292.7108370084056</v>
          </cell>
          <cell r="L147">
            <v>3918.3258960400026</v>
          </cell>
          <cell r="M147">
            <v>4662.8078162876027</v>
          </cell>
          <cell r="Q147">
            <v>8442.6633602859802</v>
          </cell>
          <cell r="R147">
            <v>9793.4894979317378</v>
          </cell>
          <cell r="AA147">
            <v>31847.923689762203</v>
          </cell>
          <cell r="AB147">
            <v>36306.633006328913</v>
          </cell>
        </row>
        <row r="148">
          <cell r="D148">
            <v>3863.9993000000013</v>
          </cell>
          <cell r="E148">
            <v>6395.256768166666</v>
          </cell>
          <cell r="F148">
            <v>7541.4251886858319</v>
          </cell>
          <cell r="G148">
            <v>9139.9489431250004</v>
          </cell>
          <cell r="H148">
            <v>11059.33822118125</v>
          </cell>
          <cell r="I148">
            <v>13160.612483205688</v>
          </cell>
          <cell r="J148">
            <v>15661.128855014767</v>
          </cell>
          <cell r="K148">
            <v>18636.743337467575</v>
          </cell>
          <cell r="L148">
            <v>22177.724571586416</v>
          </cell>
          <cell r="M148">
            <v>26391.492240187828</v>
          </cell>
          <cell r="Q148">
            <v>47785.47461921865</v>
          </cell>
          <cell r="R148">
            <v>55431.15055829363</v>
          </cell>
          <cell r="AA148">
            <v>180259.24808405404</v>
          </cell>
          <cell r="AB148">
            <v>205495.54281582165</v>
          </cell>
        </row>
        <row r="149">
          <cell r="D149">
            <v>412.49944187492702</v>
          </cell>
          <cell r="E149">
            <v>520.00010084092901</v>
          </cell>
          <cell r="F149">
            <v>520.00000186176749</v>
          </cell>
          <cell r="G149">
            <v>1079.439115926436</v>
          </cell>
          <cell r="H149">
            <v>1218.9376796370962</v>
          </cell>
          <cell r="I149">
            <v>1308.5514898617339</v>
          </cell>
          <cell r="J149">
            <v>1583.0713190192928</v>
          </cell>
          <cell r="K149">
            <v>1883.8548696329635</v>
          </cell>
          <cell r="L149">
            <v>2241.7872948632212</v>
          </cell>
          <cell r="M149">
            <v>2667.7268808872359</v>
          </cell>
          <cell r="Q149">
            <v>4146.3445970056528</v>
          </cell>
          <cell r="R149">
            <v>4809.7597325265524</v>
          </cell>
          <cell r="AA149">
            <v>13470.622365003161</v>
          </cell>
          <cell r="AB149">
            <v>15356.509496103608</v>
          </cell>
        </row>
        <row r="150">
          <cell r="D150">
            <v>4893.6664775000991</v>
          </cell>
          <cell r="E150">
            <v>5875.256667325737</v>
          </cell>
          <cell r="F150">
            <v>7021.4251868240653</v>
          </cell>
          <cell r="G150">
            <v>8060.5098271985644</v>
          </cell>
          <cell r="H150">
            <v>9840.4005415441534</v>
          </cell>
          <cell r="I150">
            <v>11852.060993343955</v>
          </cell>
          <cell r="J150">
            <v>14078.057535995473</v>
          </cell>
          <cell r="K150">
            <v>16752.888467834611</v>
          </cell>
          <cell r="L150">
            <v>19935.937276723194</v>
          </cell>
          <cell r="M150">
            <v>23723.765359300596</v>
          </cell>
          <cell r="Q150">
            <v>43639.130022212994</v>
          </cell>
          <cell r="R150">
            <v>50621.390825767077</v>
          </cell>
          <cell r="AA150">
            <v>166788.62571905088</v>
          </cell>
          <cell r="AB150">
            <v>190139.03331971806</v>
          </cell>
        </row>
        <row r="152">
          <cell r="D152">
            <v>4495.1275409053414</v>
          </cell>
          <cell r="E152">
            <v>4818.8643063884783</v>
          </cell>
          <cell r="F152">
            <v>5142.2516699915668</v>
          </cell>
          <cell r="G152">
            <v>5271.0940925441419</v>
          </cell>
          <cell r="H152">
            <v>5745.9419619925247</v>
          </cell>
          <cell r="I152">
            <v>6179.4886432327785</v>
          </cell>
          <cell r="J152">
            <v>6554.0778893785409</v>
          </cell>
          <cell r="K152">
            <v>6964.1603390581622</v>
          </cell>
          <cell r="L152">
            <v>7399.9012594446704</v>
          </cell>
          <cell r="M152">
            <v>7862.9060767627807</v>
          </cell>
          <cell r="Q152">
            <v>9194.2510799400879</v>
          </cell>
          <cell r="R152">
            <v>9523.2360788132246</v>
          </cell>
          <cell r="AA152">
            <v>11321.623912408601</v>
          </cell>
          <cell r="AB152">
            <v>11524.544716397151</v>
          </cell>
        </row>
        <row r="153">
          <cell r="D153">
            <v>4495.1275409053414</v>
          </cell>
          <cell r="E153">
            <v>9313.9918472938189</v>
          </cell>
          <cell r="F153">
            <v>14456.243517285386</v>
          </cell>
          <cell r="G153">
            <v>19727.337609829527</v>
          </cell>
          <cell r="H153">
            <v>25473.279571822051</v>
          </cell>
          <cell r="I153">
            <v>31652.768215054828</v>
          </cell>
          <cell r="J153">
            <v>38206.846104433367</v>
          </cell>
          <cell r="K153">
            <v>45171.006443491526</v>
          </cell>
          <cell r="L153">
            <v>52570.907702936194</v>
          </cell>
          <cell r="M153">
            <v>60433.813779698976</v>
          </cell>
          <cell r="Q153">
            <v>95379.970212663175</v>
          </cell>
          <cell r="R153">
            <v>104903.2062914764</v>
          </cell>
          <cell r="AA153">
            <v>200100.06011599986</v>
          </cell>
          <cell r="AB153">
            <v>211624.60483239702</v>
          </cell>
        </row>
        <row r="155">
          <cell r="D155">
            <v>53326.151251463438</v>
          </cell>
          <cell r="E155">
            <v>62883.351652938094</v>
          </cell>
          <cell r="F155">
            <v>76212.46768352353</v>
          </cell>
          <cell r="G155">
            <v>92217.085897063458</v>
          </cell>
          <cell r="H155">
            <v>109738.33221750554</v>
          </cell>
          <cell r="I155">
            <v>130588.61533883157</v>
          </cell>
          <cell r="J155">
            <v>155400.45225320957</v>
          </cell>
          <cell r="K155">
            <v>184926.5381813194</v>
          </cell>
          <cell r="L155">
            <v>220062.58043577004</v>
          </cell>
          <cell r="M155">
            <v>255272.59330549324</v>
          </cell>
          <cell r="Q155">
            <v>462206.60496819852</v>
          </cell>
          <cell r="R155">
            <v>526915.52966374636</v>
          </cell>
          <cell r="AA155">
            <v>1713502.177464488</v>
          </cell>
          <cell r="AB155">
            <v>1953392.4823095163</v>
          </cell>
        </row>
        <row r="156">
          <cell r="D156">
            <v>48983.283238254218</v>
          </cell>
          <cell r="E156">
            <v>51576.697990344641</v>
          </cell>
          <cell r="F156">
            <v>55815.404820548021</v>
          </cell>
          <cell r="G156">
            <v>60304.490302021761</v>
          </cell>
          <cell r="H156">
            <v>64077.685178117295</v>
          </cell>
          <cell r="I156">
            <v>68086.965286037041</v>
          </cell>
          <cell r="J156">
            <v>72347.102255266276</v>
          </cell>
          <cell r="K156">
            <v>76873.791962164905</v>
          </cell>
          <cell r="L156">
            <v>81683.712359219484</v>
          </cell>
          <cell r="M156">
            <v>84606.48614305511</v>
          </cell>
          <cell r="Q156">
            <v>97381.491673210854</v>
          </cell>
          <cell r="R156">
            <v>99126.888865063724</v>
          </cell>
          <cell r="AA156">
            <v>116312.65107384535</v>
          </cell>
          <cell r="AB156">
            <v>118397.35701819982</v>
          </cell>
        </row>
        <row r="158">
          <cell r="D158">
            <v>53478.41077915956</v>
          </cell>
          <cell r="E158">
            <v>60890.689837638463</v>
          </cell>
          <cell r="F158">
            <v>70271.648337833409</v>
          </cell>
          <cell r="G158">
            <v>80031.827911851287</v>
          </cell>
          <cell r="H158">
            <v>89550.964749939347</v>
          </cell>
          <cell r="I158">
            <v>99739.733501091861</v>
          </cell>
          <cell r="J158">
            <v>110553.94835969964</v>
          </cell>
          <cell r="K158">
            <v>122044.79840565643</v>
          </cell>
          <cell r="L158">
            <v>134254.62006215568</v>
          </cell>
          <cell r="M158">
            <v>145040.29992275409</v>
          </cell>
          <cell r="Q158">
            <v>192761.46188587404</v>
          </cell>
          <cell r="R158">
            <v>204030.0951565401</v>
          </cell>
          <cell r="AA158">
            <v>316412.71118984523</v>
          </cell>
          <cell r="AB158">
            <v>330021.96185059682</v>
          </cell>
        </row>
        <row r="159">
          <cell r="D159">
            <v>17242</v>
          </cell>
        </row>
        <row r="160">
          <cell r="D160">
            <v>3953</v>
          </cell>
        </row>
        <row r="161">
          <cell r="D161">
            <v>15812</v>
          </cell>
        </row>
        <row r="162">
          <cell r="D162">
            <v>790.6</v>
          </cell>
        </row>
        <row r="163">
          <cell r="D163">
            <v>16451.400000000001</v>
          </cell>
          <cell r="E163">
            <v>16451.400000000001</v>
          </cell>
          <cell r="F163">
            <v>16451.400000000001</v>
          </cell>
          <cell r="G163">
            <v>16451.400000000001</v>
          </cell>
          <cell r="H163">
            <v>16451.400000000001</v>
          </cell>
          <cell r="I163">
            <v>16451.400000000001</v>
          </cell>
          <cell r="J163">
            <v>16451.400000000001</v>
          </cell>
          <cell r="K163">
            <v>16451.400000000001</v>
          </cell>
          <cell r="L163">
            <v>16451.400000000001</v>
          </cell>
          <cell r="M163">
            <v>16451.400000000001</v>
          </cell>
          <cell r="Q163">
            <v>16451.400000000001</v>
          </cell>
          <cell r="R163">
            <v>16451.400000000001</v>
          </cell>
          <cell r="AA163">
            <v>16451.400000000001</v>
          </cell>
          <cell r="AB163">
            <v>16451.400000000001</v>
          </cell>
        </row>
        <row r="164">
          <cell r="D164">
            <v>0</v>
          </cell>
          <cell r="E164">
            <v>0</v>
          </cell>
          <cell r="F164">
            <v>0</v>
          </cell>
          <cell r="G164">
            <v>0</v>
          </cell>
          <cell r="H164">
            <v>0</v>
          </cell>
          <cell r="I164">
            <v>0</v>
          </cell>
          <cell r="J164">
            <v>0</v>
          </cell>
          <cell r="K164">
            <v>0</v>
          </cell>
          <cell r="L164">
            <v>0</v>
          </cell>
          <cell r="M164">
            <v>0</v>
          </cell>
          <cell r="Q164">
            <v>0</v>
          </cell>
          <cell r="R164">
            <v>0</v>
          </cell>
          <cell r="AA164">
            <v>0</v>
          </cell>
          <cell r="AB164">
            <v>0</v>
          </cell>
        </row>
        <row r="165">
          <cell r="D165">
            <v>980</v>
          </cell>
          <cell r="E165">
            <v>980</v>
          </cell>
          <cell r="F165">
            <v>980</v>
          </cell>
          <cell r="G165">
            <v>980</v>
          </cell>
          <cell r="H165">
            <v>980</v>
          </cell>
          <cell r="I165">
            <v>980</v>
          </cell>
          <cell r="J165">
            <v>980</v>
          </cell>
          <cell r="K165">
            <v>980</v>
          </cell>
          <cell r="L165">
            <v>980</v>
          </cell>
          <cell r="M165">
            <v>980</v>
          </cell>
          <cell r="Q165">
            <v>980</v>
          </cell>
          <cell r="R165">
            <v>980</v>
          </cell>
          <cell r="AA165">
            <v>980</v>
          </cell>
          <cell r="AB165">
            <v>980</v>
          </cell>
        </row>
        <row r="166">
          <cell r="D166">
            <v>22059.334750878072</v>
          </cell>
          <cell r="E166">
            <v>22059.334750878072</v>
          </cell>
          <cell r="F166">
            <v>22059.334750878072</v>
          </cell>
          <cell r="G166">
            <v>22059.334750878072</v>
          </cell>
          <cell r="H166">
            <v>22059.334750878072</v>
          </cell>
          <cell r="I166">
            <v>22059.334750878072</v>
          </cell>
          <cell r="J166">
            <v>22059.334750878072</v>
          </cell>
          <cell r="K166">
            <v>22059.334750878072</v>
          </cell>
          <cell r="L166">
            <v>22059.334750878072</v>
          </cell>
          <cell r="M166">
            <v>22059.334750878072</v>
          </cell>
          <cell r="Q166">
            <v>22059.334750878072</v>
          </cell>
          <cell r="R166">
            <v>22059.334750878072</v>
          </cell>
          <cell r="AA166">
            <v>22059.334750878072</v>
          </cell>
          <cell r="AB166">
            <v>22059.334750878072</v>
          </cell>
        </row>
        <row r="167">
          <cell r="D167">
            <v>6587.9347508780702</v>
          </cell>
          <cell r="E167">
            <v>6587.9347508780702</v>
          </cell>
          <cell r="F167">
            <v>6587.9347508780702</v>
          </cell>
          <cell r="G167">
            <v>6587.9347508780702</v>
          </cell>
          <cell r="H167">
            <v>6587.9347508780702</v>
          </cell>
          <cell r="I167">
            <v>6587.9347508780702</v>
          </cell>
          <cell r="J167">
            <v>6587.9347508780702</v>
          </cell>
          <cell r="K167">
            <v>6587.9347508780702</v>
          </cell>
          <cell r="L167">
            <v>6587.9347508780702</v>
          </cell>
          <cell r="M167">
            <v>6587.9347508780702</v>
          </cell>
          <cell r="Q167">
            <v>6587.9347508780702</v>
          </cell>
          <cell r="R167">
            <v>6587.9347508780702</v>
          </cell>
          <cell r="AA167">
            <v>6587.9347508780702</v>
          </cell>
        </row>
        <row r="169">
          <cell r="C169">
            <v>0</v>
          </cell>
          <cell r="D169">
            <v>46890.47602828149</v>
          </cell>
          <cell r="E169">
            <v>54302.755086760393</v>
          </cell>
          <cell r="F169">
            <v>63683.713586955339</v>
          </cell>
          <cell r="G169">
            <v>73443.89316097321</v>
          </cell>
          <cell r="H169">
            <v>82963.029999061284</v>
          </cell>
          <cell r="I169">
            <v>93151.798750213784</v>
          </cell>
          <cell r="J169">
            <v>103966.01360882158</v>
          </cell>
          <cell r="K169">
            <v>115456.86365477837</v>
          </cell>
          <cell r="L169">
            <v>127666.6853112776</v>
          </cell>
          <cell r="M169">
            <v>138452.36517187601</v>
          </cell>
          <cell r="Q169">
            <v>186173.52713499597</v>
          </cell>
          <cell r="R169">
            <v>197442.16040566203</v>
          </cell>
          <cell r="AA169">
            <v>309824.77643896715</v>
          </cell>
          <cell r="AB169" t="e">
            <v>#REF!</v>
          </cell>
        </row>
        <row r="171">
          <cell r="D171">
            <v>2470</v>
          </cell>
          <cell r="E171">
            <v>2470</v>
          </cell>
          <cell r="F171">
            <v>2470</v>
          </cell>
          <cell r="G171">
            <v>2470</v>
          </cell>
          <cell r="H171">
            <v>2470</v>
          </cell>
          <cell r="I171">
            <v>2470</v>
          </cell>
          <cell r="J171">
            <v>2470</v>
          </cell>
          <cell r="K171">
            <v>2470</v>
          </cell>
          <cell r="L171">
            <v>2470</v>
          </cell>
          <cell r="M171">
            <v>2470</v>
          </cell>
          <cell r="Q171">
            <v>2470</v>
          </cell>
          <cell r="R171">
            <v>2470</v>
          </cell>
          <cell r="AA171">
            <v>2470</v>
          </cell>
          <cell r="AB171">
            <v>2470</v>
          </cell>
        </row>
        <row r="173">
          <cell r="D173">
            <v>18.983998392016797</v>
          </cell>
          <cell r="E173">
            <v>21.984921087757243</v>
          </cell>
          <cell r="F173">
            <v>25.782879994718762</v>
          </cell>
          <cell r="G173">
            <v>29.734369700798869</v>
          </cell>
          <cell r="H173">
            <v>33.588271254680684</v>
          </cell>
          <cell r="I173">
            <v>37.713278846240399</v>
          </cell>
          <cell r="J173">
            <v>42.091503485352867</v>
          </cell>
          <cell r="K173">
            <v>46.743669495861688</v>
          </cell>
          <cell r="L173">
            <v>51.686917130071905</v>
          </cell>
          <cell r="M173">
            <v>56.05358913841134</v>
          </cell>
          <cell r="Q173">
            <v>75.373897625504441</v>
          </cell>
          <cell r="R173">
            <v>79.93609733022754</v>
          </cell>
          <cell r="AA173">
            <v>125.43513216152516</v>
          </cell>
          <cell r="AB173" t="e">
            <v>#REF!</v>
          </cell>
        </row>
        <row r="176">
          <cell r="D176">
            <v>781.30077458477695</v>
          </cell>
          <cell r="E176">
            <v>861.57961366053041</v>
          </cell>
          <cell r="F176">
            <v>950.10712240741759</v>
          </cell>
          <cell r="G176">
            <v>1026.5217269911645</v>
          </cell>
          <cell r="H176">
            <v>1109.0821562466547</v>
          </cell>
          <cell r="I176">
            <v>1178.4763769449855</v>
          </cell>
          <cell r="J176">
            <v>1252.2125283462913</v>
          </cell>
          <cell r="K176">
            <v>1330.5622809447384</v>
          </cell>
          <cell r="L176">
            <v>1413.81430340016</v>
          </cell>
          <cell r="M176">
            <v>1502.2753260971913</v>
          </cell>
          <cell r="Q176">
            <v>1729.1087105525919</v>
          </cell>
          <cell r="R176">
            <v>1790.9789838621589</v>
          </cell>
          <cell r="AA176">
            <v>2101.4834220623602</v>
          </cell>
          <cell r="AB176">
            <v>2139.1489291373769</v>
          </cell>
        </row>
        <row r="177">
          <cell r="D177">
            <v>781.30077458477695</v>
          </cell>
          <cell r="E177">
            <v>1642.8803882453074</v>
          </cell>
          <cell r="F177">
            <v>2592.9875106527252</v>
          </cell>
          <cell r="G177">
            <v>3619.5092376438897</v>
          </cell>
          <cell r="H177">
            <v>4728.5913938905442</v>
          </cell>
          <cell r="I177">
            <v>5907.0677708355297</v>
          </cell>
          <cell r="J177">
            <v>7159.2802991818207</v>
          </cell>
          <cell r="K177">
            <v>8489.8425801265585</v>
          </cell>
          <cell r="L177">
            <v>9903.656883526719</v>
          </cell>
          <cell r="M177">
            <v>11405.93220962391</v>
          </cell>
          <cell r="Q177">
            <v>17972.152183556522</v>
          </cell>
          <cell r="R177">
            <v>19763.13116741868</v>
          </cell>
          <cell r="AA177">
            <v>37397.706885342188</v>
          </cell>
          <cell r="AB177">
            <v>39536.855814479568</v>
          </cell>
        </row>
        <row r="178">
          <cell r="D178">
            <v>9010.6737360339412</v>
          </cell>
          <cell r="E178">
            <v>11128.18206400192</v>
          </cell>
          <cell r="F178">
            <v>13465.100297442321</v>
          </cell>
          <cell r="G178">
            <v>16292.771359905208</v>
          </cell>
          <cell r="H178">
            <v>19388.397918287195</v>
          </cell>
          <cell r="I178">
            <v>23072.193522761765</v>
          </cell>
          <cell r="J178">
            <v>27455.910292086501</v>
          </cell>
          <cell r="K178">
            <v>32672.533247582935</v>
          </cell>
          <cell r="L178">
            <v>38880.314564623688</v>
          </cell>
          <cell r="M178">
            <v>45101.164894963476</v>
          </cell>
          <cell r="Q178">
            <v>81661.944340671122</v>
          </cell>
          <cell r="R178">
            <v>93094.616548365084</v>
          </cell>
          <cell r="AA178">
            <v>302738.90061210032</v>
          </cell>
          <cell r="AB178">
            <v>345122.34669779445</v>
          </cell>
        </row>
        <row r="179">
          <cell r="D179">
            <v>8045.7672794217424</v>
          </cell>
          <cell r="E179">
            <v>8872.4717672151</v>
          </cell>
          <cell r="F179">
            <v>9586.0612202172942</v>
          </cell>
          <cell r="G179">
            <v>10357.04278680362</v>
          </cell>
          <cell r="H179">
            <v>11005.073150362789</v>
          </cell>
          <cell r="I179">
            <v>11693.65016036719</v>
          </cell>
          <cell r="J179">
            <v>12425.310782104869</v>
          </cell>
          <cell r="K179">
            <v>13202.750716380557</v>
          </cell>
          <cell r="L179">
            <v>14028.834331446673</v>
          </cell>
          <cell r="M179">
            <v>14530.808446205399</v>
          </cell>
          <cell r="Q179">
            <v>16724.861960542792</v>
          </cell>
          <cell r="R179">
            <v>17024.626593415924</v>
          </cell>
          <cell r="AA179">
            <v>19976.209031618149</v>
          </cell>
          <cell r="AB179">
            <v>20334.248516828087</v>
          </cell>
        </row>
        <row r="180">
          <cell r="D180">
            <v>8827.0680540065187</v>
          </cell>
          <cell r="E180">
            <v>10515.352155460407</v>
          </cell>
          <cell r="F180">
            <v>12179.048730870019</v>
          </cell>
          <cell r="G180">
            <v>13976.55202444751</v>
          </cell>
          <cell r="H180">
            <v>15733.664544253334</v>
          </cell>
          <cell r="I180">
            <v>17600.717931202718</v>
          </cell>
          <cell r="J180">
            <v>19584.59108128669</v>
          </cell>
          <cell r="K180">
            <v>21692.593296507115</v>
          </cell>
          <cell r="L180">
            <v>23932.491214973394</v>
          </cell>
          <cell r="M180">
            <v>25936.740655829308</v>
          </cell>
          <cell r="Q180">
            <v>34697.014144099317</v>
          </cell>
          <cell r="R180">
            <v>36787.757760834604</v>
          </cell>
          <cell r="AA180">
            <v>57373.915916960337</v>
          </cell>
          <cell r="AB180">
            <v>59871.104331307652</v>
          </cell>
        </row>
        <row r="182">
          <cell r="D182">
            <v>22059.334750878072</v>
          </cell>
        </row>
        <row r="183">
          <cell r="D183">
            <v>52510.674165626115</v>
          </cell>
        </row>
        <row r="184">
          <cell r="D184">
            <v>74570.008916504186</v>
          </cell>
        </row>
        <row r="186">
          <cell r="D186">
            <v>105.4375</v>
          </cell>
        </row>
        <row r="187">
          <cell r="D187">
            <v>2470</v>
          </cell>
        </row>
        <row r="188">
          <cell r="D188">
            <v>260430.625</v>
          </cell>
        </row>
        <row r="190">
          <cell r="D190">
            <v>980</v>
          </cell>
        </row>
        <row r="192">
          <cell r="D192">
            <v>283469.95975087804</v>
          </cell>
        </row>
        <row r="194">
          <cell r="D194">
            <v>7.7818950446334703E-2</v>
          </cell>
        </row>
        <row r="196">
          <cell r="D196">
            <v>0.26306141568594626</v>
          </cell>
        </row>
      </sheetData>
      <sheetData sheetId="10" refreshError="1"/>
      <sheetData sheetId="11" refreshError="1"/>
      <sheetData sheetId="12" refreshError="1"/>
      <sheetData sheetId="13" refreshError="1"/>
      <sheetData sheetId="14" refreshError="1"/>
      <sheetData sheetId="15" refreshError="1">
        <row r="1">
          <cell r="F1" t="str">
            <v>Capitalization of Material Operating Leases</v>
          </cell>
        </row>
        <row r="19">
          <cell r="AD19" t="str">
            <v>PV of Operating Leases</v>
          </cell>
          <cell r="AF19" t="str">
            <v>PV of Operating Leases</v>
          </cell>
        </row>
        <row r="21">
          <cell r="AD21">
            <v>83.458364591147784</v>
          </cell>
          <cell r="AF21">
            <v>79.707426856714179</v>
          </cell>
        </row>
        <row r="22">
          <cell r="AD22">
            <v>66.830285966090173</v>
          </cell>
          <cell r="AF22">
            <v>63.312902494190695</v>
          </cell>
        </row>
        <row r="23">
          <cell r="AD23">
            <v>47.82638816817564</v>
          </cell>
          <cell r="AF23">
            <v>42.878830771467818</v>
          </cell>
        </row>
        <row r="24">
          <cell r="AD24">
            <v>21.650976354685408</v>
          </cell>
          <cell r="AF24">
            <v>19.331228888111969</v>
          </cell>
        </row>
        <row r="25">
          <cell r="AD25">
            <v>17.402456613454138</v>
          </cell>
          <cell r="AF25">
            <v>12.32674010119668</v>
          </cell>
        </row>
        <row r="26">
          <cell r="AD26">
            <v>12.919115546684663</v>
          </cell>
          <cell r="AF26">
            <v>11.559208647033646</v>
          </cell>
        </row>
        <row r="27">
          <cell r="AD27">
            <v>0</v>
          </cell>
          <cell r="AF27">
            <v>0</v>
          </cell>
        </row>
        <row r="28">
          <cell r="AD28">
            <v>0</v>
          </cell>
          <cell r="AF28">
            <v>0</v>
          </cell>
        </row>
        <row r="29">
          <cell r="AD29">
            <v>0</v>
          </cell>
          <cell r="AF29">
            <v>0</v>
          </cell>
        </row>
        <row r="30">
          <cell r="AD30">
            <v>0</v>
          </cell>
          <cell r="AF30">
            <v>0</v>
          </cell>
        </row>
        <row r="31">
          <cell r="AD31">
            <v>0</v>
          </cell>
          <cell r="AF31">
            <v>0</v>
          </cell>
        </row>
        <row r="32">
          <cell r="AD32">
            <v>0</v>
          </cell>
          <cell r="AF32">
            <v>0</v>
          </cell>
        </row>
        <row r="33">
          <cell r="AD33">
            <v>0</v>
          </cell>
          <cell r="AF33">
            <v>0</v>
          </cell>
        </row>
        <row r="34">
          <cell r="AD34">
            <v>0</v>
          </cell>
          <cell r="AF34">
            <v>0</v>
          </cell>
        </row>
        <row r="35">
          <cell r="AD35">
            <v>0</v>
          </cell>
          <cell r="AF35">
            <v>0</v>
          </cell>
        </row>
        <row r="36">
          <cell r="AD36">
            <v>0</v>
          </cell>
          <cell r="AF36">
            <v>0</v>
          </cell>
        </row>
        <row r="37">
          <cell r="AD37">
            <v>0</v>
          </cell>
          <cell r="AF37">
            <v>0</v>
          </cell>
        </row>
        <row r="38">
          <cell r="AD38">
            <v>0</v>
          </cell>
          <cell r="AF38">
            <v>0</v>
          </cell>
        </row>
        <row r="39">
          <cell r="AD39">
            <v>0</v>
          </cell>
          <cell r="AF39">
            <v>0</v>
          </cell>
        </row>
        <row r="40">
          <cell r="AD40">
            <v>0</v>
          </cell>
          <cell r="AF40">
            <v>0</v>
          </cell>
        </row>
        <row r="41">
          <cell r="AD41">
            <v>0</v>
          </cell>
          <cell r="AF41">
            <v>0</v>
          </cell>
        </row>
        <row r="42">
          <cell r="AD42">
            <v>0</v>
          </cell>
          <cell r="AF42">
            <v>0</v>
          </cell>
        </row>
        <row r="43">
          <cell r="AD43">
            <v>0</v>
          </cell>
          <cell r="AF43">
            <v>0</v>
          </cell>
        </row>
        <row r="44">
          <cell r="AD44">
            <v>0</v>
          </cell>
          <cell r="AF44">
            <v>0</v>
          </cell>
        </row>
        <row r="45">
          <cell r="AD45">
            <v>0</v>
          </cell>
          <cell r="AF45">
            <v>0</v>
          </cell>
        </row>
        <row r="46">
          <cell r="AD46">
            <v>0</v>
          </cell>
          <cell r="AF46">
            <v>0</v>
          </cell>
        </row>
        <row r="47">
          <cell r="AD47">
            <v>0</v>
          </cell>
          <cell r="AF47">
            <v>0</v>
          </cell>
        </row>
        <row r="48">
          <cell r="AD48">
            <v>0</v>
          </cell>
          <cell r="AF48">
            <v>0</v>
          </cell>
        </row>
        <row r="49">
          <cell r="AD49">
            <v>0</v>
          </cell>
          <cell r="AF49">
            <v>0</v>
          </cell>
        </row>
        <row r="50">
          <cell r="AD50">
            <v>0</v>
          </cell>
          <cell r="AF50">
            <v>0</v>
          </cell>
        </row>
        <row r="51">
          <cell r="AD51">
            <v>0</v>
          </cell>
          <cell r="AF51">
            <v>0</v>
          </cell>
        </row>
        <row r="52">
          <cell r="AD52">
            <v>0</v>
          </cell>
          <cell r="AF52">
            <v>0</v>
          </cell>
        </row>
        <row r="53">
          <cell r="AD53">
            <v>0</v>
          </cell>
          <cell r="AF53">
            <v>0</v>
          </cell>
        </row>
        <row r="54">
          <cell r="AD54">
            <v>0</v>
          </cell>
          <cell r="AF54">
            <v>0</v>
          </cell>
        </row>
        <row r="55">
          <cell r="AD55">
            <v>0</v>
          </cell>
          <cell r="AF55">
            <v>0</v>
          </cell>
        </row>
        <row r="56">
          <cell r="AD56">
            <v>0</v>
          </cell>
          <cell r="AF56">
            <v>0</v>
          </cell>
        </row>
        <row r="57">
          <cell r="AD57">
            <v>0</v>
          </cell>
          <cell r="AF57">
            <v>0</v>
          </cell>
        </row>
        <row r="58">
          <cell r="AD58">
            <v>0</v>
          </cell>
          <cell r="AF58">
            <v>0</v>
          </cell>
        </row>
        <row r="59">
          <cell r="AD59">
            <v>0</v>
          </cell>
          <cell r="AF59">
            <v>0</v>
          </cell>
        </row>
        <row r="60">
          <cell r="AD60">
            <v>0</v>
          </cell>
          <cell r="AF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AD63">
            <v>0</v>
          </cell>
          <cell r="AF63">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refreshError="1">
        <row r="1">
          <cell r="I1" t="str">
            <v>Expected Trend in</v>
          </cell>
        </row>
        <row r="5">
          <cell r="B5" t="str">
            <v>MICROSOFT CORPORATION</v>
          </cell>
        </row>
        <row r="9">
          <cell r="B9">
            <v>105.4375</v>
          </cell>
          <cell r="E9">
            <v>0.56044765690804332</v>
          </cell>
          <cell r="F9">
            <v>236822.86</v>
          </cell>
        </row>
        <row r="12">
          <cell r="C12">
            <v>24.926483457708969</v>
          </cell>
          <cell r="H12" t="str">
            <v>Jun</v>
          </cell>
        </row>
        <row r="19">
          <cell r="G19">
            <v>2.5999571428571424</v>
          </cell>
        </row>
        <row r="20">
          <cell r="G20">
            <v>2.2251224074074081</v>
          </cell>
        </row>
        <row r="48">
          <cell r="C48">
            <v>1064.6526224859613</v>
          </cell>
          <cell r="D48">
            <v>1285.3545016708813</v>
          </cell>
          <cell r="E48">
            <v>2093.6521206047355</v>
          </cell>
          <cell r="F48">
            <v>3584.9915151018267</v>
          </cell>
          <cell r="G48">
            <v>4691.3010948295905</v>
          </cell>
          <cell r="H48">
            <v>5909.7107791829258</v>
          </cell>
          <cell r="I48">
            <v>7002.7657929495372</v>
          </cell>
        </row>
      </sheetData>
      <sheetData sheetId="2" refreshError="1">
        <row r="90">
          <cell r="C90">
            <v>15</v>
          </cell>
        </row>
      </sheetData>
      <sheetData sheetId="3" refreshError="1">
        <row r="2">
          <cell r="E2" t="str">
            <v>Explicit Forecasts</v>
          </cell>
        </row>
        <row r="3">
          <cell r="E3" t="str">
            <v>1st Year</v>
          </cell>
          <cell r="F3" t="str">
            <v>2nd Year</v>
          </cell>
          <cell r="G3" t="str">
            <v>3rd Year</v>
          </cell>
        </row>
        <row r="4">
          <cell r="E4">
            <v>17500</v>
          </cell>
          <cell r="F4">
            <v>21612.5</v>
          </cell>
          <cell r="G4">
            <v>26691.437500000004</v>
          </cell>
          <cell r="K4">
            <v>0.11992721428571428</v>
          </cell>
        </row>
        <row r="5">
          <cell r="E5">
            <v>0</v>
          </cell>
          <cell r="F5">
            <v>0</v>
          </cell>
          <cell r="G5">
            <v>0</v>
          </cell>
          <cell r="K5">
            <v>0.04</v>
          </cell>
        </row>
        <row r="6">
          <cell r="E6">
            <v>0</v>
          </cell>
          <cell r="F6">
            <v>0</v>
          </cell>
          <cell r="G6">
            <v>0</v>
          </cell>
          <cell r="H6" t="str">
            <v xml:space="preserve">Capitalize Expense i.e. R&amp;D </v>
          </cell>
          <cell r="K6" t="str">
            <v>Yes</v>
          </cell>
        </row>
        <row r="7">
          <cell r="E7">
            <v>17500</v>
          </cell>
          <cell r="F7">
            <v>21612.5</v>
          </cell>
          <cell r="G7">
            <v>26691.437500000004</v>
          </cell>
          <cell r="K7" t="str">
            <v>No</v>
          </cell>
        </row>
        <row r="8">
          <cell r="E8">
            <v>788.95653134493159</v>
          </cell>
          <cell r="F8">
            <v>1473.8238162109906</v>
          </cell>
          <cell r="G8">
            <v>2417.8274130205755</v>
          </cell>
          <cell r="H8" t="str">
            <v>Current Excess Cash</v>
          </cell>
          <cell r="K8">
            <v>0</v>
          </cell>
        </row>
        <row r="9">
          <cell r="E9">
            <v>16711.043468655069</v>
          </cell>
          <cell r="F9">
            <v>20138.676183789008</v>
          </cell>
          <cell r="G9">
            <v>24273.610086979428</v>
          </cell>
          <cell r="H9" t="str">
            <v>Current Market Value of Unconsol. Subs.</v>
          </cell>
          <cell r="K9">
            <v>0</v>
          </cell>
        </row>
        <row r="10">
          <cell r="E10">
            <v>4645.6434686550683</v>
          </cell>
          <cell r="F10">
            <v>5737.3696837890093</v>
          </cell>
          <cell r="G10">
            <v>7085.6515594794273</v>
          </cell>
          <cell r="H10" t="str">
            <v>Current Total Debt</v>
          </cell>
          <cell r="K10">
            <v>0</v>
          </cell>
        </row>
        <row r="11">
          <cell r="E11">
            <v>2937.9</v>
          </cell>
          <cell r="F11">
            <v>3628.3065000000001</v>
          </cell>
          <cell r="G11">
            <v>4480.9585275000009</v>
          </cell>
          <cell r="H11" t="str">
            <v>Current Shares Outstanding</v>
          </cell>
          <cell r="K11">
            <v>0</v>
          </cell>
        </row>
        <row r="12">
          <cell r="E12">
            <v>0</v>
          </cell>
          <cell r="F12">
            <v>0</v>
          </cell>
          <cell r="G12">
            <v>0</v>
          </cell>
          <cell r="H12" t="str">
            <v>Fraction of Year to FYE</v>
          </cell>
          <cell r="K12">
            <v>1</v>
          </cell>
        </row>
        <row r="13">
          <cell r="E13">
            <v>9127.5000000000018</v>
          </cell>
          <cell r="F13">
            <v>10772.999999999998</v>
          </cell>
          <cell r="G13">
            <v>12706.999999999998</v>
          </cell>
        </row>
        <row r="14">
          <cell r="E14">
            <v>935</v>
          </cell>
          <cell r="F14">
            <v>1000</v>
          </cell>
          <cell r="G14">
            <v>1067</v>
          </cell>
        </row>
        <row r="15">
          <cell r="E15">
            <v>0</v>
          </cell>
          <cell r="F15">
            <v>0</v>
          </cell>
          <cell r="G15">
            <v>0</v>
          </cell>
        </row>
        <row r="16">
          <cell r="E16">
            <v>935</v>
          </cell>
          <cell r="F16">
            <v>1000</v>
          </cell>
          <cell r="G16">
            <v>1067</v>
          </cell>
        </row>
        <row r="17">
          <cell r="E17">
            <v>10062.500000000002</v>
          </cell>
          <cell r="F17">
            <v>11772.999999999998</v>
          </cell>
          <cell r="G17">
            <v>13773.999999999998</v>
          </cell>
        </row>
        <row r="18">
          <cell r="E18">
            <v>935</v>
          </cell>
          <cell r="F18">
            <v>1000</v>
          </cell>
          <cell r="G18">
            <v>1067</v>
          </cell>
        </row>
        <row r="19">
          <cell r="E19">
            <v>9127.5000000000018</v>
          </cell>
          <cell r="F19">
            <v>10772.999999999998</v>
          </cell>
          <cell r="G19">
            <v>12706.999999999998</v>
          </cell>
        </row>
        <row r="20">
          <cell r="E20">
            <v>2937.9</v>
          </cell>
          <cell r="F20">
            <v>3628.3065000000001</v>
          </cell>
          <cell r="G20">
            <v>4480.9585275000009</v>
          </cell>
        </row>
        <row r="21">
          <cell r="E21">
            <v>2051.6666666666665</v>
          </cell>
          <cell r="F21">
            <v>2553.6333333333332</v>
          </cell>
          <cell r="G21">
            <v>3121.4021666666667</v>
          </cell>
        </row>
        <row r="22">
          <cell r="E22">
            <v>0</v>
          </cell>
          <cell r="F22">
            <v>0</v>
          </cell>
          <cell r="G22">
            <v>0</v>
          </cell>
        </row>
        <row r="23">
          <cell r="E23">
            <v>886.23333333333358</v>
          </cell>
          <cell r="F23">
            <v>1074.6731666666669</v>
          </cell>
          <cell r="G23">
            <v>1359.5563608333341</v>
          </cell>
        </row>
        <row r="25">
          <cell r="E25">
            <v>10013.733333333335</v>
          </cell>
          <cell r="F25">
            <v>11847.673166666666</v>
          </cell>
          <cell r="G25">
            <v>14066.556360833332</v>
          </cell>
        </row>
        <row r="26">
          <cell r="B26">
            <v>0</v>
          </cell>
          <cell r="C26">
            <v>0</v>
          </cell>
          <cell r="E26">
            <v>0</v>
          </cell>
          <cell r="F26">
            <v>0</v>
          </cell>
          <cell r="G26">
            <v>0</v>
          </cell>
        </row>
        <row r="27">
          <cell r="E27">
            <v>10013.733333333335</v>
          </cell>
          <cell r="F27">
            <v>11847.673166666666</v>
          </cell>
          <cell r="G27">
            <v>14066.556360833332</v>
          </cell>
        </row>
        <row r="28">
          <cell r="E28">
            <v>3695.0676000000008</v>
          </cell>
          <cell r="F28">
            <v>4371.7913984999996</v>
          </cell>
          <cell r="G28">
            <v>5190.5592971474998</v>
          </cell>
        </row>
        <row r="29">
          <cell r="E29">
            <v>6318.6657333333351</v>
          </cell>
          <cell r="F29">
            <v>7475.881768166666</v>
          </cell>
          <cell r="G29">
            <v>8875.9970636858325</v>
          </cell>
        </row>
        <row r="31">
          <cell r="E31">
            <v>9127.5000000000018</v>
          </cell>
          <cell r="F31">
            <v>10772.999999999998</v>
          </cell>
          <cell r="G31">
            <v>12706.999999999998</v>
          </cell>
        </row>
        <row r="32">
          <cell r="E32">
            <v>0</v>
          </cell>
          <cell r="F32">
            <v>0</v>
          </cell>
          <cell r="G32">
            <v>0</v>
          </cell>
        </row>
        <row r="33">
          <cell r="E33">
            <v>0</v>
          </cell>
          <cell r="F33">
            <v>0</v>
          </cell>
          <cell r="G33">
            <v>0</v>
          </cell>
        </row>
        <row r="34">
          <cell r="E34">
            <v>438</v>
          </cell>
          <cell r="F34">
            <v>520</v>
          </cell>
          <cell r="G34">
            <v>520</v>
          </cell>
        </row>
        <row r="35">
          <cell r="E35">
            <v>0</v>
          </cell>
          <cell r="F35">
            <v>0</v>
          </cell>
          <cell r="G35">
            <v>0</v>
          </cell>
        </row>
        <row r="36">
          <cell r="E36">
            <v>9565.5000000000018</v>
          </cell>
          <cell r="F36">
            <v>11292.999999999998</v>
          </cell>
          <cell r="G36">
            <v>13226.999999999998</v>
          </cell>
        </row>
        <row r="37">
          <cell r="E37">
            <v>28</v>
          </cell>
          <cell r="F37">
            <v>28</v>
          </cell>
          <cell r="G37">
            <v>28</v>
          </cell>
        </row>
        <row r="38">
          <cell r="E38">
            <v>0</v>
          </cell>
          <cell r="F38">
            <v>0</v>
          </cell>
          <cell r="G38">
            <v>0</v>
          </cell>
        </row>
        <row r="39">
          <cell r="E39">
            <v>3529.6695000000004</v>
          </cell>
          <cell r="F39">
            <v>4167.1169999999993</v>
          </cell>
          <cell r="G39">
            <v>4880.762999999999</v>
          </cell>
        </row>
        <row r="40">
          <cell r="E40">
            <v>6007.8305000000018</v>
          </cell>
          <cell r="F40">
            <v>7097.8829999999989</v>
          </cell>
          <cell r="G40">
            <v>8318.2369999999992</v>
          </cell>
        </row>
        <row r="41">
          <cell r="E41">
            <v>2700</v>
          </cell>
          <cell r="F41">
            <v>2730</v>
          </cell>
          <cell r="G41">
            <v>2730</v>
          </cell>
        </row>
        <row r="42">
          <cell r="E42">
            <v>2.2251224074074081</v>
          </cell>
          <cell r="F42">
            <v>2.5999571428571424</v>
          </cell>
          <cell r="G42">
            <v>3.0469732600732597</v>
          </cell>
        </row>
        <row r="43">
          <cell r="E43">
            <v>8511.7000000000007</v>
          </cell>
          <cell r="F43">
            <v>8511.7000000000007</v>
          </cell>
          <cell r="G43">
            <v>8511.7000000000007</v>
          </cell>
        </row>
        <row r="44">
          <cell r="E44">
            <v>0</v>
          </cell>
          <cell r="F44">
            <v>0</v>
          </cell>
          <cell r="G44">
            <v>0</v>
          </cell>
        </row>
        <row r="45">
          <cell r="E45">
            <v>0</v>
          </cell>
          <cell r="F45">
            <v>0</v>
          </cell>
          <cell r="G45">
            <v>0</v>
          </cell>
        </row>
        <row r="46">
          <cell r="E46">
            <v>0</v>
          </cell>
          <cell r="F46">
            <v>0</v>
          </cell>
          <cell r="G46">
            <v>0</v>
          </cell>
        </row>
        <row r="48">
          <cell r="E48" t="str">
            <v>Growth Rates and Margins based on Explicit Forecasts</v>
          </cell>
          <cell r="H48" t="str">
            <v xml:space="preserve">  Forecasted Growth Rates and Margins for DCF</v>
          </cell>
        </row>
        <row r="49">
          <cell r="E49" t="str">
            <v>1st Year</v>
          </cell>
          <cell r="F49" t="str">
            <v>2nd Year</v>
          </cell>
          <cell r="G49" t="str">
            <v>3rd Year</v>
          </cell>
          <cell r="H49" t="str">
            <v>Years           4-5</v>
          </cell>
          <cell r="I49" t="str">
            <v>Years           6-10</v>
          </cell>
          <cell r="J49" t="str">
            <v>Years           11-15</v>
          </cell>
          <cell r="K49" t="str">
            <v>Years           16-25</v>
          </cell>
        </row>
        <row r="50">
          <cell r="E50">
            <v>0.20822977078155205</v>
          </cell>
          <cell r="F50">
            <v>0.23499999999999999</v>
          </cell>
          <cell r="G50">
            <v>0.23500000000000018</v>
          </cell>
          <cell r="H50">
            <v>0.21</v>
          </cell>
          <cell r="I50">
            <v>0.19</v>
          </cell>
          <cell r="J50">
            <v>0.16</v>
          </cell>
          <cell r="K50">
            <v>0.14000000000000001</v>
          </cell>
        </row>
        <row r="51">
          <cell r="E51">
            <v>0</v>
          </cell>
          <cell r="F51">
            <v>0</v>
          </cell>
          <cell r="G51">
            <v>0</v>
          </cell>
          <cell r="H51">
            <v>0</v>
          </cell>
          <cell r="I51">
            <v>0</v>
          </cell>
          <cell r="J51">
            <v>0</v>
          </cell>
          <cell r="K51">
            <v>0</v>
          </cell>
        </row>
        <row r="52">
          <cell r="E52">
            <v>0</v>
          </cell>
          <cell r="F52">
            <v>0</v>
          </cell>
          <cell r="G52">
            <v>0</v>
          </cell>
          <cell r="H52">
            <v>0</v>
          </cell>
          <cell r="I52">
            <v>0</v>
          </cell>
          <cell r="J52">
            <v>0</v>
          </cell>
          <cell r="K52">
            <v>0</v>
          </cell>
        </row>
        <row r="53">
          <cell r="B53">
            <v>0.30988351977857226</v>
          </cell>
          <cell r="E53">
            <v>0.20822977078155205</v>
          </cell>
          <cell r="F53">
            <v>0.23499999999999999</v>
          </cell>
          <cell r="G53">
            <v>0.23500000000000018</v>
          </cell>
          <cell r="H53">
            <v>0.21</v>
          </cell>
          <cell r="I53">
            <v>0.18999999999999986</v>
          </cell>
          <cell r="J53">
            <v>0.15999999999999998</v>
          </cell>
          <cell r="K53">
            <v>0.14000000000000021</v>
          </cell>
        </row>
        <row r="54">
          <cell r="E54">
            <v>0.36106661333333345</v>
          </cell>
          <cell r="F54">
            <v>0.34590546064391747</v>
          </cell>
          <cell r="G54">
            <v>0.33254099048377711</v>
          </cell>
          <cell r="H54">
            <v>0.33300000000000002</v>
          </cell>
          <cell r="I54">
            <v>0.33300000000000002</v>
          </cell>
          <cell r="J54">
            <v>0.33300000000000002</v>
          </cell>
          <cell r="K54">
            <v>0.33300000000000002</v>
          </cell>
        </row>
        <row r="55">
          <cell r="E55">
            <v>-0.36230674486276215</v>
          </cell>
          <cell r="F55">
            <v>0</v>
          </cell>
          <cell r="G55">
            <v>0</v>
          </cell>
          <cell r="H55">
            <v>0</v>
          </cell>
          <cell r="I55">
            <v>0</v>
          </cell>
          <cell r="J55">
            <v>0</v>
          </cell>
          <cell r="K55">
            <v>0</v>
          </cell>
        </row>
        <row r="56">
          <cell r="E56" t="str">
            <v xml:space="preserve">--  </v>
          </cell>
          <cell r="F56" t="str">
            <v xml:space="preserve">--  </v>
          </cell>
          <cell r="G56" t="str">
            <v xml:space="preserve">--  </v>
          </cell>
          <cell r="H56">
            <v>0</v>
          </cell>
          <cell r="I56">
            <v>0</v>
          </cell>
          <cell r="J56">
            <v>0</v>
          </cell>
          <cell r="K56">
            <v>0</v>
          </cell>
        </row>
        <row r="57">
          <cell r="E57">
            <v>0.20822977078155205</v>
          </cell>
          <cell r="F57">
            <v>0.23499999999999999</v>
          </cell>
          <cell r="G57">
            <v>0.23500000000000018</v>
          </cell>
        </row>
        <row r="58">
          <cell r="E58">
            <v>0</v>
          </cell>
          <cell r="F58">
            <v>0</v>
          </cell>
          <cell r="G58">
            <v>0</v>
          </cell>
          <cell r="H58">
            <v>0</v>
          </cell>
          <cell r="I58">
            <v>0</v>
          </cell>
          <cell r="J58">
            <v>0</v>
          </cell>
          <cell r="K58">
            <v>0</v>
          </cell>
        </row>
        <row r="59">
          <cell r="E59">
            <v>9.3117408906882596E-2</v>
          </cell>
          <cell r="F59">
            <v>1.1111111111111112E-2</v>
          </cell>
          <cell r="G59">
            <v>0</v>
          </cell>
          <cell r="H59">
            <v>0</v>
          </cell>
          <cell r="I59">
            <v>0</v>
          </cell>
          <cell r="J59">
            <v>0</v>
          </cell>
          <cell r="K59">
            <v>0</v>
          </cell>
        </row>
        <row r="60">
          <cell r="E60">
            <v>0.20822977078155222</v>
          </cell>
          <cell r="F60">
            <v>0.23499999999999999</v>
          </cell>
          <cell r="G60" t="str">
            <v xml:space="preserve">--   </v>
          </cell>
        </row>
        <row r="61">
          <cell r="E61">
            <v>0.95491676963743255</v>
          </cell>
          <cell r="F61">
            <v>0.93180687952754226</v>
          </cell>
          <cell r="G61">
            <v>0.90941561641179591</v>
          </cell>
        </row>
        <row r="62">
          <cell r="E62">
            <v>0.57500000000000007</v>
          </cell>
          <cell r="F62">
            <v>0.54473105841526881</v>
          </cell>
          <cell r="G62">
            <v>0.51604564197788139</v>
          </cell>
        </row>
        <row r="63">
          <cell r="E63">
            <v>0.52157142857142869</v>
          </cell>
          <cell r="F63">
            <v>0.4984615384615384</v>
          </cell>
          <cell r="G63">
            <v>0.47607027534579194</v>
          </cell>
        </row>
        <row r="64">
          <cell r="E64">
            <v>0.52157142857142869</v>
          </cell>
          <cell r="F64">
            <v>0.4984615384615384</v>
          </cell>
          <cell r="G64">
            <v>0.47607027534579194</v>
          </cell>
        </row>
        <row r="65">
          <cell r="E65">
            <v>0.52157142857142869</v>
          </cell>
          <cell r="F65">
            <v>0.4984615384615384</v>
          </cell>
          <cell r="G65">
            <v>0.47607027534579194</v>
          </cell>
        </row>
        <row r="66">
          <cell r="E66">
            <v>0.34330460000000013</v>
          </cell>
          <cell r="F66">
            <v>0.32841563909774429</v>
          </cell>
          <cell r="G66">
            <v>0.31164439906992636</v>
          </cell>
        </row>
        <row r="67">
          <cell r="E67">
            <v>0.36899999999999999</v>
          </cell>
          <cell r="F67">
            <v>0.36899999999999999</v>
          </cell>
          <cell r="G67">
            <v>0.36899999999999999</v>
          </cell>
        </row>
        <row r="68">
          <cell r="E68">
            <v>0.36899999999999999</v>
          </cell>
          <cell r="F68">
            <v>0.36899999999999999</v>
          </cell>
          <cell r="G68">
            <v>0.36899999999999999</v>
          </cell>
        </row>
        <row r="70">
          <cell r="E70" t="str">
            <v xml:space="preserve">Targets for Total debt/ Total adjusted market capital </v>
          </cell>
          <cell r="H70" t="str">
            <v xml:space="preserve">Targets for Total debt/ Total adjusted market capital </v>
          </cell>
        </row>
        <row r="71">
          <cell r="E71" t="str">
            <v>1st Year</v>
          </cell>
          <cell r="F71" t="str">
            <v>2nd Year</v>
          </cell>
          <cell r="G71" t="str">
            <v>3rd Year</v>
          </cell>
          <cell r="H71" t="str">
            <v>Years           4-5</v>
          </cell>
          <cell r="I71" t="str">
            <v>Years           6-10</v>
          </cell>
          <cell r="J71" t="str">
            <v>Years           11-15</v>
          </cell>
          <cell r="K71" t="str">
            <v>Years           16-25</v>
          </cell>
        </row>
        <row r="72">
          <cell r="E72">
            <v>0.17</v>
          </cell>
          <cell r="F72">
            <v>0.17</v>
          </cell>
          <cell r="G72">
            <v>0.17</v>
          </cell>
          <cell r="H72">
            <v>0.17</v>
          </cell>
          <cell r="I72">
            <v>0.17</v>
          </cell>
          <cell r="J72">
            <v>0.17</v>
          </cell>
          <cell r="K72">
            <v>0.17</v>
          </cell>
        </row>
        <row r="73">
          <cell r="E73" t="e">
            <v>#REF!</v>
          </cell>
          <cell r="F73" t="e">
            <v>#REF!</v>
          </cell>
          <cell r="G73" t="e">
            <v>#REF!</v>
          </cell>
          <cell r="H73" t="e">
            <v>#REF!</v>
          </cell>
          <cell r="I73" t="e">
            <v>#REF!</v>
          </cell>
          <cell r="J73" t="e">
            <v>#REF!</v>
          </cell>
          <cell r="K73" t="e">
            <v>#REF!</v>
          </cell>
        </row>
        <row r="75">
          <cell r="E75" t="str">
            <v>Explicit Forecasts for Capital Turns</v>
          </cell>
          <cell r="H75" t="str">
            <v xml:space="preserve">  Forecasted Capital Turns for DCF</v>
          </cell>
        </row>
        <row r="76">
          <cell r="E76" t="str">
            <v>1st Year</v>
          </cell>
          <cell r="F76" t="str">
            <v>2nd Year</v>
          </cell>
          <cell r="G76" t="str">
            <v>3rd Year</v>
          </cell>
          <cell r="H76" t="str">
            <v>Years           4-5</v>
          </cell>
          <cell r="I76" t="str">
            <v>Years           6-10</v>
          </cell>
          <cell r="J76" t="str">
            <v>Years           11-15</v>
          </cell>
          <cell r="K76" t="str">
            <v>Years           16-25</v>
          </cell>
        </row>
        <row r="77">
          <cell r="E77">
            <v>-5</v>
          </cell>
          <cell r="F77">
            <v>-5.5</v>
          </cell>
          <cell r="G77">
            <v>-6</v>
          </cell>
          <cell r="H77">
            <v>-7</v>
          </cell>
          <cell r="I77">
            <v>-7.5</v>
          </cell>
          <cell r="J77">
            <v>-8</v>
          </cell>
          <cell r="K77">
            <v>-8.5</v>
          </cell>
        </row>
        <row r="78">
          <cell r="B78">
            <v>2.3494449424257056</v>
          </cell>
          <cell r="C78">
            <v>2.2904433082072644</v>
          </cell>
          <cell r="E78">
            <v>2.4356209968844746</v>
          </cell>
          <cell r="F78">
            <v>2.6568701324652775</v>
          </cell>
          <cell r="G78">
            <v>2.909592807483385</v>
          </cell>
          <cell r="H78">
            <v>3.1</v>
          </cell>
          <cell r="I78">
            <v>3.2</v>
          </cell>
          <cell r="J78">
            <v>3.3</v>
          </cell>
          <cell r="K78">
            <v>3.45</v>
          </cell>
        </row>
        <row r="79">
          <cell r="B79" t="str">
            <v xml:space="preserve"> --</v>
          </cell>
          <cell r="C79" t="str">
            <v xml:space="preserve"> --</v>
          </cell>
          <cell r="E79">
            <v>0</v>
          </cell>
          <cell r="F79">
            <v>0</v>
          </cell>
          <cell r="G79">
            <v>0</v>
          </cell>
          <cell r="H79">
            <v>0</v>
          </cell>
          <cell r="I79">
            <v>0</v>
          </cell>
          <cell r="J79">
            <v>0</v>
          </cell>
          <cell r="K79">
            <v>0</v>
          </cell>
        </row>
        <row r="80">
          <cell r="E80">
            <v>4.7489489539677647</v>
          </cell>
          <cell r="F80">
            <v>5.1396828176652267</v>
          </cell>
          <cell r="G80">
            <v>5.6489503671793093</v>
          </cell>
          <cell r="H80">
            <v>5.5641025641025639</v>
          </cell>
          <cell r="I80">
            <v>5.5813953488372086</v>
          </cell>
          <cell r="J80">
            <v>5.6170212765957448</v>
          </cell>
          <cell r="K80">
            <v>5.8069306930693072</v>
          </cell>
        </row>
        <row r="82">
          <cell r="E82">
            <v>3685.0259224999008</v>
          </cell>
          <cell r="F82">
            <v>4205.0260233408299</v>
          </cell>
          <cell r="G82">
            <v>4725.0260252025973</v>
          </cell>
          <cell r="H82">
            <v>7023.4028207661295</v>
          </cell>
          <cell r="I82">
            <v>16708.394675030577</v>
          </cell>
          <cell r="J82">
            <v>34870.758060817549</v>
          </cell>
          <cell r="K82">
            <v>125045.86303970061</v>
          </cell>
        </row>
        <row r="83">
          <cell r="E83">
            <v>3410.0262945832828</v>
          </cell>
          <cell r="F83">
            <v>3945.0259729203653</v>
          </cell>
          <cell r="G83">
            <v>4465.026024271714</v>
          </cell>
          <cell r="H83">
            <v>6413.9339809475814</v>
          </cell>
          <cell r="I83">
            <v>15374.531234586959</v>
          </cell>
          <cell r="J83">
            <v>32465.878194554272</v>
          </cell>
          <cell r="K83">
            <v>117367.60829164879</v>
          </cell>
        </row>
        <row r="84">
          <cell r="E84">
            <v>549.99925583323602</v>
          </cell>
          <cell r="F84">
            <v>520.00010084092901</v>
          </cell>
          <cell r="G84">
            <v>520.00000186176749</v>
          </cell>
          <cell r="H84">
            <v>1149.1883977817661</v>
          </cell>
          <cell r="I84">
            <v>1936.9983708528896</v>
          </cell>
          <cell r="J84">
            <v>3632.4726771573942</v>
          </cell>
          <cell r="K84">
            <v>9017.5104978883064</v>
          </cell>
        </row>
        <row r="85">
          <cell r="E85">
            <v>0.17543686683151116</v>
          </cell>
          <cell r="F85">
            <v>0.14111165342580925</v>
          </cell>
          <cell r="G85">
            <v>0.12366154192040774</v>
          </cell>
          <cell r="H85">
            <v>0.21919082682578339</v>
          </cell>
          <cell r="I85">
            <v>0.18926169127174419</v>
          </cell>
          <cell r="J85">
            <v>0.15852479386878593</v>
          </cell>
          <cell r="K85">
            <v>0.13621572089454159</v>
          </cell>
        </row>
      </sheetData>
      <sheetData sheetId="4" refreshError="1"/>
      <sheetData sheetId="5" refreshError="1">
        <row r="2">
          <cell r="Q2" t="str">
            <v>Numbers in millions</v>
          </cell>
        </row>
        <row r="44">
          <cell r="H44" t="e">
            <v>#DIV/0!</v>
          </cell>
          <cell r="Q44">
            <v>0.12051815905168733</v>
          </cell>
          <cell r="R44">
            <v>0.12079368108815906</v>
          </cell>
          <cell r="S44">
            <v>0.11992721428571428</v>
          </cell>
        </row>
        <row r="47">
          <cell r="D47">
            <v>0.111</v>
          </cell>
          <cell r="E47">
            <v>0.1244</v>
          </cell>
          <cell r="F47">
            <v>0.10539999999999999</v>
          </cell>
          <cell r="G47">
            <v>7.5899999999999995E-2</v>
          </cell>
          <cell r="H47">
            <v>8.3699999999999997E-2</v>
          </cell>
          <cell r="I47">
            <v>8.8800000000000004E-2</v>
          </cell>
          <cell r="J47">
            <v>8.5000000000000006E-2</v>
          </cell>
          <cell r="K47">
            <v>8.5500000000000007E-2</v>
          </cell>
          <cell r="L47">
            <v>7.8100000000000003E-2</v>
          </cell>
          <cell r="M47">
            <v>7.0400000000000004E-2</v>
          </cell>
          <cell r="N47">
            <v>5.91E-2</v>
          </cell>
          <cell r="O47">
            <v>7.0800000000000002E-2</v>
          </cell>
          <cell r="P47">
            <v>6.4699999999999994E-2</v>
          </cell>
          <cell r="Q47">
            <v>6.6400000000000001E-2</v>
          </cell>
          <cell r="R47">
            <v>6.6400000000000001E-2</v>
          </cell>
          <cell r="S47">
            <v>5.2999999999999999E-2</v>
          </cell>
        </row>
        <row r="49">
          <cell r="D49">
            <v>4.8999999999999998E-3</v>
          </cell>
          <cell r="E49">
            <v>4.8999999999999998E-3</v>
          </cell>
          <cell r="F49">
            <v>4.8999999999999998E-3</v>
          </cell>
          <cell r="G49">
            <v>4.8999999999999998E-3</v>
          </cell>
          <cell r="H49">
            <v>4.8999999999999998E-3</v>
          </cell>
          <cell r="I49">
            <v>4.8999999999999998E-3</v>
          </cell>
          <cell r="J49">
            <v>4.8999999999999998E-3</v>
          </cell>
          <cell r="K49">
            <v>0</v>
          </cell>
          <cell r="L49">
            <v>0</v>
          </cell>
          <cell r="M49">
            <v>0</v>
          </cell>
          <cell r="N49">
            <v>0</v>
          </cell>
          <cell r="O49">
            <v>0</v>
          </cell>
          <cell r="P49">
            <v>0</v>
          </cell>
          <cell r="Q49">
            <v>0</v>
          </cell>
          <cell r="R49">
            <v>0</v>
          </cell>
          <cell r="S49">
            <v>1.04E-2</v>
          </cell>
        </row>
        <row r="62">
          <cell r="S62">
            <v>0</v>
          </cell>
        </row>
      </sheetData>
      <sheetData sheetId="6" refreshError="1">
        <row r="7">
          <cell r="U7" t="e">
            <v>#DIV/0!</v>
          </cell>
        </row>
        <row r="9">
          <cell r="D9">
            <v>5.9000000000000004E-2</v>
          </cell>
        </row>
        <row r="10">
          <cell r="U10" t="e">
            <v>#DIV/0!</v>
          </cell>
        </row>
        <row r="11">
          <cell r="D11">
            <v>0.12084999999999999</v>
          </cell>
          <cell r="U11" t="e">
            <v>#DIV/0!</v>
          </cell>
        </row>
        <row r="12">
          <cell r="U12" t="e">
            <v>#DIV/0!</v>
          </cell>
        </row>
        <row r="23">
          <cell r="U23">
            <v>0.12114</v>
          </cell>
        </row>
      </sheetData>
      <sheetData sheetId="7" refreshError="1">
        <row r="1">
          <cell r="P1" t="str">
            <v>Invested Capital</v>
          </cell>
        </row>
        <row r="2">
          <cell r="F2" t="str">
            <v>P-11</v>
          </cell>
          <cell r="G2" t="str">
            <v>P-10</v>
          </cell>
          <cell r="M2" t="str">
            <v>P-4</v>
          </cell>
          <cell r="N2" t="str">
            <v>P-3</v>
          </cell>
          <cell r="O2" t="str">
            <v>P-2</v>
          </cell>
          <cell r="P2" t="str">
            <v>P-1</v>
          </cell>
          <cell r="Q2" t="str">
            <v>Present (P)</v>
          </cell>
        </row>
        <row r="3">
          <cell r="F3">
            <v>1987</v>
          </cell>
          <cell r="G3">
            <v>1988</v>
          </cell>
          <cell r="M3">
            <v>1994</v>
          </cell>
          <cell r="N3">
            <v>1995</v>
          </cell>
          <cell r="O3">
            <v>1996</v>
          </cell>
          <cell r="P3">
            <v>1997</v>
          </cell>
          <cell r="Q3">
            <v>1998</v>
          </cell>
        </row>
        <row r="4">
          <cell r="C4">
            <v>0</v>
          </cell>
          <cell r="D4">
            <v>0</v>
          </cell>
          <cell r="E4">
            <v>0</v>
          </cell>
          <cell r="F4">
            <v>0</v>
          </cell>
          <cell r="G4">
            <v>0</v>
          </cell>
          <cell r="H4">
            <v>0</v>
          </cell>
          <cell r="I4">
            <v>0</v>
          </cell>
          <cell r="J4">
            <v>686.31399999999996</v>
          </cell>
          <cell r="K4">
            <v>1344.9010000000001</v>
          </cell>
          <cell r="L4">
            <v>2290</v>
          </cell>
          <cell r="M4">
            <v>3614</v>
          </cell>
          <cell r="N4">
            <v>4750</v>
          </cell>
          <cell r="O4">
            <v>6940</v>
          </cell>
          <cell r="P4">
            <v>8966</v>
          </cell>
          <cell r="Q4">
            <v>13927</v>
          </cell>
        </row>
        <row r="5">
          <cell r="C5">
            <v>0</v>
          </cell>
          <cell r="D5">
            <v>0</v>
          </cell>
          <cell r="E5">
            <v>0</v>
          </cell>
          <cell r="F5">
            <v>0</v>
          </cell>
          <cell r="G5">
            <v>0</v>
          </cell>
          <cell r="H5">
            <v>0</v>
          </cell>
          <cell r="I5">
            <v>0</v>
          </cell>
          <cell r="J5">
            <v>612.57672000000002</v>
          </cell>
          <cell r="K5">
            <v>1234.5520000000001</v>
          </cell>
          <cell r="L5">
            <v>2139.88</v>
          </cell>
          <cell r="M5">
            <v>3428.04</v>
          </cell>
          <cell r="N5">
            <v>4512.5200000000004</v>
          </cell>
          <cell r="O5">
            <v>6593.16</v>
          </cell>
          <cell r="P5">
            <v>8511.68</v>
          </cell>
          <cell r="Q5">
            <v>13347.64</v>
          </cell>
        </row>
        <row r="6">
          <cell r="C6">
            <v>0</v>
          </cell>
          <cell r="D6">
            <v>0</v>
          </cell>
          <cell r="E6">
            <v>0</v>
          </cell>
          <cell r="F6">
            <v>0</v>
          </cell>
          <cell r="G6">
            <v>0</v>
          </cell>
          <cell r="H6">
            <v>0</v>
          </cell>
          <cell r="I6">
            <v>0</v>
          </cell>
          <cell r="J6">
            <v>73.737279999999998</v>
          </cell>
          <cell r="K6">
            <v>110.349</v>
          </cell>
          <cell r="L6">
            <v>150.12</v>
          </cell>
          <cell r="M6">
            <v>185.96</v>
          </cell>
          <cell r="N6">
            <v>237.48000000000002</v>
          </cell>
          <cell r="O6">
            <v>346.84000000000003</v>
          </cell>
          <cell r="P6">
            <v>454.32</v>
          </cell>
          <cell r="Q6">
            <v>579.36</v>
          </cell>
        </row>
        <row r="7">
          <cell r="C7">
            <v>0</v>
          </cell>
          <cell r="D7">
            <v>0</v>
          </cell>
          <cell r="E7">
            <v>0</v>
          </cell>
          <cell r="F7">
            <v>0</v>
          </cell>
          <cell r="G7">
            <v>0</v>
          </cell>
          <cell r="H7">
            <v>0</v>
          </cell>
          <cell r="I7">
            <v>0</v>
          </cell>
          <cell r="J7">
            <v>243.304</v>
          </cell>
          <cell r="K7">
            <v>270.21499999999997</v>
          </cell>
          <cell r="L7">
            <v>338</v>
          </cell>
          <cell r="M7">
            <v>475</v>
          </cell>
          <cell r="N7">
            <v>581</v>
          </cell>
          <cell r="O7">
            <v>639</v>
          </cell>
          <cell r="P7">
            <v>980</v>
          </cell>
          <cell r="Q7">
            <v>1460</v>
          </cell>
        </row>
        <row r="8">
          <cell r="F8">
            <v>0</v>
          </cell>
          <cell r="G8">
            <v>0</v>
          </cell>
          <cell r="M8">
            <v>102</v>
          </cell>
          <cell r="N8">
            <v>88</v>
          </cell>
          <cell r="O8">
            <v>0</v>
          </cell>
          <cell r="P8">
            <v>0</v>
          </cell>
          <cell r="Q8">
            <v>0</v>
          </cell>
        </row>
        <row r="9">
          <cell r="A9">
            <v>0.04</v>
          </cell>
          <cell r="F9">
            <v>0</v>
          </cell>
          <cell r="G9">
            <v>0</v>
          </cell>
          <cell r="M9">
            <v>0</v>
          </cell>
          <cell r="N9">
            <v>0</v>
          </cell>
          <cell r="O9">
            <v>0</v>
          </cell>
          <cell r="P9">
            <v>0</v>
          </cell>
          <cell r="Q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F11">
            <v>0</v>
          </cell>
          <cell r="G11">
            <v>0</v>
          </cell>
          <cell r="M11">
            <v>0</v>
          </cell>
          <cell r="N11">
            <v>0</v>
          </cell>
          <cell r="O11">
            <v>0</v>
          </cell>
          <cell r="P11">
            <v>0</v>
          </cell>
          <cell r="Q11">
            <v>0</v>
          </cell>
        </row>
        <row r="12">
          <cell r="F12">
            <v>0</v>
          </cell>
          <cell r="G12">
            <v>0</v>
          </cell>
          <cell r="M12">
            <v>121</v>
          </cell>
          <cell r="N12">
            <v>201</v>
          </cell>
          <cell r="O12">
            <v>260</v>
          </cell>
          <cell r="P12">
            <v>427</v>
          </cell>
          <cell r="Q12">
            <v>502</v>
          </cell>
        </row>
        <row r="13">
          <cell r="F13">
            <v>0</v>
          </cell>
          <cell r="G13">
            <v>0</v>
          </cell>
          <cell r="M13">
            <v>0</v>
          </cell>
          <cell r="N13">
            <v>0</v>
          </cell>
          <cell r="O13">
            <v>0</v>
          </cell>
          <cell r="P13">
            <v>0</v>
          </cell>
          <cell r="Q13">
            <v>0</v>
          </cell>
          <cell r="R13">
            <v>0</v>
          </cell>
          <cell r="S13">
            <v>0</v>
          </cell>
          <cell r="T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F15">
            <v>0</v>
          </cell>
          <cell r="G15">
            <v>0</v>
          </cell>
          <cell r="M15">
            <v>883.96</v>
          </cell>
          <cell r="N15">
            <v>1107.48</v>
          </cell>
          <cell r="O15">
            <v>1245.8400000000001</v>
          </cell>
          <cell r="P15">
            <v>1861.32</v>
          </cell>
          <cell r="Q15">
            <v>2541.36</v>
          </cell>
        </row>
        <row r="17">
          <cell r="F17">
            <v>0</v>
          </cell>
          <cell r="G17">
            <v>0</v>
          </cell>
          <cell r="M17">
            <v>324</v>
          </cell>
          <cell r="N17">
            <v>563</v>
          </cell>
          <cell r="O17">
            <v>808</v>
          </cell>
          <cell r="P17">
            <v>721</v>
          </cell>
          <cell r="Q17">
            <v>759</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F19">
            <v>0</v>
          </cell>
          <cell r="G19">
            <v>0</v>
          </cell>
          <cell r="M19">
            <v>0</v>
          </cell>
          <cell r="N19">
            <v>0</v>
          </cell>
          <cell r="O19">
            <v>0</v>
          </cell>
          <cell r="P19">
            <v>0</v>
          </cell>
          <cell r="Q19">
            <v>0</v>
          </cell>
        </row>
        <row r="20">
          <cell r="F20">
            <v>0</v>
          </cell>
          <cell r="G20">
            <v>0</v>
          </cell>
          <cell r="M20">
            <v>96</v>
          </cell>
          <cell r="N20">
            <v>130</v>
          </cell>
          <cell r="O20">
            <v>202</v>
          </cell>
          <cell r="P20">
            <v>336</v>
          </cell>
          <cell r="Q20">
            <v>359</v>
          </cell>
        </row>
        <row r="21">
          <cell r="C21">
            <v>0</v>
          </cell>
          <cell r="D21">
            <v>0</v>
          </cell>
          <cell r="E21">
            <v>0</v>
          </cell>
          <cell r="F21">
            <v>0</v>
          </cell>
          <cell r="G21">
            <v>0</v>
          </cell>
          <cell r="H21">
            <v>0</v>
          </cell>
          <cell r="I21">
            <v>0</v>
          </cell>
          <cell r="J21">
            <v>44.445</v>
          </cell>
          <cell r="K21">
            <v>73.033000000000001</v>
          </cell>
          <cell r="L21">
            <v>127</v>
          </cell>
          <cell r="M21">
            <v>305</v>
          </cell>
          <cell r="N21">
            <v>410</v>
          </cell>
          <cell r="O21">
            <v>484</v>
          </cell>
          <cell r="P21">
            <v>466</v>
          </cell>
          <cell r="Q21">
            <v>915</v>
          </cell>
        </row>
        <row r="22">
          <cell r="C22">
            <v>0</v>
          </cell>
          <cell r="D22">
            <v>0</v>
          </cell>
          <cell r="E22">
            <v>0</v>
          </cell>
          <cell r="F22">
            <v>0</v>
          </cell>
          <cell r="G22">
            <v>0</v>
          </cell>
          <cell r="H22">
            <v>0</v>
          </cell>
          <cell r="I22">
            <v>0</v>
          </cell>
          <cell r="J22">
            <v>76.206000000000003</v>
          </cell>
          <cell r="K22">
            <v>101.76900000000001</v>
          </cell>
          <cell r="L22">
            <v>111</v>
          </cell>
          <cell r="M22">
            <v>188</v>
          </cell>
          <cell r="N22">
            <v>244</v>
          </cell>
          <cell r="O22">
            <v>371</v>
          </cell>
          <cell r="P22">
            <v>669</v>
          </cell>
          <cell r="Q22">
            <v>809</v>
          </cell>
        </row>
        <row r="23">
          <cell r="C23">
            <v>0</v>
          </cell>
          <cell r="D23">
            <v>0</v>
          </cell>
          <cell r="E23">
            <v>0</v>
          </cell>
          <cell r="F23">
            <v>0</v>
          </cell>
          <cell r="G23">
            <v>0</v>
          </cell>
          <cell r="H23">
            <v>0</v>
          </cell>
          <cell r="I23">
            <v>0</v>
          </cell>
          <cell r="J23">
            <v>0</v>
          </cell>
          <cell r="K23">
            <v>0</v>
          </cell>
          <cell r="L23">
            <v>0</v>
          </cell>
          <cell r="M23">
            <v>0</v>
          </cell>
          <cell r="N23">
            <v>0</v>
          </cell>
          <cell r="O23">
            <v>560</v>
          </cell>
          <cell r="P23">
            <v>1418</v>
          </cell>
          <cell r="Q23">
            <v>2888</v>
          </cell>
        </row>
        <row r="24">
          <cell r="C24">
            <v>0</v>
          </cell>
          <cell r="D24">
            <v>0</v>
          </cell>
          <cell r="E24">
            <v>0</v>
          </cell>
          <cell r="F24">
            <v>0</v>
          </cell>
          <cell r="G24">
            <v>0</v>
          </cell>
          <cell r="H24">
            <v>0</v>
          </cell>
          <cell r="I24">
            <v>0</v>
          </cell>
          <cell r="J24">
            <v>273.89699999999999</v>
          </cell>
          <cell r="K24">
            <v>438.62100000000004</v>
          </cell>
          <cell r="L24">
            <v>563</v>
          </cell>
          <cell r="M24">
            <v>913</v>
          </cell>
          <cell r="N24">
            <v>1347</v>
          </cell>
          <cell r="O24">
            <v>2425</v>
          </cell>
          <cell r="P24">
            <v>3610</v>
          </cell>
          <cell r="Q24">
            <v>5730</v>
          </cell>
        </row>
        <row r="26">
          <cell r="C26">
            <v>0</v>
          </cell>
          <cell r="D26">
            <v>0</v>
          </cell>
          <cell r="E26">
            <v>0</v>
          </cell>
          <cell r="F26">
            <v>0</v>
          </cell>
          <cell r="G26">
            <v>0</v>
          </cell>
          <cell r="H26">
            <v>0</v>
          </cell>
          <cell r="I26">
            <v>0</v>
          </cell>
          <cell r="J26">
            <v>142.02928000000003</v>
          </cell>
          <cell r="K26">
            <v>96.530999999999892</v>
          </cell>
          <cell r="L26">
            <v>147.12</v>
          </cell>
          <cell r="M26">
            <v>-29.039999999999964</v>
          </cell>
          <cell r="N26">
            <v>-239.51999999999998</v>
          </cell>
          <cell r="O26">
            <v>-1179.1599999999999</v>
          </cell>
          <cell r="P26">
            <v>-1748.68</v>
          </cell>
          <cell r="Q26">
            <v>-3188.64</v>
          </cell>
        </row>
        <row r="28">
          <cell r="C28">
            <v>0</v>
          </cell>
          <cell r="D28">
            <v>0</v>
          </cell>
          <cell r="E28">
            <v>0</v>
          </cell>
          <cell r="F28">
            <v>0</v>
          </cell>
          <cell r="G28">
            <v>0</v>
          </cell>
          <cell r="H28">
            <v>0</v>
          </cell>
          <cell r="I28">
            <v>0</v>
          </cell>
          <cell r="J28">
            <v>235.386</v>
          </cell>
          <cell r="K28">
            <v>352.15300000000002</v>
          </cell>
          <cell r="L28">
            <v>470</v>
          </cell>
          <cell r="M28">
            <v>610</v>
          </cell>
          <cell r="N28">
            <v>860</v>
          </cell>
          <cell r="O28">
            <v>1432</v>
          </cell>
          <cell r="P28">
            <v>1925</v>
          </cell>
          <cell r="Q28">
            <v>2798</v>
          </cell>
          <cell r="R28">
            <v>2937.9</v>
          </cell>
          <cell r="S28">
            <v>3628.3065000000001</v>
          </cell>
          <cell r="T28">
            <v>4480.9585275000009</v>
          </cell>
        </row>
        <row r="29">
          <cell r="C29">
            <v>0</v>
          </cell>
          <cell r="D29">
            <v>0</v>
          </cell>
          <cell r="E29">
            <v>0</v>
          </cell>
          <cell r="F29">
            <v>0</v>
          </cell>
          <cell r="G29">
            <v>0</v>
          </cell>
          <cell r="H29">
            <v>0</v>
          </cell>
          <cell r="I29">
            <v>0</v>
          </cell>
          <cell r="J29">
            <v>0</v>
          </cell>
          <cell r="K29">
            <v>78.462000000000003</v>
          </cell>
          <cell r="L29">
            <v>117.38433333333334</v>
          </cell>
          <cell r="M29">
            <v>156.66666666666666</v>
          </cell>
          <cell r="N29">
            <v>203.33333333333334</v>
          </cell>
          <cell r="O29">
            <v>286.66666666666669</v>
          </cell>
          <cell r="P29">
            <v>477.33333333333331</v>
          </cell>
          <cell r="Q29">
            <v>641.66666666666663</v>
          </cell>
          <cell r="R29">
            <v>932.66666666666663</v>
          </cell>
          <cell r="S29">
            <v>979.30000000000007</v>
          </cell>
          <cell r="T29">
            <v>1209.4355</v>
          </cell>
        </row>
        <row r="30">
          <cell r="F30">
            <v>0</v>
          </cell>
          <cell r="G30">
            <v>0</v>
          </cell>
          <cell r="M30">
            <v>1393.2306666666666</v>
          </cell>
          <cell r="N30">
            <v>1900.7176666666667</v>
          </cell>
          <cell r="O30">
            <v>2855.333333333333</v>
          </cell>
          <cell r="P30">
            <v>4133.6666666666661</v>
          </cell>
          <cell r="Q30">
            <v>5964.3333333333321</v>
          </cell>
          <cell r="R30">
            <v>7496.5666666666657</v>
          </cell>
          <cell r="S30">
            <v>9073.2065000000002</v>
          </cell>
          <cell r="T30">
            <v>11000.531694166668</v>
          </cell>
        </row>
        <row r="31">
          <cell r="C31">
            <v>0</v>
          </cell>
          <cell r="D31">
            <v>0</v>
          </cell>
          <cell r="E31">
            <v>0</v>
          </cell>
          <cell r="F31">
            <v>0</v>
          </cell>
          <cell r="G31">
            <v>0</v>
          </cell>
          <cell r="H31">
            <v>0</v>
          </cell>
          <cell r="I31">
            <v>0</v>
          </cell>
          <cell r="J31">
            <v>0</v>
          </cell>
          <cell r="K31">
            <v>78.462000000000003</v>
          </cell>
          <cell r="L31">
            <v>195.84633333333335</v>
          </cell>
          <cell r="M31">
            <v>352.51299999999998</v>
          </cell>
          <cell r="N31">
            <v>477.38433333333336</v>
          </cell>
          <cell r="O31">
            <v>646.66666666666663</v>
          </cell>
          <cell r="P31">
            <v>967.33333333333337</v>
          </cell>
          <cell r="Q31">
            <v>1405.6666666666667</v>
          </cell>
          <cell r="R31">
            <v>2051.6666666666665</v>
          </cell>
          <cell r="S31">
            <v>2553.6333333333332</v>
          </cell>
          <cell r="T31">
            <v>3121.4021666666667</v>
          </cell>
        </row>
        <row r="32">
          <cell r="C32">
            <v>0</v>
          </cell>
          <cell r="D32">
            <v>0</v>
          </cell>
          <cell r="E32">
            <v>0</v>
          </cell>
          <cell r="F32">
            <v>0</v>
          </cell>
          <cell r="G32">
            <v>0</v>
          </cell>
          <cell r="H32">
            <v>0</v>
          </cell>
          <cell r="I32">
            <v>0</v>
          </cell>
          <cell r="J32">
            <v>235.386</v>
          </cell>
          <cell r="K32">
            <v>509.077</v>
          </cell>
          <cell r="L32">
            <v>783.23066666666659</v>
          </cell>
          <cell r="M32">
            <v>1040.7176666666667</v>
          </cell>
          <cell r="N32">
            <v>1423.3333333333333</v>
          </cell>
          <cell r="O32">
            <v>2208.6666666666665</v>
          </cell>
          <cell r="P32">
            <v>3166.3333333333326</v>
          </cell>
          <cell r="Q32">
            <v>4558.6666666666652</v>
          </cell>
          <cell r="R32">
            <v>5444.9</v>
          </cell>
          <cell r="S32">
            <v>6519.573166666667</v>
          </cell>
          <cell r="T32">
            <v>7879.1295275000011</v>
          </cell>
        </row>
        <row r="33">
          <cell r="C33">
            <v>0</v>
          </cell>
          <cell r="D33">
            <v>0</v>
          </cell>
          <cell r="E33">
            <v>0</v>
          </cell>
          <cell r="F33">
            <v>0</v>
          </cell>
          <cell r="G33">
            <v>0</v>
          </cell>
          <cell r="H33">
            <v>0</v>
          </cell>
          <cell r="I33">
            <v>0</v>
          </cell>
          <cell r="J33">
            <v>530.19100000000003</v>
          </cell>
          <cell r="K33">
            <v>766.63</v>
          </cell>
          <cell r="L33">
            <v>867</v>
          </cell>
          <cell r="M33">
            <v>930</v>
          </cell>
          <cell r="N33">
            <v>1192</v>
          </cell>
          <cell r="O33">
            <v>1326</v>
          </cell>
          <cell r="P33">
            <v>1465</v>
          </cell>
          <cell r="Q33">
            <v>1505</v>
          </cell>
        </row>
        <row r="34">
          <cell r="A34">
            <v>3</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F35">
            <v>0</v>
          </cell>
          <cell r="G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D41">
            <v>0</v>
          </cell>
          <cell r="E41">
            <v>0</v>
          </cell>
          <cell r="F41">
            <v>0</v>
          </cell>
          <cell r="G41">
            <v>0</v>
          </cell>
          <cell r="H41">
            <v>0</v>
          </cell>
          <cell r="I41">
            <v>0</v>
          </cell>
          <cell r="J41">
            <v>85.49</v>
          </cell>
          <cell r="K41">
            <v>103.569</v>
          </cell>
          <cell r="L41">
            <v>88</v>
          </cell>
          <cell r="M41">
            <v>121</v>
          </cell>
          <cell r="N41">
            <v>398</v>
          </cell>
          <cell r="O41">
            <v>928</v>
          </cell>
          <cell r="P41">
            <v>203</v>
          </cell>
          <cell r="Q41">
            <v>260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t="e">
            <v>#VALUE!</v>
          </cell>
          <cell r="D43">
            <v>0</v>
          </cell>
          <cell r="E43">
            <v>0</v>
          </cell>
          <cell r="F43">
            <v>0</v>
          </cell>
          <cell r="G43">
            <v>0</v>
          </cell>
          <cell r="H43">
            <v>0</v>
          </cell>
          <cell r="I43">
            <v>0</v>
          </cell>
          <cell r="J43">
            <v>851.06700000000001</v>
          </cell>
          <cell r="K43">
            <v>1379.2759999999998</v>
          </cell>
          <cell r="L43">
            <v>1738.2306666666666</v>
          </cell>
          <cell r="M43">
            <v>2091.7176666666664</v>
          </cell>
          <cell r="N43">
            <v>3013.333333333333</v>
          </cell>
          <cell r="O43">
            <v>4462.6666666666661</v>
          </cell>
          <cell r="P43">
            <v>4834.3333333333321</v>
          </cell>
          <cell r="Q43">
            <v>6323.6666666666652</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F46">
            <v>0</v>
          </cell>
          <cell r="G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50">
          <cell r="F50">
            <v>0</v>
          </cell>
          <cell r="G50">
            <v>0</v>
          </cell>
          <cell r="M50">
            <v>2062.6776666666665</v>
          </cell>
          <cell r="N50">
            <v>2773.813333333333</v>
          </cell>
          <cell r="O50">
            <v>3283.5066666666662</v>
          </cell>
          <cell r="P50">
            <v>3085.6533333333318</v>
          </cell>
          <cell r="Q50">
            <v>3135.0266666666653</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19.456</v>
          </cell>
          <cell r="K54">
            <v>8.3239999999999998</v>
          </cell>
          <cell r="L54">
            <v>0</v>
          </cell>
          <cell r="M54">
            <v>0</v>
          </cell>
          <cell r="N54">
            <v>0</v>
          </cell>
          <cell r="O54">
            <v>0</v>
          </cell>
          <cell r="P54">
            <v>0</v>
          </cell>
          <cell r="Q54">
            <v>0</v>
          </cell>
        </row>
        <row r="55">
          <cell r="F55">
            <v>0</v>
          </cell>
          <cell r="G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F59">
            <v>0</v>
          </cell>
          <cell r="G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19.456</v>
          </cell>
          <cell r="K61">
            <v>8.3239999999999998</v>
          </cell>
          <cell r="L61">
            <v>0</v>
          </cell>
          <cell r="M61">
            <v>0</v>
          </cell>
          <cell r="N61">
            <v>0</v>
          </cell>
          <cell r="O61">
            <v>0</v>
          </cell>
          <cell r="P61">
            <v>0</v>
          </cell>
          <cell r="Q61">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F64">
            <v>0</v>
          </cell>
          <cell r="G64">
            <v>0</v>
          </cell>
          <cell r="M64">
            <v>0</v>
          </cell>
          <cell r="N64">
            <v>0</v>
          </cell>
          <cell r="O64">
            <v>0</v>
          </cell>
          <cell r="P64">
            <v>0</v>
          </cell>
          <cell r="Q64">
            <v>0</v>
          </cell>
        </row>
        <row r="65">
          <cell r="F65">
            <v>0</v>
          </cell>
          <cell r="G65">
            <v>0</v>
          </cell>
          <cell r="M65">
            <v>0</v>
          </cell>
          <cell r="N65">
            <v>0</v>
          </cell>
          <cell r="O65">
            <v>0</v>
          </cell>
          <cell r="P65">
            <v>0</v>
          </cell>
          <cell r="Q65">
            <v>0</v>
          </cell>
        </row>
        <row r="66">
          <cell r="F66">
            <v>0</v>
          </cell>
          <cell r="G66">
            <v>0</v>
          </cell>
          <cell r="M66">
            <v>0</v>
          </cell>
          <cell r="N66">
            <v>0</v>
          </cell>
          <cell r="O66">
            <v>0</v>
          </cell>
          <cell r="P66">
            <v>0</v>
          </cell>
          <cell r="Q66">
            <v>0</v>
          </cell>
        </row>
        <row r="67">
          <cell r="F67">
            <v>0</v>
          </cell>
          <cell r="G67">
            <v>0</v>
          </cell>
          <cell r="M67">
            <v>1040.7176666666667</v>
          </cell>
          <cell r="N67">
            <v>1423.3333333333333</v>
          </cell>
          <cell r="O67">
            <v>2208.6666666666665</v>
          </cell>
          <cell r="P67">
            <v>3166.3333333333326</v>
          </cell>
          <cell r="Q67">
            <v>4558.6666666666652</v>
          </cell>
        </row>
        <row r="68">
          <cell r="F68">
            <v>0</v>
          </cell>
          <cell r="G68">
            <v>0</v>
          </cell>
          <cell r="M68">
            <v>0</v>
          </cell>
          <cell r="N68">
            <v>0</v>
          </cell>
          <cell r="O68">
            <v>0</v>
          </cell>
          <cell r="P68">
            <v>0</v>
          </cell>
          <cell r="Q68">
            <v>0</v>
          </cell>
        </row>
        <row r="69">
          <cell r="F69">
            <v>0</v>
          </cell>
          <cell r="G69">
            <v>0</v>
          </cell>
          <cell r="M69">
            <v>0</v>
          </cell>
          <cell r="N69">
            <v>0</v>
          </cell>
          <cell r="O69">
            <v>0</v>
          </cell>
          <cell r="P69">
            <v>0</v>
          </cell>
          <cell r="Q69">
            <v>0</v>
          </cell>
        </row>
        <row r="70">
          <cell r="C70">
            <v>0</v>
          </cell>
          <cell r="D70">
            <v>0</v>
          </cell>
          <cell r="E70">
            <v>0</v>
          </cell>
          <cell r="F70">
            <v>0</v>
          </cell>
          <cell r="G70">
            <v>0</v>
          </cell>
          <cell r="H70">
            <v>0</v>
          </cell>
          <cell r="I70">
            <v>0</v>
          </cell>
          <cell r="J70">
            <v>235.386</v>
          </cell>
          <cell r="K70">
            <v>509.077</v>
          </cell>
          <cell r="L70">
            <v>783.23066666666659</v>
          </cell>
          <cell r="M70">
            <v>1040.7176666666667</v>
          </cell>
          <cell r="N70">
            <v>1423.3333333333333</v>
          </cell>
          <cell r="O70">
            <v>2208.6666666666665</v>
          </cell>
          <cell r="P70">
            <v>3166.3333333333326</v>
          </cell>
          <cell r="Q70">
            <v>4558.6666666666652</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405</v>
          </cell>
          <cell r="O73">
            <v>635</v>
          </cell>
          <cell r="P73">
            <v>0</v>
          </cell>
          <cell r="Q73">
            <v>0</v>
          </cell>
        </row>
        <row r="74">
          <cell r="C74">
            <v>0</v>
          </cell>
          <cell r="D74">
            <v>0</v>
          </cell>
          <cell r="E74">
            <v>0</v>
          </cell>
          <cell r="F74">
            <v>0</v>
          </cell>
          <cell r="G74">
            <v>0</v>
          </cell>
          <cell r="H74">
            <v>0</v>
          </cell>
          <cell r="I74">
            <v>0</v>
          </cell>
          <cell r="J74">
            <v>0</v>
          </cell>
          <cell r="K74">
            <v>0</v>
          </cell>
          <cell r="L74">
            <v>0</v>
          </cell>
          <cell r="M74">
            <v>0</v>
          </cell>
          <cell r="N74">
            <v>125</v>
          </cell>
          <cell r="O74">
            <v>125</v>
          </cell>
          <cell r="P74">
            <v>0</v>
          </cell>
          <cell r="Q74">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2346</v>
          </cell>
          <cell r="Q76">
            <v>4703</v>
          </cell>
        </row>
        <row r="78">
          <cell r="F78">
            <v>0</v>
          </cell>
          <cell r="G78">
            <v>0</v>
          </cell>
          <cell r="M78">
            <v>4450</v>
          </cell>
          <cell r="N78">
            <v>5333</v>
          </cell>
          <cell r="O78">
            <v>6908</v>
          </cell>
          <cell r="P78">
            <v>10777</v>
          </cell>
          <cell r="Q78">
            <v>16627</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row>
        <row r="80">
          <cell r="F80">
            <v>0</v>
          </cell>
          <cell r="G80">
            <v>0</v>
          </cell>
          <cell r="M80">
            <v>3428.04</v>
          </cell>
          <cell r="N80">
            <v>4512.5200000000004</v>
          </cell>
          <cell r="O80">
            <v>6593.16</v>
          </cell>
          <cell r="P80">
            <v>8511.68</v>
          </cell>
          <cell r="Q80">
            <v>13347.64</v>
          </cell>
        </row>
        <row r="81">
          <cell r="C81">
            <v>0</v>
          </cell>
          <cell r="D81">
            <v>0</v>
          </cell>
          <cell r="E81">
            <v>0</v>
          </cell>
          <cell r="F81">
            <v>0</v>
          </cell>
          <cell r="G81">
            <v>0</v>
          </cell>
          <cell r="H81">
            <v>0</v>
          </cell>
          <cell r="I81">
            <v>0</v>
          </cell>
          <cell r="J81">
            <v>0</v>
          </cell>
          <cell r="K81">
            <v>0</v>
          </cell>
          <cell r="L81">
            <v>0</v>
          </cell>
          <cell r="M81">
            <v>0</v>
          </cell>
          <cell r="N81">
            <v>0</v>
          </cell>
          <cell r="O81">
            <v>0</v>
          </cell>
          <cell r="P81">
            <v>980</v>
          </cell>
          <cell r="Q81">
            <v>980</v>
          </cell>
        </row>
        <row r="83">
          <cell r="C83">
            <v>0</v>
          </cell>
          <cell r="D83">
            <v>0</v>
          </cell>
          <cell r="E83">
            <v>0</v>
          </cell>
          <cell r="F83">
            <v>0</v>
          </cell>
          <cell r="G83">
            <v>0</v>
          </cell>
          <cell r="H83">
            <v>0</v>
          </cell>
          <cell r="I83">
            <v>0</v>
          </cell>
          <cell r="J83">
            <v>973.64027999999985</v>
          </cell>
          <cell r="K83">
            <v>1467.4829999999997</v>
          </cell>
          <cell r="L83">
            <v>1885.3506666666663</v>
          </cell>
          <cell r="M83">
            <v>2062.6776666666665</v>
          </cell>
          <cell r="N83">
            <v>2243.8133333333326</v>
          </cell>
          <cell r="O83">
            <v>2523.5066666666662</v>
          </cell>
          <cell r="P83">
            <v>4451.6533333333318</v>
          </cell>
          <cell r="Q83">
            <v>6858.0266666666648</v>
          </cell>
        </row>
        <row r="84">
          <cell r="F84">
            <v>0</v>
          </cell>
          <cell r="G84">
            <v>0</v>
          </cell>
          <cell r="M84">
            <v>2324</v>
          </cell>
          <cell r="N84">
            <v>2352</v>
          </cell>
          <cell r="O84">
            <v>2388</v>
          </cell>
          <cell r="P84">
            <v>2624</v>
          </cell>
          <cell r="Q84">
            <v>2408</v>
          </cell>
        </row>
        <row r="85">
          <cell r="F85" t="str">
            <v xml:space="preserve">--  </v>
          </cell>
          <cell r="G85" t="str">
            <v xml:space="preserve">--  </v>
          </cell>
          <cell r="M85">
            <v>0.88755493402180141</v>
          </cell>
          <cell r="N85">
            <v>0.95400226757369588</v>
          </cell>
          <cell r="O85">
            <v>1.0567448352875486</v>
          </cell>
          <cell r="P85">
            <v>1.6965142276422758</v>
          </cell>
          <cell r="Q85">
            <v>2.8480177187153926</v>
          </cell>
        </row>
        <row r="87">
          <cell r="C87">
            <v>0</v>
          </cell>
          <cell r="D87">
            <v>0</v>
          </cell>
          <cell r="E87">
            <v>0</v>
          </cell>
          <cell r="F87">
            <v>0</v>
          </cell>
          <cell r="G87">
            <v>0</v>
          </cell>
          <cell r="H87">
            <v>0</v>
          </cell>
          <cell r="I87">
            <v>0</v>
          </cell>
          <cell r="J87">
            <v>993.09627999999987</v>
          </cell>
          <cell r="K87">
            <v>1475.8069999999998</v>
          </cell>
          <cell r="L87">
            <v>1885.3506666666663</v>
          </cell>
          <cell r="M87">
            <v>2062.6776666666665</v>
          </cell>
          <cell r="N87">
            <v>2773.8133333333326</v>
          </cell>
          <cell r="O87">
            <v>3283.5066666666662</v>
          </cell>
          <cell r="P87">
            <v>3085.6533333333318</v>
          </cell>
          <cell r="Q87">
            <v>3135.0266666666648</v>
          </cell>
        </row>
        <row r="88">
          <cell r="F88" t="str">
            <v>N/A</v>
          </cell>
          <cell r="G88" t="str">
            <v>N/A</v>
          </cell>
          <cell r="M88">
            <v>9.405518195377284E-2</v>
          </cell>
          <cell r="N88">
            <v>0.34476335210235604</v>
          </cell>
          <cell r="O88">
            <v>0.18375185064123531</v>
          </cell>
          <cell r="P88">
            <v>-6.0256717411872995E-2</v>
          </cell>
          <cell r="Q88">
            <v>1.600093335176981E-2</v>
          </cell>
        </row>
        <row r="89">
          <cell r="C89">
            <v>0</v>
          </cell>
          <cell r="D89">
            <v>0</v>
          </cell>
          <cell r="E89">
            <v>0</v>
          </cell>
          <cell r="F89">
            <v>0</v>
          </cell>
          <cell r="G89">
            <v>0</v>
          </cell>
          <cell r="H89">
            <v>0</v>
          </cell>
          <cell r="I89">
            <v>0</v>
          </cell>
          <cell r="J89">
            <v>993.09627999999987</v>
          </cell>
          <cell r="K89">
            <v>1234.4516399999998</v>
          </cell>
          <cell r="L89">
            <v>1680.578833333333</v>
          </cell>
          <cell r="M89">
            <v>1974.0141666666664</v>
          </cell>
          <cell r="N89">
            <v>2773.8133333333326</v>
          </cell>
          <cell r="O89">
            <v>3283.5066666666662</v>
          </cell>
          <cell r="P89">
            <v>3085.6533333333318</v>
          </cell>
          <cell r="Q89">
            <v>3135.0266666666648</v>
          </cell>
        </row>
        <row r="92">
          <cell r="F92" t="e">
            <v>#DIV/0!</v>
          </cell>
          <cell r="G92" t="e">
            <v>#DIV/0!</v>
          </cell>
          <cell r="M92">
            <v>6.6637554585152836</v>
          </cell>
          <cell r="N92">
            <v>9.2315789473684209</v>
          </cell>
          <cell r="O92">
            <v>27</v>
          </cell>
          <cell r="P92" t="e">
            <v>#DIV/0!</v>
          </cell>
          <cell r="Q92" t="e">
            <v>#DIV/0!</v>
          </cell>
        </row>
        <row r="95">
          <cell r="C95" t="str">
            <v>--</v>
          </cell>
          <cell r="D95" t="str">
            <v xml:space="preserve">--  </v>
          </cell>
          <cell r="E95" t="str">
            <v xml:space="preserve">--  </v>
          </cell>
          <cell r="F95" t="str">
            <v xml:space="preserve">--  </v>
          </cell>
          <cell r="G95" t="str">
            <v xml:space="preserve">--  </v>
          </cell>
          <cell r="H95" t="str">
            <v xml:space="preserve">--  </v>
          </cell>
          <cell r="I95" t="str">
            <v xml:space="preserve">--  </v>
          </cell>
          <cell r="J95">
            <v>15.153322592312499</v>
          </cell>
          <cell r="K95">
            <v>10.744393099378991</v>
          </cell>
          <cell r="L95">
            <v>12.341030721044369</v>
          </cell>
          <cell r="M95">
            <v>11.436654366543666</v>
          </cell>
          <cell r="N95">
            <v>11.244318181818182</v>
          </cell>
          <cell r="O95">
            <v>14.214754098360656</v>
          </cell>
          <cell r="P95">
            <v>14.03088326127239</v>
          </cell>
          <cell r="Q95">
            <v>11.872131147540983</v>
          </cell>
        </row>
        <row r="96">
          <cell r="C96" t="str">
            <v>--</v>
          </cell>
          <cell r="D96" t="str">
            <v xml:space="preserve">--  </v>
          </cell>
          <cell r="E96" t="str">
            <v xml:space="preserve">--  </v>
          </cell>
          <cell r="F96" t="str">
            <v xml:space="preserve">--  </v>
          </cell>
          <cell r="G96" t="str">
            <v xml:space="preserve">--  </v>
          </cell>
          <cell r="H96" t="str">
            <v xml:space="preserve">--  </v>
          </cell>
          <cell r="I96" t="str">
            <v xml:space="preserve">--  </v>
          </cell>
          <cell r="J96">
            <v>78.267396934573085</v>
          </cell>
          <cell r="K96">
            <v>41.491137698433583</v>
          </cell>
          <cell r="L96">
            <v>35.260460462341399</v>
          </cell>
          <cell r="M96">
            <v>40.602620087336241</v>
          </cell>
          <cell r="N96">
            <v>62.494736842105262</v>
          </cell>
          <cell r="O96">
            <v>197.06818181818181</v>
          </cell>
          <cell r="P96" t="str">
            <v xml:space="preserve">--  </v>
          </cell>
          <cell r="Q96" t="str">
            <v xml:space="preserve">--  </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v>25.958478420787596</v>
          </cell>
          <cell r="K97">
            <v>23.128116717502184</v>
          </cell>
          <cell r="L97">
            <v>30.806358274745449</v>
          </cell>
          <cell r="M97">
            <v>78.743224932249291</v>
          </cell>
          <cell r="N97">
            <v>-44.213583556747103</v>
          </cell>
          <cell r="O97">
            <v>-12.224039247751433</v>
          </cell>
          <cell r="P97">
            <v>-7.7586206896551717</v>
          </cell>
          <cell r="Q97">
            <v>-5.8671505999206053</v>
          </cell>
        </row>
        <row r="98">
          <cell r="F98" t="str">
            <v xml:space="preserve">--  </v>
          </cell>
          <cell r="G98" t="str">
            <v xml:space="preserve">--  </v>
          </cell>
          <cell r="M98">
            <v>5.1741791875347802</v>
          </cell>
          <cell r="N98">
            <v>5.5956644674835063</v>
          </cell>
          <cell r="O98">
            <v>6.8872120730738677</v>
          </cell>
          <cell r="P98">
            <v>8.1390182730204224</v>
          </cell>
          <cell r="Q98">
            <v>9.7535353535353533</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v>4.3320490631172399</v>
          </cell>
          <cell r="K99">
            <v>2.4738123239340317</v>
          </cell>
          <cell r="L99">
            <v>2.4076933275737451</v>
          </cell>
          <cell r="M99">
            <v>2.4277089899820234</v>
          </cell>
          <cell r="N99">
            <v>2.325931709595066</v>
          </cell>
          <cell r="O99">
            <v>2.3196896736222583</v>
          </cell>
          <cell r="P99">
            <v>2.4433688286544051</v>
          </cell>
          <cell r="Q99">
            <v>2.5961641871303107</v>
          </cell>
        </row>
        <row r="100">
          <cell r="C100" t="str">
            <v>--</v>
          </cell>
          <cell r="D100" t="str">
            <v xml:space="preserve">--  </v>
          </cell>
          <cell r="E100" t="str">
            <v xml:space="preserve">--  </v>
          </cell>
          <cell r="F100" t="str">
            <v xml:space="preserve">--  </v>
          </cell>
          <cell r="G100" t="str">
            <v xml:space="preserve">--  </v>
          </cell>
          <cell r="H100" t="str">
            <v xml:space="preserve">--  </v>
          </cell>
          <cell r="I100" t="str">
            <v xml:space="preserve">--  </v>
          </cell>
          <cell r="J100">
            <v>43.12626038133115</v>
          </cell>
          <cell r="K100">
            <v>29.183746872669378</v>
          </cell>
          <cell r="L100">
            <v>39.181704764340779</v>
          </cell>
          <cell r="M100">
            <v>44.488038277511961</v>
          </cell>
          <cell r="N100">
            <v>22.878612716763005</v>
          </cell>
          <cell r="O100">
            <v>13.078431372549019</v>
          </cell>
          <cell r="P100">
            <v>20.084880636604776</v>
          </cell>
          <cell r="Q100">
            <v>62.565874730021598</v>
          </cell>
        </row>
        <row r="101">
          <cell r="B101" t="str">
            <v xml:space="preserve"> Total other assets turns</v>
          </cell>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cell r="O101" t="str">
            <v xml:space="preserve">--  </v>
          </cell>
          <cell r="P101" t="str">
            <v xml:space="preserve">--  </v>
          </cell>
          <cell r="Q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v>1.8562470096051515</v>
          </cell>
          <cell r="K102">
            <v>2.2347777025918978</v>
          </cell>
          <cell r="L102">
            <v>2.2331591506220132</v>
          </cell>
          <cell r="M102">
            <v>2.3550996130135848</v>
          </cell>
          <cell r="N102">
            <v>2.1403747428329716</v>
          </cell>
          <cell r="O102">
            <v>2.6407742941489385</v>
          </cell>
          <cell r="P102">
            <v>3.6809060425884974</v>
          </cell>
          <cell r="Q102">
            <v>4.6200563950545899</v>
          </cell>
        </row>
        <row r="105">
          <cell r="F105" t="str">
            <v xml:space="preserve">--  </v>
          </cell>
          <cell r="G105" t="str">
            <v xml:space="preserve">--  </v>
          </cell>
          <cell r="M105">
            <v>0.2839365379988803</v>
          </cell>
          <cell r="N105">
            <v>0.27337921609188948</v>
          </cell>
          <cell r="O105">
            <v>0.28942718979026666</v>
          </cell>
          <cell r="P105">
            <v>0.34837724725364172</v>
          </cell>
          <cell r="Q105">
            <v>0.35004090763641249</v>
          </cell>
        </row>
        <row r="106">
          <cell r="F106" t="str">
            <v xml:space="preserve">--  </v>
          </cell>
          <cell r="G106" t="str">
            <v xml:space="preserve">--  </v>
          </cell>
          <cell r="M106">
            <v>2.3550996130135848</v>
          </cell>
          <cell r="N106">
            <v>2.1403747428329716</v>
          </cell>
          <cell r="O106">
            <v>2.6407742941489385</v>
          </cell>
          <cell r="P106">
            <v>3.6809060425884974</v>
          </cell>
          <cell r="Q106">
            <v>4.6200563950545899</v>
          </cell>
        </row>
        <row r="107">
          <cell r="C107" t="str">
            <v>N/A</v>
          </cell>
          <cell r="D107" t="str">
            <v xml:space="preserve">--  </v>
          </cell>
          <cell r="E107" t="str">
            <v xml:space="preserve">--  </v>
          </cell>
          <cell r="F107" t="str">
            <v xml:space="preserve">--  </v>
          </cell>
          <cell r="G107" t="str">
            <v xml:space="preserve">--  </v>
          </cell>
          <cell r="H107" t="str">
            <v xml:space="preserve">--  </v>
          </cell>
          <cell r="I107" t="str">
            <v xml:space="preserve">--  </v>
          </cell>
          <cell r="J107">
            <v>0.61505166935553934</v>
          </cell>
          <cell r="K107">
            <v>0.69939990207257008</v>
          </cell>
          <cell r="L107">
            <v>0.64767564608726735</v>
          </cell>
          <cell r="M107">
            <v>0.66869883076157999</v>
          </cell>
          <cell r="N107">
            <v>0.58513396933855732</v>
          </cell>
          <cell r="O107">
            <v>0.76431188282590234</v>
          </cell>
          <cell r="P107">
            <v>1.2823439145162767</v>
          </cell>
          <cell r="Q107">
            <v>1.6172087338563206</v>
          </cell>
        </row>
        <row r="108">
          <cell r="F108" t="str">
            <v xml:space="preserve">--  </v>
          </cell>
          <cell r="G108" t="str">
            <v xml:space="preserve">--  </v>
          </cell>
          <cell r="M108">
            <v>2.1023184674312634E-2</v>
          </cell>
          <cell r="N108">
            <v>-8.3564861423022663E-2</v>
          </cell>
          <cell r="O108">
            <v>0.17917791348734502</v>
          </cell>
          <cell r="P108">
            <v>0.51803203169037437</v>
          </cell>
          <cell r="Q108">
            <v>0.33486481934004386</v>
          </cell>
        </row>
        <row r="109">
          <cell r="C109" t="str">
            <v>N/A</v>
          </cell>
          <cell r="D109" t="str">
            <v>N/A</v>
          </cell>
          <cell r="E109" t="str">
            <v>NM</v>
          </cell>
          <cell r="F109" t="str">
            <v>NM</v>
          </cell>
          <cell r="G109" t="str">
            <v>NM</v>
          </cell>
          <cell r="H109" t="str">
            <v>NM</v>
          </cell>
          <cell r="I109" t="str">
            <v>NM</v>
          </cell>
          <cell r="J109" t="str">
            <v>NM</v>
          </cell>
          <cell r="K109">
            <v>0.25432562418273008</v>
          </cell>
          <cell r="L109">
            <v>0.46631370761856944</v>
          </cell>
          <cell r="M109">
            <v>0.56538777747845093</v>
          </cell>
          <cell r="N109">
            <v>1.7088849457823854</v>
          </cell>
          <cell r="O109">
            <v>1.2466970766485552</v>
          </cell>
          <cell r="P109">
            <v>2.8394438714170476</v>
          </cell>
          <cell r="Q109" t="str">
            <v>NM</v>
          </cell>
        </row>
        <row r="112">
          <cell r="F112" t="str">
            <v xml:space="preserve">  --</v>
          </cell>
          <cell r="G112" t="str">
            <v xml:space="preserve">  --</v>
          </cell>
          <cell r="M112">
            <v>3.245943367072357E-2</v>
          </cell>
          <cell r="N112">
            <v>-0.12496636389785631</v>
          </cell>
          <cell r="O112">
            <v>0.30621690565989512</v>
          </cell>
          <cell r="P112">
            <v>0.67777571346273779</v>
          </cell>
          <cell r="Q112">
            <v>0.26113495416427424</v>
          </cell>
        </row>
        <row r="113">
          <cell r="F113" t="str">
            <v>-</v>
          </cell>
          <cell r="G113" t="str">
            <v>-</v>
          </cell>
          <cell r="M113" t="str">
            <v xml:space="preserve">  --</v>
          </cell>
          <cell r="N113" t="str">
            <v xml:space="preserve">  --</v>
          </cell>
          <cell r="O113">
            <v>4.4411877142283229E-2</v>
          </cell>
          <cell r="P113">
            <v>0.12890082285952009</v>
          </cell>
          <cell r="Q113">
            <v>0.20083047832257206</v>
          </cell>
        </row>
        <row r="114">
          <cell r="F114" t="str">
            <v>-</v>
          </cell>
          <cell r="G114" t="str">
            <v>-</v>
          </cell>
          <cell r="M114" t="str">
            <v xml:space="preserve">  --</v>
          </cell>
          <cell r="N114" t="str">
            <v xml:space="preserve">  --</v>
          </cell>
          <cell r="O114" t="str">
            <v xml:space="preserve">  --</v>
          </cell>
          <cell r="P114" t="str">
            <v xml:space="preserve">  --</v>
          </cell>
          <cell r="Q114" t="str">
            <v xml:space="preserve">  --</v>
          </cell>
        </row>
      </sheetData>
      <sheetData sheetId="8" refreshError="1">
        <row r="1">
          <cell r="M1">
            <v>0</v>
          </cell>
          <cell r="N1">
            <v>0</v>
          </cell>
          <cell r="O1">
            <v>0</v>
          </cell>
          <cell r="P1">
            <v>0</v>
          </cell>
          <cell r="Q1">
            <v>0</v>
          </cell>
        </row>
        <row r="2">
          <cell r="P2" t="str">
            <v>NOPAT Statement</v>
          </cell>
        </row>
        <row r="3">
          <cell r="F3" t="str">
            <v>P-11</v>
          </cell>
          <cell r="G3" t="str">
            <v>P-10</v>
          </cell>
          <cell r="M3" t="str">
            <v>P-4</v>
          </cell>
          <cell r="N3" t="str">
            <v>P-3</v>
          </cell>
          <cell r="O3" t="str">
            <v>P-2</v>
          </cell>
          <cell r="P3" t="str">
            <v>P-1</v>
          </cell>
          <cell r="Q3" t="str">
            <v>Present (P)</v>
          </cell>
        </row>
        <row r="4">
          <cell r="F4">
            <v>1987</v>
          </cell>
          <cell r="G4">
            <v>1988</v>
          </cell>
          <cell r="M4">
            <v>1994</v>
          </cell>
          <cell r="N4">
            <v>1995</v>
          </cell>
          <cell r="O4">
            <v>1996</v>
          </cell>
          <cell r="P4">
            <v>1997</v>
          </cell>
          <cell r="Q4">
            <v>1998</v>
          </cell>
        </row>
        <row r="5">
          <cell r="C5">
            <v>0</v>
          </cell>
          <cell r="D5">
            <v>0</v>
          </cell>
          <cell r="E5">
            <v>0</v>
          </cell>
          <cell r="F5">
            <v>0</v>
          </cell>
          <cell r="G5">
            <v>0</v>
          </cell>
          <cell r="H5">
            <v>0</v>
          </cell>
          <cell r="I5">
            <v>0</v>
          </cell>
          <cell r="J5">
            <v>1843.432</v>
          </cell>
          <cell r="K5">
            <v>2758.7249999999999</v>
          </cell>
          <cell r="L5">
            <v>3753</v>
          </cell>
          <cell r="M5">
            <v>4649</v>
          </cell>
          <cell r="N5">
            <v>5937</v>
          </cell>
          <cell r="O5">
            <v>8671</v>
          </cell>
          <cell r="P5">
            <v>11358</v>
          </cell>
          <cell r="Q5">
            <v>14484</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1843.432</v>
          </cell>
          <cell r="K8">
            <v>2758.7249999999999</v>
          </cell>
          <cell r="L8">
            <v>3753</v>
          </cell>
          <cell r="M8">
            <v>4649</v>
          </cell>
          <cell r="N8">
            <v>5937</v>
          </cell>
          <cell r="O8">
            <v>8671</v>
          </cell>
          <cell r="P8">
            <v>11358</v>
          </cell>
          <cell r="Q8">
            <v>14484</v>
          </cell>
        </row>
        <row r="9">
          <cell r="C9">
            <v>0</v>
          </cell>
          <cell r="D9">
            <v>0</v>
          </cell>
          <cell r="E9">
            <v>0</v>
          </cell>
          <cell r="F9">
            <v>0</v>
          </cell>
          <cell r="G9">
            <v>0</v>
          </cell>
          <cell r="H9">
            <v>0</v>
          </cell>
          <cell r="I9">
            <v>0</v>
          </cell>
          <cell r="J9">
            <v>362.589</v>
          </cell>
          <cell r="K9">
            <v>466.42399999999998</v>
          </cell>
          <cell r="L9">
            <v>633</v>
          </cell>
          <cell r="M9">
            <v>763</v>
          </cell>
          <cell r="N9">
            <v>877</v>
          </cell>
          <cell r="O9">
            <v>1188</v>
          </cell>
          <cell r="P9">
            <v>1085</v>
          </cell>
          <cell r="Q9">
            <v>1197</v>
          </cell>
        </row>
        <row r="10">
          <cell r="C10">
            <v>0</v>
          </cell>
          <cell r="D10">
            <v>0</v>
          </cell>
          <cell r="E10">
            <v>0</v>
          </cell>
          <cell r="F10">
            <v>0</v>
          </cell>
          <cell r="G10">
            <v>0</v>
          </cell>
          <cell r="H10">
            <v>0</v>
          </cell>
          <cell r="I10">
            <v>0</v>
          </cell>
          <cell r="J10">
            <v>1480.8430000000001</v>
          </cell>
          <cell r="K10">
            <v>2292.3009999999999</v>
          </cell>
          <cell r="L10">
            <v>3120</v>
          </cell>
          <cell r="M10">
            <v>3886</v>
          </cell>
          <cell r="N10">
            <v>5060</v>
          </cell>
          <cell r="O10">
            <v>7483</v>
          </cell>
          <cell r="P10">
            <v>10273</v>
          </cell>
          <cell r="Q10">
            <v>13287</v>
          </cell>
        </row>
        <row r="12">
          <cell r="C12">
            <v>0</v>
          </cell>
          <cell r="D12">
            <v>0</v>
          </cell>
          <cell r="E12">
            <v>0</v>
          </cell>
          <cell r="F12">
            <v>0</v>
          </cell>
          <cell r="G12">
            <v>0</v>
          </cell>
          <cell r="H12">
            <v>0</v>
          </cell>
          <cell r="I12">
            <v>0</v>
          </cell>
          <cell r="J12">
            <v>595.61500000000001</v>
          </cell>
          <cell r="K12">
            <v>944.1690000000001</v>
          </cell>
          <cell r="L12">
            <v>1324</v>
          </cell>
          <cell r="M12">
            <v>1550</v>
          </cell>
          <cell r="N12">
            <v>2162</v>
          </cell>
          <cell r="O12">
            <v>2973</v>
          </cell>
          <cell r="P12">
            <v>3218</v>
          </cell>
          <cell r="Q12">
            <v>3845</v>
          </cell>
        </row>
        <row r="13">
          <cell r="C13">
            <v>0</v>
          </cell>
          <cell r="D13">
            <v>0</v>
          </cell>
          <cell r="E13">
            <v>0</v>
          </cell>
          <cell r="F13">
            <v>0</v>
          </cell>
          <cell r="G13">
            <v>0</v>
          </cell>
          <cell r="H13">
            <v>0</v>
          </cell>
          <cell r="I13">
            <v>0</v>
          </cell>
          <cell r="J13">
            <v>0</v>
          </cell>
          <cell r="K13">
            <v>352.15300000000002</v>
          </cell>
          <cell r="L13">
            <v>470</v>
          </cell>
          <cell r="M13">
            <v>610</v>
          </cell>
          <cell r="N13">
            <v>860</v>
          </cell>
          <cell r="O13">
            <v>1432</v>
          </cell>
          <cell r="P13">
            <v>1925</v>
          </cell>
          <cell r="Q13">
            <v>2798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0</v>
          </cell>
          <cell r="E15">
            <v>0</v>
          </cell>
          <cell r="F15">
            <v>0</v>
          </cell>
          <cell r="G15">
            <v>0</v>
          </cell>
          <cell r="H15">
            <v>0</v>
          </cell>
          <cell r="I15">
            <v>0</v>
          </cell>
          <cell r="J15">
            <v>1193.5899999999999</v>
          </cell>
          <cell r="K15">
            <v>1762.7460000000001</v>
          </cell>
          <cell r="L15">
            <v>2427</v>
          </cell>
          <cell r="M15">
            <v>2923</v>
          </cell>
          <cell r="N15">
            <v>3899</v>
          </cell>
          <cell r="O15">
            <v>5593</v>
          </cell>
          <cell r="P15">
            <v>6228</v>
          </cell>
          <cell r="Q15">
            <v>7840</v>
          </cell>
        </row>
        <row r="17">
          <cell r="C17">
            <v>0</v>
          </cell>
          <cell r="D17">
            <v>0</v>
          </cell>
          <cell r="E17">
            <v>0</v>
          </cell>
          <cell r="F17">
            <v>0</v>
          </cell>
          <cell r="G17">
            <v>0</v>
          </cell>
          <cell r="H17">
            <v>0</v>
          </cell>
          <cell r="I17">
            <v>0</v>
          </cell>
          <cell r="J17">
            <v>649.8420000000001</v>
          </cell>
          <cell r="K17">
            <v>995.97899999999981</v>
          </cell>
          <cell r="L17">
            <v>1326</v>
          </cell>
          <cell r="M17">
            <v>1726</v>
          </cell>
          <cell r="N17">
            <v>2038</v>
          </cell>
          <cell r="O17">
            <v>3078</v>
          </cell>
          <cell r="P17">
            <v>5130</v>
          </cell>
          <cell r="Q17">
            <v>6644</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F19">
            <v>0</v>
          </cell>
          <cell r="G19">
            <v>0</v>
          </cell>
          <cell r="M19">
            <v>1726</v>
          </cell>
          <cell r="N19">
            <v>2038</v>
          </cell>
          <cell r="O19">
            <v>3078</v>
          </cell>
          <cell r="P19">
            <v>5130</v>
          </cell>
          <cell r="Q19">
            <v>6644</v>
          </cell>
        </row>
        <row r="21">
          <cell r="C21">
            <v>0</v>
          </cell>
          <cell r="D21">
            <v>0</v>
          </cell>
          <cell r="E21">
            <v>0</v>
          </cell>
          <cell r="F21">
            <v>0</v>
          </cell>
          <cell r="G21">
            <v>0</v>
          </cell>
          <cell r="H21">
            <v>0</v>
          </cell>
          <cell r="I21">
            <v>0</v>
          </cell>
          <cell r="J21">
            <v>235.386</v>
          </cell>
          <cell r="K21">
            <v>352.15300000000002</v>
          </cell>
          <cell r="L21">
            <v>470</v>
          </cell>
          <cell r="M21">
            <v>610</v>
          </cell>
          <cell r="N21">
            <v>860</v>
          </cell>
          <cell r="O21">
            <v>1432</v>
          </cell>
          <cell r="P21">
            <v>1925</v>
          </cell>
          <cell r="Q21">
            <v>2798</v>
          </cell>
        </row>
        <row r="22">
          <cell r="C22">
            <v>0</v>
          </cell>
          <cell r="D22">
            <v>0</v>
          </cell>
          <cell r="E22">
            <v>0</v>
          </cell>
          <cell r="F22">
            <v>0</v>
          </cell>
          <cell r="G22">
            <v>0</v>
          </cell>
          <cell r="H22">
            <v>0</v>
          </cell>
          <cell r="I22">
            <v>0</v>
          </cell>
          <cell r="J22">
            <v>0</v>
          </cell>
          <cell r="K22">
            <v>78.462000000000003</v>
          </cell>
          <cell r="L22">
            <v>195.84633333333335</v>
          </cell>
          <cell r="M22">
            <v>352.51299999999998</v>
          </cell>
          <cell r="N22">
            <v>477.38433333333336</v>
          </cell>
          <cell r="O22">
            <v>646.66666666666663</v>
          </cell>
          <cell r="P22">
            <v>967.33333333333337</v>
          </cell>
          <cell r="Q22">
            <v>1405.6666666666667</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F24">
            <v>0</v>
          </cell>
          <cell r="G24">
            <v>0</v>
          </cell>
          <cell r="M24">
            <v>257.48700000000002</v>
          </cell>
          <cell r="N24">
            <v>382.61566666666664</v>
          </cell>
          <cell r="O24">
            <v>785.33333333333337</v>
          </cell>
          <cell r="P24">
            <v>957.66666666666663</v>
          </cell>
          <cell r="Q24">
            <v>1392.3333333333333</v>
          </cell>
        </row>
        <row r="26">
          <cell r="C26">
            <v>0</v>
          </cell>
          <cell r="D26">
            <v>0</v>
          </cell>
          <cell r="E26">
            <v>0</v>
          </cell>
          <cell r="F26">
            <v>0</v>
          </cell>
          <cell r="G26">
            <v>0</v>
          </cell>
          <cell r="H26">
            <v>0</v>
          </cell>
          <cell r="I26">
            <v>0</v>
          </cell>
          <cell r="J26">
            <v>885.22800000000007</v>
          </cell>
          <cell r="K26">
            <v>1269.6699999999998</v>
          </cell>
          <cell r="L26">
            <v>1600.1536666666666</v>
          </cell>
          <cell r="M26">
            <v>1983.4870000000001</v>
          </cell>
          <cell r="N26">
            <v>2420.6156666666666</v>
          </cell>
          <cell r="O26">
            <v>3863.3333333333335</v>
          </cell>
          <cell r="P26">
            <v>6087.666666666667</v>
          </cell>
          <cell r="Q26">
            <v>8036.333333333333</v>
          </cell>
        </row>
        <row r="28">
          <cell r="F28">
            <v>0</v>
          </cell>
          <cell r="G28">
            <v>0</v>
          </cell>
          <cell r="M28">
            <v>0</v>
          </cell>
          <cell r="N28">
            <v>0</v>
          </cell>
          <cell r="O28">
            <v>0</v>
          </cell>
          <cell r="P28">
            <v>0</v>
          </cell>
          <cell r="Q28">
            <v>0</v>
          </cell>
        </row>
        <row r="29">
          <cell r="F29">
            <v>0</v>
          </cell>
          <cell r="G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2">
          <cell r="C32">
            <v>0</v>
          </cell>
          <cell r="D32">
            <v>0</v>
          </cell>
          <cell r="E32">
            <v>0</v>
          </cell>
          <cell r="F32">
            <v>0</v>
          </cell>
          <cell r="G32">
            <v>0</v>
          </cell>
          <cell r="H32">
            <v>0</v>
          </cell>
          <cell r="I32">
            <v>0</v>
          </cell>
          <cell r="J32">
            <v>885.22800000000007</v>
          </cell>
          <cell r="K32">
            <v>1269.6699999999998</v>
          </cell>
          <cell r="L32">
            <v>1600.1536666666666</v>
          </cell>
          <cell r="M32">
            <v>1983.4870000000001</v>
          </cell>
          <cell r="N32">
            <v>2420.6156666666666</v>
          </cell>
          <cell r="O32">
            <v>3863.3333333333335</v>
          </cell>
          <cell r="P32">
            <v>6087.666666666667</v>
          </cell>
          <cell r="Q32">
            <v>8036.333333333333</v>
          </cell>
        </row>
        <row r="33">
          <cell r="A33">
            <v>0.33</v>
          </cell>
        </row>
        <row r="34">
          <cell r="C34">
            <v>0</v>
          </cell>
          <cell r="D34">
            <v>0</v>
          </cell>
          <cell r="E34">
            <v>0</v>
          </cell>
          <cell r="F34">
            <v>0</v>
          </cell>
          <cell r="G34">
            <v>0</v>
          </cell>
          <cell r="H34">
            <v>0</v>
          </cell>
          <cell r="I34">
            <v>0</v>
          </cell>
          <cell r="J34">
            <v>207.90100000000001</v>
          </cell>
          <cell r="K34">
            <v>333.20499999999998</v>
          </cell>
          <cell r="L34">
            <v>448</v>
          </cell>
          <cell r="M34">
            <v>576</v>
          </cell>
          <cell r="N34">
            <v>714</v>
          </cell>
          <cell r="O34">
            <v>1184</v>
          </cell>
          <cell r="P34">
            <v>1860</v>
          </cell>
          <cell r="Q34">
            <v>2627</v>
          </cell>
        </row>
        <row r="35">
          <cell r="C35">
            <v>0</v>
          </cell>
          <cell r="D35">
            <v>0</v>
          </cell>
          <cell r="E35">
            <v>0</v>
          </cell>
          <cell r="F35">
            <v>0</v>
          </cell>
          <cell r="G35">
            <v>0</v>
          </cell>
          <cell r="H35">
            <v>0</v>
          </cell>
          <cell r="I35">
            <v>0</v>
          </cell>
          <cell r="J35">
            <v>78.073700724974785</v>
          </cell>
          <cell r="K35">
            <v>90.975734606464272</v>
          </cell>
          <cell r="L35">
            <v>63.683684986914109</v>
          </cell>
          <cell r="M35">
            <v>87.466034843205591</v>
          </cell>
          <cell r="N35">
            <v>83.563260729118596</v>
          </cell>
          <cell r="O35">
            <v>169.71017066193156</v>
          </cell>
          <cell r="P35">
            <v>270.79789235980428</v>
          </cell>
          <cell r="Q35">
            <v>339.34082712753502</v>
          </cell>
        </row>
        <row r="36">
          <cell r="C36">
            <v>0</v>
          </cell>
          <cell r="D36">
            <v>0</v>
          </cell>
          <cell r="E36">
            <v>0</v>
          </cell>
          <cell r="F36">
            <v>0</v>
          </cell>
          <cell r="G36">
            <v>0</v>
          </cell>
          <cell r="H36">
            <v>0</v>
          </cell>
          <cell r="I36">
            <v>0</v>
          </cell>
          <cell r="J36">
            <v>-11.552225569750865</v>
          </cell>
          <cell r="K36">
            <v>-17.886090735787722</v>
          </cell>
          <cell r="L36">
            <v>0</v>
          </cell>
          <cell r="M36">
            <v>0</v>
          </cell>
          <cell r="N36">
            <v>0</v>
          </cell>
          <cell r="O36">
            <v>0</v>
          </cell>
          <cell r="P36">
            <v>0</v>
          </cell>
          <cell r="Q36">
            <v>0</v>
          </cell>
        </row>
        <row r="37">
          <cell r="F37">
            <v>0</v>
          </cell>
          <cell r="G37">
            <v>0</v>
          </cell>
          <cell r="M37">
            <v>0</v>
          </cell>
          <cell r="N37">
            <v>0</v>
          </cell>
          <cell r="O37">
            <v>0</v>
          </cell>
          <cell r="P37">
            <v>0</v>
          </cell>
          <cell r="Q37">
            <v>0</v>
          </cell>
        </row>
        <row r="38">
          <cell r="F38">
            <v>0</v>
          </cell>
          <cell r="G38">
            <v>0</v>
          </cell>
          <cell r="M38">
            <v>0</v>
          </cell>
          <cell r="N38">
            <v>0</v>
          </cell>
          <cell r="O38">
            <v>0</v>
          </cell>
          <cell r="P38">
            <v>0</v>
          </cell>
          <cell r="Q38">
            <v>0</v>
          </cell>
        </row>
        <row r="39">
          <cell r="C39">
            <v>0</v>
          </cell>
          <cell r="D39">
            <v>0</v>
          </cell>
          <cell r="E39">
            <v>0</v>
          </cell>
          <cell r="F39">
            <v>0</v>
          </cell>
          <cell r="G39">
            <v>0</v>
          </cell>
          <cell r="H39">
            <v>0</v>
          </cell>
          <cell r="I39">
            <v>0</v>
          </cell>
          <cell r="J39">
            <v>274.42247515522394</v>
          </cell>
          <cell r="K39">
            <v>406.29464387067657</v>
          </cell>
          <cell r="L39">
            <v>511.6836849869141</v>
          </cell>
          <cell r="M39">
            <v>663.46603484320553</v>
          </cell>
          <cell r="N39">
            <v>797.56326072911861</v>
          </cell>
          <cell r="O39">
            <v>1353.7101706619314</v>
          </cell>
          <cell r="P39">
            <v>2130.7978923598043</v>
          </cell>
          <cell r="Q39">
            <v>2966.3408271275348</v>
          </cell>
        </row>
        <row r="41">
          <cell r="C41">
            <v>0</v>
          </cell>
          <cell r="D41">
            <v>0</v>
          </cell>
          <cell r="E41">
            <v>0</v>
          </cell>
          <cell r="F41">
            <v>0</v>
          </cell>
          <cell r="G41">
            <v>0</v>
          </cell>
          <cell r="H41">
            <v>0</v>
          </cell>
          <cell r="I41">
            <v>0</v>
          </cell>
          <cell r="J41">
            <v>610.80552484477607</v>
          </cell>
          <cell r="K41">
            <v>863.37535612932334</v>
          </cell>
          <cell r="L41">
            <v>1088.4699816797524</v>
          </cell>
          <cell r="M41">
            <v>1320.0209651567945</v>
          </cell>
          <cell r="N41">
            <v>1623.052405937548</v>
          </cell>
          <cell r="O41">
            <v>2509.623162671402</v>
          </cell>
          <cell r="P41">
            <v>3956.8687743068626</v>
          </cell>
          <cell r="Q41">
            <v>5069.9925062057982</v>
          </cell>
        </row>
        <row r="43">
          <cell r="F43">
            <v>0</v>
          </cell>
          <cell r="G43">
            <v>0</v>
          </cell>
          <cell r="M43">
            <v>1146</v>
          </cell>
          <cell r="N43">
            <v>1453</v>
          </cell>
          <cell r="O43">
            <v>2195</v>
          </cell>
          <cell r="P43">
            <v>3439</v>
          </cell>
          <cell r="Q43">
            <v>4462</v>
          </cell>
        </row>
        <row r="44">
          <cell r="F44">
            <v>0</v>
          </cell>
          <cell r="G44">
            <v>0</v>
          </cell>
          <cell r="M44">
            <v>610</v>
          </cell>
          <cell r="N44">
            <v>860</v>
          </cell>
          <cell r="O44">
            <v>1432</v>
          </cell>
          <cell r="P44">
            <v>1925</v>
          </cell>
          <cell r="Q44">
            <v>2798</v>
          </cell>
        </row>
        <row r="45">
          <cell r="F45">
            <v>0</v>
          </cell>
          <cell r="G45">
            <v>0</v>
          </cell>
          <cell r="M45">
            <v>0</v>
          </cell>
          <cell r="N45">
            <v>0</v>
          </cell>
          <cell r="O45">
            <v>0</v>
          </cell>
          <cell r="P45">
            <v>0</v>
          </cell>
          <cell r="Q45">
            <v>0</v>
          </cell>
        </row>
        <row r="46">
          <cell r="C46">
            <v>0</v>
          </cell>
          <cell r="D46">
            <v>0</v>
          </cell>
          <cell r="E46">
            <v>0</v>
          </cell>
          <cell r="F46">
            <v>0</v>
          </cell>
          <cell r="G46">
            <v>0</v>
          </cell>
          <cell r="H46">
            <v>0</v>
          </cell>
          <cell r="I46">
            <v>0</v>
          </cell>
          <cell r="J46">
            <v>698.12900000000013</v>
          </cell>
          <cell r="K46">
            <v>1060.213</v>
          </cell>
          <cell r="L46">
            <v>1423</v>
          </cell>
          <cell r="M46">
            <v>1756</v>
          </cell>
          <cell r="N46">
            <v>2313</v>
          </cell>
          <cell r="O46">
            <v>3627</v>
          </cell>
          <cell r="P46">
            <v>5364</v>
          </cell>
          <cell r="Q46">
            <v>7260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F49">
            <v>0</v>
          </cell>
          <cell r="G49">
            <v>0</v>
          </cell>
          <cell r="M49">
            <v>352.51299999999998</v>
          </cell>
          <cell r="N49">
            <v>477.38433333333336</v>
          </cell>
          <cell r="O49">
            <v>646.66666666666663</v>
          </cell>
          <cell r="P49">
            <v>967.33333333333337</v>
          </cell>
          <cell r="Q49">
            <v>1405.6666666666667</v>
          </cell>
        </row>
        <row r="50">
          <cell r="C50">
            <v>0</v>
          </cell>
          <cell r="D50">
            <v>0</v>
          </cell>
          <cell r="E50">
            <v>0</v>
          </cell>
          <cell r="F50">
            <v>0</v>
          </cell>
          <cell r="G50">
            <v>0</v>
          </cell>
          <cell r="H50">
            <v>0</v>
          </cell>
          <cell r="I50">
            <v>0</v>
          </cell>
          <cell r="J50">
            <v>0</v>
          </cell>
          <cell r="K50">
            <v>0</v>
          </cell>
          <cell r="L50">
            <v>0</v>
          </cell>
          <cell r="M50">
            <v>90</v>
          </cell>
          <cell r="N50">
            <v>46</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F54">
            <v>0</v>
          </cell>
          <cell r="G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-78.462000000000003</v>
          </cell>
          <cell r="L55">
            <v>-195.84633333333335</v>
          </cell>
          <cell r="M55">
            <v>-262.51299999999998</v>
          </cell>
          <cell r="N55">
            <v>-431.38433333333336</v>
          </cell>
          <cell r="O55">
            <v>-646.66666666666663</v>
          </cell>
          <cell r="P55">
            <v>-967.33333333333337</v>
          </cell>
          <cell r="Q55">
            <v>-1405.6666666666667</v>
          </cell>
        </row>
        <row r="57">
          <cell r="C57">
            <v>0</v>
          </cell>
          <cell r="D57">
            <v>0</v>
          </cell>
          <cell r="E57">
            <v>0</v>
          </cell>
          <cell r="F57">
            <v>0</v>
          </cell>
          <cell r="G57">
            <v>0</v>
          </cell>
          <cell r="H57">
            <v>0</v>
          </cell>
          <cell r="I57">
            <v>0</v>
          </cell>
          <cell r="J57">
            <v>698.12900000000013</v>
          </cell>
          <cell r="K57">
            <v>981.75099999999998</v>
          </cell>
          <cell r="L57">
            <v>1227.1536666666666</v>
          </cell>
          <cell r="M57">
            <v>1493.4870000000001</v>
          </cell>
          <cell r="N57">
            <v>1881.6156666666666</v>
          </cell>
          <cell r="O57">
            <v>2980.3333333333335</v>
          </cell>
          <cell r="P57">
            <v>4396.666666666667</v>
          </cell>
          <cell r="Q57">
            <v>5854.333333333333</v>
          </cell>
        </row>
        <row r="58">
          <cell r="C58">
            <v>0</v>
          </cell>
          <cell r="D58">
            <v>0</v>
          </cell>
          <cell r="E58">
            <v>0</v>
          </cell>
          <cell r="F58">
            <v>0</v>
          </cell>
          <cell r="G58">
            <v>0</v>
          </cell>
          <cell r="H58">
            <v>0</v>
          </cell>
          <cell r="I58">
            <v>0</v>
          </cell>
          <cell r="J58">
            <v>0</v>
          </cell>
          <cell r="K58">
            <v>0</v>
          </cell>
          <cell r="L58">
            <v>75</v>
          </cell>
          <cell r="M58">
            <v>102</v>
          </cell>
          <cell r="N58">
            <v>191</v>
          </cell>
          <cell r="O58">
            <v>320</v>
          </cell>
          <cell r="P58">
            <v>443</v>
          </cell>
          <cell r="Q58">
            <v>703</v>
          </cell>
        </row>
        <row r="59">
          <cell r="C59">
            <v>0</v>
          </cell>
          <cell r="D59">
            <v>0</v>
          </cell>
          <cell r="E59">
            <v>0</v>
          </cell>
          <cell r="F59">
            <v>0</v>
          </cell>
          <cell r="G59">
            <v>0</v>
          </cell>
          <cell r="H59">
            <v>0</v>
          </cell>
          <cell r="I59">
            <v>0</v>
          </cell>
          <cell r="J59">
            <v>16.463000000000001</v>
          </cell>
          <cell r="K59">
            <v>10.608000000000001</v>
          </cell>
          <cell r="L59">
            <v>0</v>
          </cell>
          <cell r="M59">
            <v>16</v>
          </cell>
          <cell r="N59">
            <v>16</v>
          </cell>
          <cell r="O59">
            <v>19</v>
          </cell>
          <cell r="P59">
            <v>259</v>
          </cell>
          <cell r="Q59">
            <v>230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15</v>
          </cell>
          <cell r="Q61">
            <v>28</v>
          </cell>
        </row>
        <row r="63">
          <cell r="C63">
            <v>0</v>
          </cell>
          <cell r="D63">
            <v>0</v>
          </cell>
          <cell r="E63">
            <v>0</v>
          </cell>
          <cell r="F63">
            <v>0</v>
          </cell>
          <cell r="G63">
            <v>0</v>
          </cell>
          <cell r="H63">
            <v>0</v>
          </cell>
          <cell r="I63">
            <v>0</v>
          </cell>
          <cell r="J63">
            <v>-37.265000000000001</v>
          </cell>
          <cell r="K63">
            <v>-55.893999999999998</v>
          </cell>
          <cell r="L63">
            <v>0</v>
          </cell>
          <cell r="M63">
            <v>0</v>
          </cell>
          <cell r="N63">
            <v>0</v>
          </cell>
          <cell r="O63">
            <v>0</v>
          </cell>
          <cell r="P63">
            <v>0</v>
          </cell>
          <cell r="Q63">
            <v>0</v>
          </cell>
        </row>
        <row r="64">
          <cell r="F64">
            <v>0</v>
          </cell>
          <cell r="G64">
            <v>0</v>
          </cell>
          <cell r="M64">
            <v>87.466034843205591</v>
          </cell>
          <cell r="N64">
            <v>83.563260729118596</v>
          </cell>
          <cell r="O64">
            <v>169.71017066193156</v>
          </cell>
          <cell r="P64">
            <v>270.79789235980428</v>
          </cell>
          <cell r="Q64">
            <v>339.34082712753502</v>
          </cell>
        </row>
        <row r="65">
          <cell r="F65">
            <v>0</v>
          </cell>
          <cell r="G65">
            <v>0</v>
          </cell>
          <cell r="M65">
            <v>0</v>
          </cell>
          <cell r="N65">
            <v>0</v>
          </cell>
          <cell r="O65">
            <v>0</v>
          </cell>
          <cell r="P65">
            <v>0</v>
          </cell>
          <cell r="Q65">
            <v>0</v>
          </cell>
        </row>
        <row r="66">
          <cell r="F66">
            <v>0</v>
          </cell>
          <cell r="G66">
            <v>0</v>
          </cell>
          <cell r="M66">
            <v>0</v>
          </cell>
          <cell r="N66">
            <v>0</v>
          </cell>
          <cell r="O66">
            <v>0</v>
          </cell>
          <cell r="P66">
            <v>0</v>
          </cell>
          <cell r="Q66">
            <v>0</v>
          </cell>
        </row>
        <row r="67">
          <cell r="C67">
            <v>0</v>
          </cell>
          <cell r="D67">
            <v>0</v>
          </cell>
          <cell r="E67">
            <v>0</v>
          </cell>
          <cell r="F67">
            <v>0</v>
          </cell>
          <cell r="G67">
            <v>0</v>
          </cell>
          <cell r="H67">
            <v>0</v>
          </cell>
          <cell r="I67">
            <v>0</v>
          </cell>
          <cell r="J67">
            <v>-103.78647515522391</v>
          </cell>
          <cell r="K67">
            <v>-128.98364387067653</v>
          </cell>
          <cell r="L67">
            <v>-63.683684986914109</v>
          </cell>
          <cell r="M67">
            <v>-87.466034843205591</v>
          </cell>
          <cell r="N67">
            <v>-83.563260729118596</v>
          </cell>
          <cell r="O67">
            <v>-169.71017066193156</v>
          </cell>
          <cell r="P67">
            <v>-270.79789235980428</v>
          </cell>
          <cell r="Q67">
            <v>-339.34082712753502</v>
          </cell>
        </row>
        <row r="69">
          <cell r="F69">
            <v>0</v>
          </cell>
          <cell r="G69">
            <v>0</v>
          </cell>
          <cell r="M69">
            <v>1320.0209651567945</v>
          </cell>
          <cell r="N69">
            <v>1623.052405937548</v>
          </cell>
          <cell r="O69">
            <v>2509.623162671402</v>
          </cell>
          <cell r="P69">
            <v>3956.8687743068631</v>
          </cell>
          <cell r="Q69">
            <v>5069.9925062057982</v>
          </cell>
        </row>
        <row r="71">
          <cell r="F71" t="str">
            <v>P-11</v>
          </cell>
          <cell r="G71" t="str">
            <v>P-10</v>
          </cell>
          <cell r="M71" t="str">
            <v>P-4</v>
          </cell>
          <cell r="N71" t="str">
            <v>P-3</v>
          </cell>
          <cell r="O71" t="str">
            <v>P-2</v>
          </cell>
          <cell r="P71" t="str">
            <v>P-1</v>
          </cell>
          <cell r="Q71" t="str">
            <v>Present (P)</v>
          </cell>
        </row>
        <row r="72">
          <cell r="F72">
            <v>1987</v>
          </cell>
          <cell r="G72">
            <v>1988</v>
          </cell>
          <cell r="M72">
            <v>1994</v>
          </cell>
          <cell r="N72">
            <v>1995</v>
          </cell>
          <cell r="O72">
            <v>1996</v>
          </cell>
          <cell r="P72">
            <v>1997</v>
          </cell>
          <cell r="Q72">
            <v>1998</v>
          </cell>
        </row>
        <row r="73">
          <cell r="F73">
            <v>0</v>
          </cell>
          <cell r="G73">
            <v>0</v>
          </cell>
          <cell r="M73">
            <v>4649</v>
          </cell>
          <cell r="N73">
            <v>5937</v>
          </cell>
          <cell r="O73">
            <v>8671</v>
          </cell>
          <cell r="P73">
            <v>11358</v>
          </cell>
          <cell r="Q73">
            <v>14484</v>
          </cell>
        </row>
        <row r="74">
          <cell r="F74">
            <v>0</v>
          </cell>
          <cell r="G74">
            <v>0</v>
          </cell>
          <cell r="M74">
            <v>0</v>
          </cell>
          <cell r="N74">
            <v>0</v>
          </cell>
          <cell r="O74">
            <v>0</v>
          </cell>
          <cell r="P74">
            <v>0</v>
          </cell>
          <cell r="Q74">
            <v>0</v>
          </cell>
        </row>
        <row r="75">
          <cell r="F75">
            <v>0</v>
          </cell>
          <cell r="G75">
            <v>0</v>
          </cell>
          <cell r="M75">
            <v>0</v>
          </cell>
          <cell r="N75">
            <v>0</v>
          </cell>
          <cell r="O75">
            <v>0</v>
          </cell>
          <cell r="P75">
            <v>0</v>
          </cell>
          <cell r="Q75">
            <v>0</v>
          </cell>
        </row>
        <row r="76">
          <cell r="F76">
            <v>0</v>
          </cell>
          <cell r="G76">
            <v>0</v>
          </cell>
          <cell r="M76">
            <v>4649</v>
          </cell>
          <cell r="N76">
            <v>5937</v>
          </cell>
          <cell r="O76">
            <v>8671</v>
          </cell>
          <cell r="P76">
            <v>11358</v>
          </cell>
          <cell r="Q76">
            <v>14484</v>
          </cell>
        </row>
        <row r="77">
          <cell r="F77">
            <v>0</v>
          </cell>
          <cell r="G77">
            <v>0</v>
          </cell>
          <cell r="M77">
            <v>763</v>
          </cell>
          <cell r="N77">
            <v>877</v>
          </cell>
          <cell r="O77">
            <v>1188</v>
          </cell>
          <cell r="P77">
            <v>1085</v>
          </cell>
          <cell r="Q77">
            <v>1197</v>
          </cell>
        </row>
        <row r="78">
          <cell r="F78">
            <v>0</v>
          </cell>
          <cell r="G78">
            <v>0</v>
          </cell>
          <cell r="M78">
            <v>3886</v>
          </cell>
          <cell r="N78">
            <v>5060</v>
          </cell>
          <cell r="O78">
            <v>7483</v>
          </cell>
          <cell r="P78">
            <v>10273</v>
          </cell>
          <cell r="Q78">
            <v>13287</v>
          </cell>
        </row>
        <row r="79">
          <cell r="F79">
            <v>0</v>
          </cell>
          <cell r="G79">
            <v>0</v>
          </cell>
          <cell r="M79">
            <v>1550</v>
          </cell>
          <cell r="N79">
            <v>2162</v>
          </cell>
          <cell r="O79">
            <v>2973</v>
          </cell>
          <cell r="P79">
            <v>3218</v>
          </cell>
          <cell r="Q79">
            <v>3845</v>
          </cell>
        </row>
        <row r="80">
          <cell r="F80">
            <v>0</v>
          </cell>
          <cell r="G80">
            <v>0</v>
          </cell>
          <cell r="M80">
            <v>610</v>
          </cell>
          <cell r="N80">
            <v>860</v>
          </cell>
          <cell r="O80">
            <v>1432</v>
          </cell>
          <cell r="P80">
            <v>1925</v>
          </cell>
          <cell r="Q80">
            <v>2798</v>
          </cell>
        </row>
        <row r="81">
          <cell r="F81">
            <v>0</v>
          </cell>
          <cell r="G81">
            <v>0</v>
          </cell>
          <cell r="M81">
            <v>0</v>
          </cell>
          <cell r="N81">
            <v>0</v>
          </cell>
          <cell r="O81">
            <v>0</v>
          </cell>
          <cell r="P81">
            <v>0</v>
          </cell>
          <cell r="Q81">
            <v>0</v>
          </cell>
        </row>
        <row r="82">
          <cell r="F82">
            <v>0</v>
          </cell>
          <cell r="G82">
            <v>0</v>
          </cell>
          <cell r="M82">
            <v>2923</v>
          </cell>
          <cell r="N82">
            <v>3899</v>
          </cell>
          <cell r="O82">
            <v>5593</v>
          </cell>
          <cell r="P82">
            <v>6228</v>
          </cell>
          <cell r="Q82">
            <v>7840</v>
          </cell>
        </row>
        <row r="84">
          <cell r="C84">
            <v>0</v>
          </cell>
          <cell r="D84">
            <v>0</v>
          </cell>
          <cell r="E84">
            <v>0</v>
          </cell>
          <cell r="F84">
            <v>0</v>
          </cell>
          <cell r="G84">
            <v>0</v>
          </cell>
          <cell r="H84">
            <v>0</v>
          </cell>
          <cell r="I84">
            <v>0</v>
          </cell>
          <cell r="J84">
            <v>649.8420000000001</v>
          </cell>
          <cell r="K84">
            <v>995.97899999999981</v>
          </cell>
          <cell r="L84">
            <v>1326</v>
          </cell>
          <cell r="M84">
            <v>1726</v>
          </cell>
          <cell r="N84">
            <v>2038</v>
          </cell>
          <cell r="O84">
            <v>3078</v>
          </cell>
          <cell r="P84">
            <v>5130</v>
          </cell>
          <cell r="Q84">
            <v>6644</v>
          </cell>
        </row>
        <row r="85">
          <cell r="F85">
            <v>0</v>
          </cell>
          <cell r="G85">
            <v>0</v>
          </cell>
          <cell r="M85">
            <v>0</v>
          </cell>
          <cell r="N85">
            <v>0</v>
          </cell>
          <cell r="O85">
            <v>0</v>
          </cell>
          <cell r="P85">
            <v>0</v>
          </cell>
          <cell r="Q85">
            <v>0</v>
          </cell>
        </row>
        <row r="86">
          <cell r="F86">
            <v>0</v>
          </cell>
          <cell r="G86">
            <v>0</v>
          </cell>
          <cell r="M86">
            <v>0</v>
          </cell>
          <cell r="N86">
            <v>0</v>
          </cell>
          <cell r="O86">
            <v>0</v>
          </cell>
          <cell r="P86">
            <v>0</v>
          </cell>
          <cell r="Q86">
            <v>0</v>
          </cell>
        </row>
        <row r="87">
          <cell r="F87">
            <v>0</v>
          </cell>
          <cell r="G87">
            <v>0</v>
          </cell>
          <cell r="M87">
            <v>90</v>
          </cell>
          <cell r="N87">
            <v>46</v>
          </cell>
          <cell r="O87">
            <v>0</v>
          </cell>
          <cell r="P87">
            <v>0</v>
          </cell>
          <cell r="Q87">
            <v>0</v>
          </cell>
        </row>
        <row r="88">
          <cell r="F88">
            <v>0</v>
          </cell>
          <cell r="G88">
            <v>0</v>
          </cell>
          <cell r="M88">
            <v>102</v>
          </cell>
          <cell r="N88">
            <v>191</v>
          </cell>
          <cell r="O88">
            <v>320</v>
          </cell>
          <cell r="P88">
            <v>443</v>
          </cell>
          <cell r="Q88">
            <v>703</v>
          </cell>
        </row>
        <row r="89">
          <cell r="F89">
            <v>0</v>
          </cell>
          <cell r="G89">
            <v>0</v>
          </cell>
          <cell r="M89">
            <v>16</v>
          </cell>
          <cell r="N89">
            <v>16</v>
          </cell>
          <cell r="O89">
            <v>19</v>
          </cell>
          <cell r="P89">
            <v>259</v>
          </cell>
          <cell r="Q89">
            <v>230</v>
          </cell>
        </row>
        <row r="90">
          <cell r="C90">
            <v>0</v>
          </cell>
          <cell r="D90">
            <v>0</v>
          </cell>
          <cell r="E90">
            <v>0</v>
          </cell>
          <cell r="F90">
            <v>0</v>
          </cell>
          <cell r="G90">
            <v>0</v>
          </cell>
          <cell r="H90">
            <v>0</v>
          </cell>
          <cell r="I90">
            <v>0</v>
          </cell>
          <cell r="J90">
            <v>670.64400000000012</v>
          </cell>
          <cell r="K90">
            <v>1041.2649999999999</v>
          </cell>
          <cell r="L90">
            <v>1401</v>
          </cell>
          <cell r="M90">
            <v>1722</v>
          </cell>
          <cell r="N90">
            <v>2167</v>
          </cell>
          <cell r="O90">
            <v>3379</v>
          </cell>
          <cell r="P90">
            <v>5314</v>
          </cell>
          <cell r="Q90">
            <v>7117</v>
          </cell>
        </row>
        <row r="91">
          <cell r="F91">
            <v>0</v>
          </cell>
          <cell r="G91">
            <v>0</v>
          </cell>
          <cell r="M91">
            <v>576</v>
          </cell>
          <cell r="N91">
            <v>714</v>
          </cell>
          <cell r="O91">
            <v>1184</v>
          </cell>
          <cell r="P91">
            <v>1860</v>
          </cell>
          <cell r="Q91">
            <v>2627</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F93">
            <v>0</v>
          </cell>
          <cell r="G93">
            <v>0</v>
          </cell>
          <cell r="M93">
            <v>0</v>
          </cell>
          <cell r="N93">
            <v>0</v>
          </cell>
          <cell r="O93">
            <v>0</v>
          </cell>
          <cell r="P93">
            <v>15</v>
          </cell>
          <cell r="Q93">
            <v>28</v>
          </cell>
        </row>
        <row r="94">
          <cell r="C94">
            <v>0</v>
          </cell>
          <cell r="D94">
            <v>0</v>
          </cell>
          <cell r="E94">
            <v>0</v>
          </cell>
          <cell r="F94">
            <v>0</v>
          </cell>
          <cell r="G94">
            <v>0</v>
          </cell>
          <cell r="H94">
            <v>0</v>
          </cell>
          <cell r="I94">
            <v>0</v>
          </cell>
          <cell r="J94">
            <v>462.74300000000011</v>
          </cell>
          <cell r="K94">
            <v>708.06</v>
          </cell>
          <cell r="L94">
            <v>953</v>
          </cell>
          <cell r="M94">
            <v>1146</v>
          </cell>
          <cell r="N94">
            <v>1453</v>
          </cell>
          <cell r="O94">
            <v>2195</v>
          </cell>
          <cell r="P94">
            <v>3439</v>
          </cell>
          <cell r="Q94">
            <v>4462</v>
          </cell>
        </row>
        <row r="95">
          <cell r="N95">
            <v>-671.71600000000001</v>
          </cell>
          <cell r="O95">
            <v>-1055.02</v>
          </cell>
        </row>
        <row r="96">
          <cell r="F96">
            <v>0</v>
          </cell>
          <cell r="G96">
            <v>0</v>
          </cell>
          <cell r="M96">
            <v>0.50392232736482923</v>
          </cell>
          <cell r="N96">
            <v>0.62389433728938737</v>
          </cell>
          <cell r="O96">
            <v>0.92814978942205228</v>
          </cell>
          <cell r="P96">
            <v>1.3105945121951219</v>
          </cell>
          <cell r="Q96">
            <v>1.67</v>
          </cell>
        </row>
        <row r="97">
          <cell r="F97">
            <v>0</v>
          </cell>
          <cell r="G97">
            <v>0</v>
          </cell>
          <cell r="M97">
            <v>0.33449477351916374</v>
          </cell>
          <cell r="N97">
            <v>0.32948777111213662</v>
          </cell>
          <cell r="O97">
            <v>0.35039952648712636</v>
          </cell>
          <cell r="P97">
            <v>0.35001881821603309</v>
          </cell>
          <cell r="Q97">
            <v>0.36911620064633971</v>
          </cell>
        </row>
        <row r="98">
          <cell r="C98">
            <v>0</v>
          </cell>
          <cell r="D98">
            <v>0</v>
          </cell>
          <cell r="E98">
            <v>0</v>
          </cell>
          <cell r="F98">
            <v>0</v>
          </cell>
          <cell r="G98">
            <v>0</v>
          </cell>
          <cell r="H98">
            <v>0</v>
          </cell>
          <cell r="I98">
            <v>0</v>
          </cell>
          <cell r="J98">
            <v>0.31000202790153936</v>
          </cell>
          <cell r="K98">
            <v>0.32000019207406377</v>
          </cell>
          <cell r="L98">
            <v>0.31977159172019987</v>
          </cell>
          <cell r="M98">
            <v>0.33449477351916379</v>
          </cell>
          <cell r="N98">
            <v>0.32948777111213662</v>
          </cell>
          <cell r="O98">
            <v>0.35039952648712636</v>
          </cell>
          <cell r="P98">
            <v>0.35001881821603315</v>
          </cell>
          <cell r="Q98">
            <v>0.36911620064633976</v>
          </cell>
        </row>
        <row r="100">
          <cell r="C100">
            <v>0</v>
          </cell>
          <cell r="D100">
            <v>0</v>
          </cell>
          <cell r="E100">
            <v>0</v>
          </cell>
          <cell r="F100">
            <v>0</v>
          </cell>
          <cell r="G100">
            <v>0</v>
          </cell>
          <cell r="H100">
            <v>0</v>
          </cell>
          <cell r="I100">
            <v>0</v>
          </cell>
          <cell r="J100">
            <v>75.762</v>
          </cell>
          <cell r="K100">
            <v>112.321</v>
          </cell>
          <cell r="L100">
            <v>151</v>
          </cell>
          <cell r="M100">
            <v>237</v>
          </cell>
          <cell r="N100">
            <v>269</v>
          </cell>
          <cell r="O100">
            <v>480</v>
          </cell>
          <cell r="P100">
            <v>480</v>
          </cell>
          <cell r="Q100">
            <v>1024</v>
          </cell>
        </row>
        <row r="101">
          <cell r="C101">
            <v>0</v>
          </cell>
          <cell r="D101">
            <v>0</v>
          </cell>
          <cell r="E101">
            <v>0</v>
          </cell>
          <cell r="F101">
            <v>0</v>
          </cell>
          <cell r="G101">
            <v>0</v>
          </cell>
          <cell r="H101">
            <v>0</v>
          </cell>
          <cell r="I101">
            <v>0</v>
          </cell>
          <cell r="J101">
            <v>649.8420000000001</v>
          </cell>
          <cell r="K101">
            <v>995.97899999999981</v>
          </cell>
          <cell r="L101">
            <v>1326</v>
          </cell>
          <cell r="M101">
            <v>1726</v>
          </cell>
          <cell r="N101">
            <v>2038</v>
          </cell>
          <cell r="O101">
            <v>3078</v>
          </cell>
          <cell r="P101">
            <v>5130</v>
          </cell>
          <cell r="Q101">
            <v>6644</v>
          </cell>
        </row>
        <row r="102">
          <cell r="C102">
            <v>0</v>
          </cell>
          <cell r="D102">
            <v>0</v>
          </cell>
          <cell r="E102">
            <v>0</v>
          </cell>
          <cell r="F102">
            <v>0</v>
          </cell>
          <cell r="G102">
            <v>0</v>
          </cell>
          <cell r="H102">
            <v>0</v>
          </cell>
          <cell r="I102">
            <v>0</v>
          </cell>
          <cell r="J102">
            <v>725.60400000000004</v>
          </cell>
          <cell r="K102">
            <v>1108.2999999999997</v>
          </cell>
          <cell r="L102">
            <v>1477</v>
          </cell>
          <cell r="M102">
            <v>1963</v>
          </cell>
          <cell r="N102">
            <v>2307</v>
          </cell>
          <cell r="O102">
            <v>3558</v>
          </cell>
          <cell r="P102">
            <v>5610</v>
          </cell>
          <cell r="Q102">
            <v>7668</v>
          </cell>
        </row>
        <row r="103">
          <cell r="C103">
            <v>0</v>
          </cell>
          <cell r="D103">
            <v>0</v>
          </cell>
          <cell r="E103">
            <v>0</v>
          </cell>
          <cell r="F103">
            <v>0</v>
          </cell>
          <cell r="G103">
            <v>0</v>
          </cell>
          <cell r="H103">
            <v>0</v>
          </cell>
          <cell r="I103">
            <v>0</v>
          </cell>
          <cell r="J103">
            <v>286.827</v>
          </cell>
          <cell r="K103">
            <v>354.10299999999995</v>
          </cell>
          <cell r="L103">
            <v>482</v>
          </cell>
          <cell r="M103">
            <v>526</v>
          </cell>
          <cell r="N103">
            <v>608</v>
          </cell>
          <cell r="O103">
            <v>708</v>
          </cell>
          <cell r="P103">
            <v>605</v>
          </cell>
          <cell r="Q103">
            <v>173</v>
          </cell>
        </row>
        <row r="104">
          <cell r="C104">
            <v>0</v>
          </cell>
          <cell r="D104">
            <v>0</v>
          </cell>
          <cell r="E104">
            <v>0</v>
          </cell>
          <cell r="F104">
            <v>0</v>
          </cell>
          <cell r="G104">
            <v>0</v>
          </cell>
          <cell r="H104">
            <v>0</v>
          </cell>
          <cell r="I104">
            <v>0</v>
          </cell>
          <cell r="J104">
            <v>75.762</v>
          </cell>
          <cell r="K104">
            <v>112.321</v>
          </cell>
          <cell r="L104">
            <v>151</v>
          </cell>
          <cell r="M104">
            <v>237</v>
          </cell>
          <cell r="N104">
            <v>269</v>
          </cell>
          <cell r="O104">
            <v>480</v>
          </cell>
          <cell r="P104">
            <v>480</v>
          </cell>
          <cell r="Q104">
            <v>1024</v>
          </cell>
        </row>
        <row r="105">
          <cell r="F105">
            <v>0</v>
          </cell>
          <cell r="G105">
            <v>0</v>
          </cell>
          <cell r="M105">
            <v>0</v>
          </cell>
          <cell r="N105">
            <v>0</v>
          </cell>
          <cell r="O105">
            <v>0</v>
          </cell>
          <cell r="P105">
            <v>0</v>
          </cell>
          <cell r="Q105">
            <v>0</v>
          </cell>
        </row>
        <row r="108">
          <cell r="F108" t="str">
            <v xml:space="preserve">--  </v>
          </cell>
          <cell r="G108" t="str">
            <v xml:space="preserve">--  </v>
          </cell>
          <cell r="M108">
            <v>0.83587868358786832</v>
          </cell>
          <cell r="N108">
            <v>0.85228229745662798</v>
          </cell>
          <cell r="O108">
            <v>0.86299158113251062</v>
          </cell>
          <cell r="P108">
            <v>0.90447261841873572</v>
          </cell>
          <cell r="Q108">
            <v>0.91735708367854185</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v>0.39361582092531761</v>
          </cell>
          <cell r="K109">
            <v>0.40174355907167253</v>
          </cell>
          <cell r="L109">
            <v>0.39355182520650145</v>
          </cell>
          <cell r="M109">
            <v>0.42224134222413423</v>
          </cell>
          <cell r="N109">
            <v>0.38858009095502777</v>
          </cell>
          <cell r="O109">
            <v>0.41033329489101605</v>
          </cell>
          <cell r="P109">
            <v>0.49392498679344954</v>
          </cell>
          <cell r="Q109">
            <v>0.52941176470588236</v>
          </cell>
        </row>
        <row r="110">
          <cell r="F110" t="str">
            <v xml:space="preserve">--  </v>
          </cell>
          <cell r="G110" t="str">
            <v xml:space="preserve">--  </v>
          </cell>
          <cell r="M110">
            <v>0.37126263712626373</v>
          </cell>
          <cell r="N110">
            <v>0.34327101229577228</v>
          </cell>
          <cell r="O110">
            <v>0.35497635797485871</v>
          </cell>
          <cell r="P110">
            <v>0.45166402535657685</v>
          </cell>
          <cell r="Q110">
            <v>0.45871306268986467</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v>0.35251747826879432</v>
          </cell>
          <cell r="K111">
            <v>0.36102873610091613</v>
          </cell>
          <cell r="L111">
            <v>0.35331734612310151</v>
          </cell>
          <cell r="M111">
            <v>0.37126263712626373</v>
          </cell>
          <cell r="N111">
            <v>0.34327101229577228</v>
          </cell>
          <cell r="O111">
            <v>0.35497635797485871</v>
          </cell>
          <cell r="P111">
            <v>0.45166402535657685</v>
          </cell>
          <cell r="Q111">
            <v>0.45871306268986467</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v>0.33134150044307359</v>
          </cell>
          <cell r="K112">
            <v>0.3129617327313608</v>
          </cell>
          <cell r="L112">
            <v>0.29002664046889221</v>
          </cell>
          <cell r="M112">
            <v>0.2839365379988803</v>
          </cell>
          <cell r="N112">
            <v>0.27337921609188948</v>
          </cell>
          <cell r="O112">
            <v>0.28942718979026666</v>
          </cell>
          <cell r="P112">
            <v>0.34837724725364172</v>
          </cell>
          <cell r="Q112">
            <v>0.35004090763641249</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v>0.25102254924510375</v>
          </cell>
          <cell r="K113">
            <v>0.2566620449664247</v>
          </cell>
          <cell r="L113">
            <v>0.25393018918198773</v>
          </cell>
          <cell r="M113">
            <v>0.24650462465046247</v>
          </cell>
          <cell r="N113">
            <v>0.24473639885464038</v>
          </cell>
          <cell r="O113">
            <v>0.25314265943951103</v>
          </cell>
          <cell r="P113">
            <v>0.30278217996126078</v>
          </cell>
          <cell r="Q113">
            <v>0.30806407069870201</v>
          </cell>
        </row>
        <row r="114">
          <cell r="C114" t="str">
            <v xml:space="preserve">--  </v>
          </cell>
          <cell r="D114" t="str">
            <v xml:space="preserve">--  </v>
          </cell>
          <cell r="E114" t="str">
            <v xml:space="preserve">--  </v>
          </cell>
          <cell r="F114" t="str">
            <v xml:space="preserve">--  </v>
          </cell>
          <cell r="G114" t="str">
            <v xml:space="preserve">--  </v>
          </cell>
          <cell r="H114" t="str">
            <v xml:space="preserve">--  </v>
          </cell>
          <cell r="I114" t="str">
            <v xml:space="preserve">--  </v>
          </cell>
          <cell r="J114">
            <v>0.32310115046283239</v>
          </cell>
          <cell r="K114">
            <v>0.34224832123535331</v>
          </cell>
          <cell r="L114">
            <v>0.35278443911537438</v>
          </cell>
          <cell r="M114">
            <v>0.33340503334050331</v>
          </cell>
          <cell r="N114">
            <v>0.36415698164055921</v>
          </cell>
          <cell r="O114">
            <v>0.34286702802444929</v>
          </cell>
          <cell r="P114">
            <v>0.28332452896636734</v>
          </cell>
          <cell r="Q114">
            <v>0.26546534106600389</v>
          </cell>
        </row>
        <row r="115">
          <cell r="C115" t="str">
            <v xml:space="preserve">--  </v>
          </cell>
          <cell r="D115" t="str">
            <v xml:space="preserve">--  </v>
          </cell>
          <cell r="E115" t="str">
            <v xml:space="preserve">--  </v>
          </cell>
          <cell r="F115" t="str">
            <v xml:space="preserve">--  </v>
          </cell>
          <cell r="G115" t="str">
            <v xml:space="preserve">--  </v>
          </cell>
          <cell r="H115" t="str">
            <v xml:space="preserve">--  </v>
          </cell>
          <cell r="I115" t="str">
            <v xml:space="preserve">--  </v>
          </cell>
          <cell r="J115">
            <v>4.1098342656523269E-2</v>
          </cell>
          <cell r="K115">
            <v>4.0714822970756417E-2</v>
          </cell>
          <cell r="L115">
            <v>4.0234479083399943E-2</v>
          </cell>
          <cell r="M115">
            <v>5.0978705097870509E-2</v>
          </cell>
          <cell r="N115">
            <v>4.5309078659255514E-2</v>
          </cell>
          <cell r="O115">
            <v>5.5356936916157305E-2</v>
          </cell>
          <cell r="P115">
            <v>4.226096143687269E-2</v>
          </cell>
          <cell r="Q115">
            <v>7.0698702016017675E-2</v>
          </cell>
        </row>
        <row r="119">
          <cell r="F119" t="str">
            <v xml:space="preserve">--  </v>
          </cell>
          <cell r="G119" t="str">
            <v xml:space="preserve">--  </v>
          </cell>
          <cell r="M119">
            <v>0.2839365379988803</v>
          </cell>
          <cell r="N119">
            <v>0.27337921609188948</v>
          </cell>
          <cell r="O119">
            <v>0.28942718979026666</v>
          </cell>
          <cell r="P119">
            <v>0.34837724725364172</v>
          </cell>
          <cell r="Q119">
            <v>0.35004090763641249</v>
          </cell>
        </row>
        <row r="120">
          <cell r="F120" t="str">
            <v xml:space="preserve">--  </v>
          </cell>
          <cell r="G120" t="str">
            <v xml:space="preserve">--  </v>
          </cell>
          <cell r="M120">
            <v>2.3550996130135848</v>
          </cell>
          <cell r="N120">
            <v>2.1403747428329716</v>
          </cell>
          <cell r="O120">
            <v>2.6407742941489385</v>
          </cell>
          <cell r="P120">
            <v>3.6809060425884974</v>
          </cell>
          <cell r="Q120">
            <v>4.6200563950545899</v>
          </cell>
        </row>
        <row r="121">
          <cell r="F121" t="str">
            <v xml:space="preserve">--  </v>
          </cell>
          <cell r="G121" t="str">
            <v xml:space="preserve">--  </v>
          </cell>
          <cell r="M121">
            <v>0.66869883076157999</v>
          </cell>
          <cell r="N121">
            <v>0.58513396933855732</v>
          </cell>
          <cell r="O121">
            <v>0.76431188282590234</v>
          </cell>
          <cell r="P121">
            <v>1.2823439145162767</v>
          </cell>
          <cell r="Q121">
            <v>1.6172087338563206</v>
          </cell>
        </row>
        <row r="122">
          <cell r="F122" t="str">
            <v>NM</v>
          </cell>
          <cell r="G122" t="str">
            <v>NM</v>
          </cell>
          <cell r="M122">
            <v>0.56538777747845093</v>
          </cell>
          <cell r="N122">
            <v>1.7088849457823854</v>
          </cell>
          <cell r="O122">
            <v>1.2466970766485552</v>
          </cell>
          <cell r="P122">
            <v>2.8394438714170476</v>
          </cell>
          <cell r="Q122" t="str">
            <v>NM</v>
          </cell>
        </row>
        <row r="123">
          <cell r="F123" t="str">
            <v xml:space="preserve">--  </v>
          </cell>
          <cell r="G123" t="str">
            <v xml:space="preserve">--  </v>
          </cell>
          <cell r="M123">
            <v>2.1023184674312634E-2</v>
          </cell>
          <cell r="N123">
            <v>-8.3564861423022663E-2</v>
          </cell>
          <cell r="O123">
            <v>0.17917791348734502</v>
          </cell>
          <cell r="P123">
            <v>0.51803203169037437</v>
          </cell>
          <cell r="Q123">
            <v>0.33486481934004386</v>
          </cell>
        </row>
        <row r="124">
          <cell r="C124" t="str">
            <v xml:space="preserve">--  </v>
          </cell>
          <cell r="D124" t="str">
            <v xml:space="preserve">--  </v>
          </cell>
          <cell r="E124" t="str">
            <v xml:space="preserve">--  </v>
          </cell>
          <cell r="F124" t="str">
            <v xml:space="preserve">--  </v>
          </cell>
          <cell r="G124" t="str">
            <v xml:space="preserve">--  </v>
          </cell>
          <cell r="H124" t="str">
            <v xml:space="preserve">--  </v>
          </cell>
          <cell r="I124" t="str">
            <v xml:space="preserve">--  </v>
          </cell>
          <cell r="J124">
            <v>479.19094330720065</v>
          </cell>
          <cell r="K124">
            <v>705.96118637485597</v>
          </cell>
          <cell r="L124">
            <v>871.39801667225242</v>
          </cell>
          <cell r="M124">
            <v>1064.6526224859613</v>
          </cell>
          <cell r="N124">
            <v>1285.3545016708813</v>
          </cell>
          <cell r="O124">
            <v>2093.6521206047355</v>
          </cell>
          <cell r="P124">
            <v>3584.9915151018267</v>
          </cell>
          <cell r="Q124">
            <v>4691.3010948295905</v>
          </cell>
        </row>
        <row r="125">
          <cell r="F125" t="str">
            <v xml:space="preserve">--  </v>
          </cell>
          <cell r="G125" t="str">
            <v xml:space="preserve">--  </v>
          </cell>
          <cell r="M125">
            <v>193.25460581370885</v>
          </cell>
          <cell r="N125">
            <v>220.70187918492002</v>
          </cell>
          <cell r="O125">
            <v>808.29761893385421</v>
          </cell>
          <cell r="P125">
            <v>1491.3393944970912</v>
          </cell>
          <cell r="Q125">
            <v>1106.3095797277638</v>
          </cell>
        </row>
        <row r="128">
          <cell r="F128" t="str">
            <v xml:space="preserve">--  </v>
          </cell>
          <cell r="G128" t="str">
            <v xml:space="preserve">--  </v>
          </cell>
          <cell r="M128">
            <v>11.436654366543666</v>
          </cell>
          <cell r="N128">
            <v>11.244318181818182</v>
          </cell>
          <cell r="O128">
            <v>14.214754098360656</v>
          </cell>
          <cell r="P128">
            <v>14.03088326127239</v>
          </cell>
          <cell r="Q128">
            <v>11.872131147540983</v>
          </cell>
        </row>
        <row r="129">
          <cell r="F129" t="str">
            <v xml:space="preserve">--  </v>
          </cell>
          <cell r="G129" t="str">
            <v xml:space="preserve">--  </v>
          </cell>
          <cell r="M129">
            <v>40.602620087336241</v>
          </cell>
          <cell r="N129">
            <v>62.494736842105262</v>
          </cell>
          <cell r="O129">
            <v>197.06818181818181</v>
          </cell>
          <cell r="P129" t="str">
            <v xml:space="preserve">--  </v>
          </cell>
          <cell r="Q129" t="str">
            <v xml:space="preserve">--  </v>
          </cell>
        </row>
        <row r="130">
          <cell r="F130" t="str">
            <v xml:space="preserve">--  </v>
          </cell>
          <cell r="G130" t="str">
            <v xml:space="preserve">--  </v>
          </cell>
          <cell r="M130">
            <v>78.743224932249291</v>
          </cell>
          <cell r="N130">
            <v>-44.213583556747103</v>
          </cell>
          <cell r="O130">
            <v>-12.224039247751433</v>
          </cell>
          <cell r="P130">
            <v>-7.7586206896551717</v>
          </cell>
          <cell r="Q130">
            <v>-5.8671505999206053</v>
          </cell>
        </row>
        <row r="131">
          <cell r="F131" t="str">
            <v xml:space="preserve">--  </v>
          </cell>
          <cell r="G131" t="str">
            <v xml:space="preserve">--  </v>
          </cell>
          <cell r="M131">
            <v>5.1741791875347802</v>
          </cell>
          <cell r="N131">
            <v>5.5956644674835063</v>
          </cell>
          <cell r="O131">
            <v>6.8872120730738677</v>
          </cell>
          <cell r="P131">
            <v>8.1390182730204224</v>
          </cell>
          <cell r="Q131">
            <v>9.7535353535353533</v>
          </cell>
        </row>
        <row r="132">
          <cell r="F132" t="str">
            <v xml:space="preserve">--  </v>
          </cell>
          <cell r="G132" t="str">
            <v xml:space="preserve">--  </v>
          </cell>
          <cell r="M132">
            <v>2.4277089899820234</v>
          </cell>
          <cell r="N132">
            <v>2.325931709595066</v>
          </cell>
          <cell r="O132">
            <v>2.3196896736222583</v>
          </cell>
          <cell r="P132">
            <v>2.4433688286544051</v>
          </cell>
          <cell r="Q132">
            <v>2.5961641871303107</v>
          </cell>
        </row>
        <row r="133">
          <cell r="F133" t="str">
            <v xml:space="preserve">--  </v>
          </cell>
          <cell r="G133" t="str">
            <v xml:space="preserve">--  </v>
          </cell>
          <cell r="M133">
            <v>44.488038277511961</v>
          </cell>
          <cell r="N133">
            <v>22.878612716763005</v>
          </cell>
          <cell r="O133">
            <v>13.078431372549019</v>
          </cell>
          <cell r="P133">
            <v>20.084880636604776</v>
          </cell>
          <cell r="Q133">
            <v>62.565874730021598</v>
          </cell>
        </row>
        <row r="134">
          <cell r="F134" t="str">
            <v xml:space="preserve">--  </v>
          </cell>
          <cell r="G134" t="str">
            <v xml:space="preserve">--  </v>
          </cell>
          <cell r="M134" t="str">
            <v xml:space="preserve">--  </v>
          </cell>
          <cell r="N134" t="str">
            <v xml:space="preserve">--  </v>
          </cell>
          <cell r="O134" t="str">
            <v xml:space="preserve">--  </v>
          </cell>
          <cell r="P134" t="str">
            <v xml:space="preserve">--  </v>
          </cell>
          <cell r="Q134" t="str">
            <v xml:space="preserve">--  </v>
          </cell>
        </row>
        <row r="135">
          <cell r="F135" t="str">
            <v xml:space="preserve">--  </v>
          </cell>
          <cell r="G135" t="str">
            <v xml:space="preserve">--  </v>
          </cell>
          <cell r="M135">
            <v>2.3550996130135848</v>
          </cell>
          <cell r="N135">
            <v>2.1403747428329716</v>
          </cell>
          <cell r="O135">
            <v>2.6407742941489385</v>
          </cell>
          <cell r="P135">
            <v>3.6809060425884974</v>
          </cell>
          <cell r="Q135">
            <v>4.6200563950545899</v>
          </cell>
        </row>
        <row r="138">
          <cell r="F138" t="str">
            <v xml:space="preserve">  --</v>
          </cell>
          <cell r="G138" t="str">
            <v xml:space="preserve">  --</v>
          </cell>
          <cell r="M138">
            <v>0.23874233946176393</v>
          </cell>
          <cell r="N138">
            <v>0.27704882770488276</v>
          </cell>
          <cell r="O138">
            <v>0.46050193700522152</v>
          </cell>
          <cell r="P138">
            <v>0.30988351977857226</v>
          </cell>
          <cell r="Q138">
            <v>0.27522451135763337</v>
          </cell>
        </row>
        <row r="139">
          <cell r="F139" t="str">
            <v xml:space="preserve">  --</v>
          </cell>
          <cell r="G139" t="str">
            <v xml:space="preserve">  --</v>
          </cell>
          <cell r="M139" t="str">
            <v xml:space="preserve">--  </v>
          </cell>
          <cell r="N139" t="str">
            <v xml:space="preserve">--  </v>
          </cell>
          <cell r="O139" t="str">
            <v xml:space="preserve">--  </v>
          </cell>
          <cell r="P139" t="str">
            <v xml:space="preserve">--  </v>
          </cell>
          <cell r="Q139" t="str">
            <v xml:space="preserve">--  </v>
          </cell>
        </row>
        <row r="140">
          <cell r="F140" t="str">
            <v xml:space="preserve">  --</v>
          </cell>
          <cell r="G140" t="str">
            <v xml:space="preserve">  --</v>
          </cell>
          <cell r="M140">
            <v>0.23874233946176393</v>
          </cell>
          <cell r="N140">
            <v>0.27704882770488276</v>
          </cell>
          <cell r="O140">
            <v>0.46050193700522152</v>
          </cell>
          <cell r="P140">
            <v>0.30988351977857226</v>
          </cell>
          <cell r="Q140">
            <v>0.27522451135763337</v>
          </cell>
        </row>
        <row r="141">
          <cell r="C141" t="str">
            <v xml:space="preserve">  --</v>
          </cell>
          <cell r="D141" t="str">
            <v xml:space="preserve">  --</v>
          </cell>
          <cell r="E141" t="str">
            <v xml:space="preserve">  --</v>
          </cell>
          <cell r="F141" t="str">
            <v xml:space="preserve">  --</v>
          </cell>
          <cell r="G141" t="str">
            <v xml:space="preserve">  --</v>
          </cell>
          <cell r="H141" t="str">
            <v xml:space="preserve">  --</v>
          </cell>
          <cell r="I141" t="str">
            <v xml:space="preserve">  --</v>
          </cell>
          <cell r="J141" t="e">
            <v>#DIV/0!</v>
          </cell>
          <cell r="K141">
            <v>0.53013659850067918</v>
          </cell>
          <cell r="L141">
            <v>0.34593113577945384</v>
          </cell>
          <cell r="M141">
            <v>0.20251836306400839</v>
          </cell>
          <cell r="N141">
            <v>0.26788830715532286</v>
          </cell>
          <cell r="O141">
            <v>0.51066758430832759</v>
          </cell>
          <cell r="P141">
            <v>0.56674259681093397</v>
          </cell>
          <cell r="Q141">
            <v>0.29747019482407677</v>
          </cell>
        </row>
        <row r="142">
          <cell r="C142" t="str">
            <v xml:space="preserve">  --</v>
          </cell>
          <cell r="D142" t="str">
            <v xml:space="preserve">  --</v>
          </cell>
          <cell r="E142" t="str">
            <v xml:space="preserve">  --</v>
          </cell>
          <cell r="F142" t="str">
            <v xml:space="preserve">  --</v>
          </cell>
          <cell r="G142" t="str">
            <v xml:space="preserve">  --</v>
          </cell>
          <cell r="H142" t="str">
            <v xml:space="preserve">  --</v>
          </cell>
          <cell r="I142" t="str">
            <v xml:space="preserve">  --</v>
          </cell>
          <cell r="J142" t="e">
            <v>#DIV/0!</v>
          </cell>
          <cell r="K142">
            <v>0.52741715867056915</v>
          </cell>
          <cell r="L142">
            <v>0.33267165929802434</v>
          </cell>
          <cell r="M142">
            <v>0.32904536222071767</v>
          </cell>
          <cell r="N142">
            <v>0.17524197656647988</v>
          </cell>
          <cell r="O142">
            <v>0.5422626788036411</v>
          </cell>
          <cell r="P142">
            <v>0.57672849915682967</v>
          </cell>
          <cell r="Q142">
            <v>0.36684491978609624</v>
          </cell>
        </row>
        <row r="143">
          <cell r="C143" t="str">
            <v xml:space="preserve">  --</v>
          </cell>
          <cell r="D143" t="str">
            <v xml:space="preserve">  --</v>
          </cell>
          <cell r="E143" t="str">
            <v xml:space="preserve">  --</v>
          </cell>
          <cell r="F143" t="str">
            <v xml:space="preserve">  --</v>
          </cell>
          <cell r="G143" t="str">
            <v xml:space="preserve">  --</v>
          </cell>
          <cell r="H143" t="str">
            <v xml:space="preserve">  --</v>
          </cell>
          <cell r="I143" t="str">
            <v xml:space="preserve">  --</v>
          </cell>
          <cell r="J143" t="e">
            <v>#DIV/0!</v>
          </cell>
          <cell r="K143">
            <v>0.5326479359598173</v>
          </cell>
          <cell r="L143">
            <v>0.33135337190844411</v>
          </cell>
          <cell r="M143">
            <v>0.30165912518853694</v>
          </cell>
          <cell r="N143">
            <v>0.18076477404403243</v>
          </cell>
          <cell r="O143">
            <v>0.51030421982335628</v>
          </cell>
          <cell r="P143">
            <v>0.66666666666666663</v>
          </cell>
          <cell r="Q143">
            <v>0.29512670565302146</v>
          </cell>
        </row>
        <row r="144">
          <cell r="C144" t="str">
            <v xml:space="preserve">  --</v>
          </cell>
          <cell r="D144" t="str">
            <v xml:space="preserve">  --</v>
          </cell>
          <cell r="E144" t="str">
            <v xml:space="preserve">  --</v>
          </cell>
          <cell r="F144" t="str">
            <v xml:space="preserve">  --</v>
          </cell>
          <cell r="G144" t="str">
            <v xml:space="preserve">  --</v>
          </cell>
          <cell r="H144" t="str">
            <v xml:space="preserve">  --</v>
          </cell>
          <cell r="I144" t="str">
            <v xml:space="preserve">  --</v>
          </cell>
          <cell r="J144" t="e">
            <v>#DIV/0!</v>
          </cell>
          <cell r="K144">
            <v>0.41350285976658885</v>
          </cell>
          <cell r="L144">
            <v>0.26071467520172376</v>
          </cell>
          <cell r="M144">
            <v>0.21273070215469533</v>
          </cell>
          <cell r="N144">
            <v>0.22956562719801862</v>
          </cell>
          <cell r="O144">
            <v>0.54623667941376852</v>
          </cell>
          <cell r="P144">
            <v>0.57667845641611015</v>
          </cell>
          <cell r="Q144">
            <v>0.28131429051344392</v>
          </cell>
        </row>
        <row r="145">
          <cell r="F145" t="str">
            <v>--</v>
          </cell>
          <cell r="G145" t="str">
            <v>--</v>
          </cell>
          <cell r="M145" t="str">
            <v>--</v>
          </cell>
          <cell r="N145">
            <v>0.4098360655737705</v>
          </cell>
          <cell r="O145">
            <v>0.66511627906976745</v>
          </cell>
          <cell r="P145">
            <v>0.34427374301675978</v>
          </cell>
          <cell r="Q145">
            <v>0.45350649350649352</v>
          </cell>
        </row>
        <row r="146">
          <cell r="F146" t="str">
            <v>--</v>
          </cell>
          <cell r="G146" t="str">
            <v>--</v>
          </cell>
          <cell r="M146">
            <v>0.56953642384105962</v>
          </cell>
          <cell r="N146">
            <v>0.13502109704641349</v>
          </cell>
          <cell r="O146">
            <v>0.78438661710037172</v>
          </cell>
          <cell r="P146">
            <v>0</v>
          </cell>
          <cell r="Q146">
            <v>1.1333333333333333</v>
          </cell>
        </row>
        <row r="147">
          <cell r="F147" t="str">
            <v>--</v>
          </cell>
          <cell r="G147" t="str">
            <v>--</v>
          </cell>
          <cell r="M147" t="str">
            <v>--</v>
          </cell>
          <cell r="N147">
            <v>0</v>
          </cell>
          <cell r="O147">
            <v>0</v>
          </cell>
          <cell r="P147">
            <v>0</v>
          </cell>
          <cell r="Q147">
            <v>0</v>
          </cell>
        </row>
        <row r="148">
          <cell r="F148" t="str">
            <v>--</v>
          </cell>
          <cell r="G148" t="str">
            <v>--</v>
          </cell>
          <cell r="M148" t="str">
            <v>--</v>
          </cell>
          <cell r="N148">
            <v>0</v>
          </cell>
          <cell r="O148">
            <v>0</v>
          </cell>
          <cell r="P148">
            <v>0</v>
          </cell>
          <cell r="Q148">
            <v>0</v>
          </cell>
        </row>
        <row r="149">
          <cell r="M149" t="str">
            <v>--</v>
          </cell>
          <cell r="N149">
            <v>0</v>
          </cell>
          <cell r="O149">
            <v>0</v>
          </cell>
          <cell r="P149">
            <v>0</v>
          </cell>
          <cell r="Q149">
            <v>0</v>
          </cell>
        </row>
        <row r="150">
          <cell r="F150" t="str">
            <v xml:space="preserve">  --</v>
          </cell>
          <cell r="G150" t="str">
            <v xml:space="preserve">  --</v>
          </cell>
          <cell r="M150">
            <v>0.171574465270315</v>
          </cell>
          <cell r="N150">
            <v>0.23807639274872003</v>
          </cell>
          <cell r="O150">
            <v>0.48767144362065107</v>
          </cell>
          <cell r="P150">
            <v>0.41205064864714708</v>
          </cell>
          <cell r="Q150">
            <v>0.27423088107007848</v>
          </cell>
        </row>
        <row r="151">
          <cell r="F151" t="str">
            <v>--</v>
          </cell>
          <cell r="G151" t="str">
            <v>--</v>
          </cell>
          <cell r="M151">
            <v>3.0141843971631204E-2</v>
          </cell>
          <cell r="N151">
            <v>1.2048192771084338E-2</v>
          </cell>
          <cell r="O151">
            <v>1.5306122448979591E-2</v>
          </cell>
          <cell r="P151">
            <v>9.8827470686767172E-2</v>
          </cell>
          <cell r="Q151">
            <v>-8.2317073170731711E-2</v>
          </cell>
        </row>
        <row r="152">
          <cell r="F152" t="str">
            <v>--</v>
          </cell>
          <cell r="G152" t="str">
            <v>--</v>
          </cell>
          <cell r="M152">
            <v>0.57816593886462886</v>
          </cell>
          <cell r="N152">
            <v>0.31433314886552299</v>
          </cell>
          <cell r="O152">
            <v>0.46105263157894738</v>
          </cell>
          <cell r="P152">
            <v>0.29193083573487033</v>
          </cell>
          <cell r="Q152">
            <v>0.553312513941557</v>
          </cell>
        </row>
        <row r="153">
          <cell r="F153" t="str">
            <v>--</v>
          </cell>
          <cell r="G153" t="str">
            <v>--</v>
          </cell>
          <cell r="M153" t="str">
            <v>--</v>
          </cell>
          <cell r="N153">
            <v>0</v>
          </cell>
          <cell r="O153">
            <v>0</v>
          </cell>
          <cell r="P153">
            <v>0</v>
          </cell>
          <cell r="Q153">
            <v>0</v>
          </cell>
        </row>
        <row r="154">
          <cell r="F154" t="str">
            <v>--</v>
          </cell>
          <cell r="G154" t="str">
            <v>--</v>
          </cell>
          <cell r="M154" t="str">
            <v>--</v>
          </cell>
          <cell r="N154">
            <v>0.2817204301075269</v>
          </cell>
          <cell r="O154">
            <v>0.11241610738255034</v>
          </cell>
          <cell r="P154">
            <v>0.10482654600301659</v>
          </cell>
          <cell r="Q154">
            <v>2.7303754266211604E-2</v>
          </cell>
        </row>
        <row r="155">
          <cell r="F155" t="str">
            <v>--</v>
          </cell>
          <cell r="G155" t="str">
            <v>--</v>
          </cell>
          <cell r="M155" t="str">
            <v>--</v>
          </cell>
          <cell r="N155">
            <v>2.2892561983471076</v>
          </cell>
          <cell r="O155">
            <v>1.3316582914572865</v>
          </cell>
          <cell r="P155">
            <v>-0.78125</v>
          </cell>
          <cell r="Q155">
            <v>0.28078817733990147</v>
          </cell>
        </row>
        <row r="159">
          <cell r="M159" t="str">
            <v>Last 4 year CAGR</v>
          </cell>
          <cell r="P159" t="str">
            <v>5 year CAGR</v>
          </cell>
        </row>
        <row r="160">
          <cell r="M160" t="str">
            <v>Sales</v>
          </cell>
          <cell r="N160">
            <v>0.32856327275532071</v>
          </cell>
          <cell r="P160" t="str">
            <v>Sales</v>
          </cell>
          <cell r="Q160">
            <v>0.28163260402248325</v>
          </cell>
        </row>
        <row r="161">
          <cell r="M161" t="str">
            <v>EBIT</v>
          </cell>
          <cell r="N161">
            <v>0.4007067067211576</v>
          </cell>
          <cell r="P161" t="str">
            <v>EBITDA</v>
          </cell>
          <cell r="Q161">
            <v>-1</v>
          </cell>
        </row>
        <row r="162">
          <cell r="M162" t="str">
            <v>EBITDA</v>
          </cell>
          <cell r="N162">
            <v>0.40585474532550547</v>
          </cell>
          <cell r="P162" t="str">
            <v>NOPAT</v>
          </cell>
          <cell r="Q162">
            <v>0.26574116645566637</v>
          </cell>
        </row>
        <row r="163">
          <cell r="M163" t="str">
            <v>NOPAT</v>
          </cell>
          <cell r="N163">
            <v>0.39993097256135401</v>
          </cell>
        </row>
      </sheetData>
      <sheetData sheetId="9" refreshError="1">
        <row r="1">
          <cell r="F1" t="str">
            <v>Discounted Cash Flow</v>
          </cell>
        </row>
        <row r="2">
          <cell r="D2">
            <v>1</v>
          </cell>
          <cell r="E2">
            <v>2</v>
          </cell>
          <cell r="F2">
            <v>3</v>
          </cell>
          <cell r="G2">
            <v>4</v>
          </cell>
          <cell r="H2">
            <v>5</v>
          </cell>
          <cell r="I2">
            <v>6</v>
          </cell>
          <cell r="J2">
            <v>7</v>
          </cell>
          <cell r="K2">
            <v>8</v>
          </cell>
          <cell r="L2">
            <v>9</v>
          </cell>
          <cell r="M2">
            <v>10</v>
          </cell>
          <cell r="N2">
            <v>11</v>
          </cell>
          <cell r="O2">
            <v>12</v>
          </cell>
          <cell r="Q2">
            <v>14</v>
          </cell>
          <cell r="R2">
            <v>15</v>
          </cell>
          <cell r="S2">
            <v>16</v>
          </cell>
          <cell r="T2">
            <v>17</v>
          </cell>
          <cell r="W2">
            <v>20</v>
          </cell>
          <cell r="X2">
            <v>21</v>
          </cell>
          <cell r="AA2">
            <v>24</v>
          </cell>
          <cell r="AB2">
            <v>25</v>
          </cell>
        </row>
        <row r="3">
          <cell r="C3" t="str">
            <v>Present(P)</v>
          </cell>
          <cell r="D3" t="str">
            <v>Estimated Year 1</v>
          </cell>
          <cell r="E3" t="str">
            <v>EY 2</v>
          </cell>
          <cell r="F3" t="str">
            <v>EY 3</v>
          </cell>
          <cell r="G3" t="str">
            <v>EY 4</v>
          </cell>
          <cell r="H3" t="str">
            <v>EY 5</v>
          </cell>
          <cell r="I3" t="str">
            <v>EY 6</v>
          </cell>
          <cell r="J3" t="str">
            <v>EY 7</v>
          </cell>
          <cell r="K3" t="str">
            <v>EY 8</v>
          </cell>
          <cell r="L3" t="str">
            <v>EY 9</v>
          </cell>
          <cell r="M3" t="str">
            <v>EY 10</v>
          </cell>
          <cell r="N3" t="str">
            <v>EY 11</v>
          </cell>
          <cell r="O3" t="str">
            <v>EY 12</v>
          </cell>
          <cell r="Q3" t="str">
            <v>EY 14</v>
          </cell>
          <cell r="R3" t="str">
            <v>EY 15</v>
          </cell>
          <cell r="S3" t="str">
            <v>EY 16</v>
          </cell>
          <cell r="T3" t="str">
            <v>EY 17</v>
          </cell>
          <cell r="W3" t="str">
            <v>EY 20</v>
          </cell>
          <cell r="X3" t="str">
            <v>EY 21</v>
          </cell>
          <cell r="AA3" t="str">
            <v>EY 24</v>
          </cell>
          <cell r="AB3" t="str">
            <v>EY 25</v>
          </cell>
          <cell r="AC3" t="str">
            <v>EY 26</v>
          </cell>
        </row>
        <row r="4">
          <cell r="C4">
            <v>1998</v>
          </cell>
          <cell r="D4" t="str">
            <v>1999E</v>
          </cell>
          <cell r="E4" t="str">
            <v>2000E</v>
          </cell>
          <cell r="F4" t="str">
            <v>2001E</v>
          </cell>
          <cell r="G4" t="str">
            <v>2002E</v>
          </cell>
          <cell r="H4" t="str">
            <v>2003E</v>
          </cell>
          <cell r="I4" t="str">
            <v>2004E</v>
          </cell>
          <cell r="J4" t="str">
            <v>2005E</v>
          </cell>
          <cell r="K4" t="str">
            <v>2006E</v>
          </cell>
          <cell r="L4" t="str">
            <v>2007E</v>
          </cell>
          <cell r="M4" t="str">
            <v>2008E</v>
          </cell>
          <cell r="N4" t="str">
            <v>2009E</v>
          </cell>
          <cell r="O4" t="str">
            <v>2010E</v>
          </cell>
          <cell r="Q4" t="str">
            <v>2012E</v>
          </cell>
          <cell r="R4" t="str">
            <v>2013E</v>
          </cell>
          <cell r="S4" t="str">
            <v>2014E</v>
          </cell>
          <cell r="T4" t="str">
            <v>2015E</v>
          </cell>
          <cell r="W4" t="str">
            <v>2018E</v>
          </cell>
          <cell r="X4" t="str">
            <v>2019E</v>
          </cell>
          <cell r="AA4" t="str">
            <v>2022E</v>
          </cell>
          <cell r="AB4" t="str">
            <v>2023E</v>
          </cell>
          <cell r="AC4" t="str">
            <v>2023E</v>
          </cell>
        </row>
        <row r="6">
          <cell r="C6">
            <v>14484</v>
          </cell>
          <cell r="D6">
            <v>17500</v>
          </cell>
          <cell r="E6">
            <v>21612.5</v>
          </cell>
          <cell r="F6">
            <v>26691.437500000004</v>
          </cell>
          <cell r="G6">
            <v>32296.639375000002</v>
          </cell>
          <cell r="H6">
            <v>39078.933643750002</v>
          </cell>
          <cell r="I6">
            <v>46503.931036062502</v>
          </cell>
          <cell r="J6">
            <v>55339.677932914376</v>
          </cell>
          <cell r="K6">
            <v>65854.216740168107</v>
          </cell>
          <cell r="L6">
            <v>78366.517920800048</v>
          </cell>
          <cell r="M6">
            <v>93256.156325752047</v>
          </cell>
          <cell r="N6">
            <v>108177.14133787237</v>
          </cell>
          <cell r="O6">
            <v>125485.48395193194</v>
          </cell>
          <cell r="P6">
            <v>145563.16138424104</v>
          </cell>
          <cell r="Q6">
            <v>168853.2672057196</v>
          </cell>
          <cell r="R6">
            <v>195869.78995863473</v>
          </cell>
          <cell r="S6">
            <v>223291.56055284361</v>
          </cell>
          <cell r="T6">
            <v>254552.37903024175</v>
          </cell>
          <cell r="U6">
            <v>290189.71209447563</v>
          </cell>
          <cell r="V6">
            <v>330816.27178770228</v>
          </cell>
          <cell r="W6">
            <v>377130.54983798065</v>
          </cell>
          <cell r="X6">
            <v>429928.826815298</v>
          </cell>
          <cell r="Y6">
            <v>490118.86256943975</v>
          </cell>
          <cell r="Z6">
            <v>558735.50332916132</v>
          </cell>
          <cell r="AA6">
            <v>636958.473795244</v>
          </cell>
          <cell r="AB6">
            <v>726132.6601265783</v>
          </cell>
          <cell r="AC6">
            <v>827791.23254429933</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14484</v>
          </cell>
          <cell r="D9">
            <v>17500</v>
          </cell>
          <cell r="E9">
            <v>21612.5</v>
          </cell>
          <cell r="F9">
            <v>26691.437500000004</v>
          </cell>
          <cell r="G9">
            <v>32296.639375000002</v>
          </cell>
          <cell r="H9">
            <v>39078.933643750002</v>
          </cell>
          <cell r="I9">
            <v>46503.931036062502</v>
          </cell>
          <cell r="J9">
            <v>55339.677932914376</v>
          </cell>
          <cell r="K9">
            <v>65854.216740168107</v>
          </cell>
          <cell r="L9">
            <v>78366.517920800048</v>
          </cell>
          <cell r="M9">
            <v>93256.156325752047</v>
          </cell>
          <cell r="N9">
            <v>108177.14133787237</v>
          </cell>
          <cell r="O9">
            <v>125485.48395193194</v>
          </cell>
          <cell r="P9">
            <v>145563.16138424104</v>
          </cell>
          <cell r="Q9">
            <v>168853.2672057196</v>
          </cell>
          <cell r="R9">
            <v>195869.78995863473</v>
          </cell>
          <cell r="S9">
            <v>223291.56055284361</v>
          </cell>
          <cell r="T9">
            <v>254552.37903024175</v>
          </cell>
          <cell r="U9">
            <v>290189.71209447563</v>
          </cell>
          <cell r="V9">
            <v>330816.27178770228</v>
          </cell>
          <cell r="W9">
            <v>377130.54983798065</v>
          </cell>
          <cell r="X9">
            <v>429928.826815298</v>
          </cell>
          <cell r="Y9">
            <v>490118.86256943975</v>
          </cell>
          <cell r="Z9">
            <v>558735.50332916132</v>
          </cell>
          <cell r="AA9">
            <v>636958.473795244</v>
          </cell>
          <cell r="AB9">
            <v>726132.6601265783</v>
          </cell>
          <cell r="AC9">
            <v>827791.23254429933</v>
          </cell>
        </row>
        <row r="10">
          <cell r="C10">
            <v>0.27522451135763337</v>
          </cell>
          <cell r="D10">
            <v>0.20822977078155205</v>
          </cell>
          <cell r="E10">
            <v>0.23499999999999999</v>
          </cell>
          <cell r="F10">
            <v>0.23500000000000018</v>
          </cell>
          <cell r="G10">
            <v>0.20999999999999994</v>
          </cell>
          <cell r="H10">
            <v>0.21</v>
          </cell>
          <cell r="I10">
            <v>0.18999999999999997</v>
          </cell>
          <cell r="J10">
            <v>0.18999999999999995</v>
          </cell>
          <cell r="K10">
            <v>0.19</v>
          </cell>
          <cell r="L10">
            <v>0.19</v>
          </cell>
          <cell r="M10">
            <v>0.18999999999999986</v>
          </cell>
          <cell r="N10">
            <v>0.15999999999999992</v>
          </cell>
          <cell r="O10">
            <v>0.15999999999999992</v>
          </cell>
          <cell r="Q10">
            <v>0.15999999999999995</v>
          </cell>
          <cell r="R10">
            <v>0.15999999999999998</v>
          </cell>
          <cell r="S10">
            <v>0.1400000000000001</v>
          </cell>
          <cell r="T10">
            <v>0.14000000000000012</v>
          </cell>
          <cell r="W10">
            <v>0.14000000000000015</v>
          </cell>
          <cell r="X10">
            <v>0.14000000000000015</v>
          </cell>
          <cell r="AA10">
            <v>0.14000000000000018</v>
          </cell>
          <cell r="AB10">
            <v>0.14000000000000021</v>
          </cell>
          <cell r="AC10">
            <v>0.1400000000000001</v>
          </cell>
        </row>
        <row r="12">
          <cell r="C12">
            <v>5069.9925062057982</v>
          </cell>
          <cell r="D12">
            <v>6318.6657333333351</v>
          </cell>
          <cell r="E12">
            <v>7475.881768166666</v>
          </cell>
          <cell r="F12">
            <v>8875.9970636858325</v>
          </cell>
          <cell r="G12">
            <v>10754.780911875001</v>
          </cell>
          <cell r="H12">
            <v>13013.284903368751</v>
          </cell>
          <cell r="I12">
            <v>15485.809035008813</v>
          </cell>
          <cell r="J12">
            <v>18428.112751660487</v>
          </cell>
          <cell r="K12">
            <v>21929.454174475981</v>
          </cell>
          <cell r="L12">
            <v>26096.050467626417</v>
          </cell>
          <cell r="M12">
            <v>31054.300056475433</v>
          </cell>
          <cell r="N12">
            <v>36022.988065511498</v>
          </cell>
          <cell r="O12">
            <v>41786.666155993335</v>
          </cell>
          <cell r="P12">
            <v>48472.532740952272</v>
          </cell>
          <cell r="Q12">
            <v>56228.13797950463</v>
          </cell>
          <cell r="R12">
            <v>65224.640056225369</v>
          </cell>
          <cell r="S12">
            <v>74356.089664096929</v>
          </cell>
          <cell r="T12">
            <v>84765.942217070507</v>
          </cell>
          <cell r="U12">
            <v>96633.174127460385</v>
          </cell>
          <cell r="V12">
            <v>110161.81850530487</v>
          </cell>
          <cell r="W12">
            <v>125584.47309604756</v>
          </cell>
          <cell r="X12">
            <v>143166.29932949424</v>
          </cell>
          <cell r="Y12">
            <v>163209.58123562345</v>
          </cell>
          <cell r="Z12">
            <v>186058.92260861074</v>
          </cell>
          <cell r="AA12">
            <v>212107.17177381626</v>
          </cell>
          <cell r="AB12">
            <v>241802.17582215057</v>
          </cell>
          <cell r="AC12">
            <v>275654.48043725168</v>
          </cell>
        </row>
        <row r="13">
          <cell r="C13">
            <v>0.28131429051344392</v>
          </cell>
          <cell r="D13">
            <v>0.2462869965979495</v>
          </cell>
          <cell r="E13">
            <v>0.18314246767772216</v>
          </cell>
          <cell r="F13">
            <v>0.1872843015630678</v>
          </cell>
          <cell r="G13">
            <v>0.21167017459658641</v>
          </cell>
          <cell r="H13">
            <v>0.20999999999999996</v>
          </cell>
          <cell r="I13">
            <v>0.18999999999999997</v>
          </cell>
          <cell r="J13">
            <v>0.18999999999999992</v>
          </cell>
          <cell r="K13">
            <v>0.19000000000000011</v>
          </cell>
          <cell r="L13">
            <v>0.19</v>
          </cell>
          <cell r="M13">
            <v>0.18999999999999986</v>
          </cell>
          <cell r="N13">
            <v>0.15999999999999984</v>
          </cell>
          <cell r="O13">
            <v>0.15999999999999992</v>
          </cell>
          <cell r="Q13">
            <v>0.15999999999999989</v>
          </cell>
          <cell r="R13">
            <v>0.15999999999999998</v>
          </cell>
          <cell r="S13">
            <v>0.14000000000000012</v>
          </cell>
          <cell r="T13">
            <v>0.1400000000000001</v>
          </cell>
          <cell r="W13">
            <v>0.1400000000000001</v>
          </cell>
          <cell r="X13">
            <v>0.14000000000000021</v>
          </cell>
          <cell r="AA13">
            <v>0.14000000000000007</v>
          </cell>
          <cell r="AB13">
            <v>0.14000000000000021</v>
          </cell>
          <cell r="AC13">
            <v>0.14000000000000012</v>
          </cell>
        </row>
        <row r="15">
          <cell r="C15">
            <v>7668</v>
          </cell>
          <cell r="D15">
            <v>10062.500000000002</v>
          </cell>
          <cell r="E15">
            <v>11772.999999999998</v>
          </cell>
          <cell r="F15">
            <v>13773.999999999998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-1439.9599999999998</v>
          </cell>
          <cell r="D18">
            <v>-311.36000000000013</v>
          </cell>
          <cell r="E18">
            <v>-429.5454545454545</v>
          </cell>
          <cell r="F18">
            <v>-519.02746212121247</v>
          </cell>
          <cell r="G18">
            <v>-165.23270833333299</v>
          </cell>
          <cell r="H18">
            <v>-968.89918125000077</v>
          </cell>
          <cell r="I18">
            <v>-617.81933189166648</v>
          </cell>
          <cell r="J18">
            <v>-1178.0995862469163</v>
          </cell>
          <cell r="K18">
            <v>-1401.9385076338303</v>
          </cell>
          <cell r="L18">
            <v>-1668.3068240842586</v>
          </cell>
          <cell r="M18">
            <v>-1985.2851206602663</v>
          </cell>
          <cell r="N18">
            <v>-1087.9884904671071</v>
          </cell>
          <cell r="O18">
            <v>-2163.5428267574462</v>
          </cell>
          <cell r="Q18">
            <v>-2911.2632276848199</v>
          </cell>
          <cell r="R18">
            <v>-3377.0653441143913</v>
          </cell>
          <cell r="S18">
            <v>-1785.8716143287311</v>
          </cell>
          <cell r="T18">
            <v>-3677.7433502821332</v>
          </cell>
          <cell r="W18">
            <v>-5448.7385941503962</v>
          </cell>
          <cell r="X18">
            <v>-6211.5619973314533</v>
          </cell>
          <cell r="AA18">
            <v>-9202.7024077744281</v>
          </cell>
          <cell r="AB18">
            <v>-10491.080744862862</v>
          </cell>
        </row>
        <row r="19">
          <cell r="C19">
            <v>975.40054330008002</v>
          </cell>
          <cell r="D19">
            <v>347.58825583323483</v>
          </cell>
          <cell r="E19">
            <v>622.52545538638253</v>
          </cell>
          <cell r="F19">
            <v>642.47306548298025</v>
          </cell>
          <cell r="G19">
            <v>1244.671824259769</v>
          </cell>
          <cell r="H19">
            <v>2187.8368608870969</v>
          </cell>
          <cell r="I19">
            <v>1926.3708217534004</v>
          </cell>
          <cell r="J19">
            <v>2761.17090526621</v>
          </cell>
          <cell r="K19">
            <v>3285.793377266793</v>
          </cell>
          <cell r="L19">
            <v>3910.0941189474797</v>
          </cell>
          <cell r="M19">
            <v>4653.0120015475004</v>
          </cell>
          <cell r="N19">
            <v>3638.4030687698723</v>
          </cell>
          <cell r="O19">
            <v>5244.9523072907759</v>
          </cell>
          <cell r="P19">
            <v>6084.144676457312</v>
          </cell>
          <cell r="Q19">
            <v>7057.6078246904726</v>
          </cell>
          <cell r="R19">
            <v>8186.8250766409474</v>
          </cell>
          <cell r="S19">
            <v>5367.7096589454522</v>
          </cell>
          <cell r="T19">
            <v>9061.1068050429385</v>
          </cell>
          <cell r="U19">
            <v>10329.661757748952</v>
          </cell>
          <cell r="V19">
            <v>11775.814403833807</v>
          </cell>
          <cell r="W19">
            <v>13424.428420370547</v>
          </cell>
          <cell r="X19">
            <v>15303.848399222421</v>
          </cell>
          <cell r="Y19">
            <v>17446.387175113559</v>
          </cell>
          <cell r="Z19">
            <v>19888.881379629427</v>
          </cell>
          <cell r="AA19">
            <v>22673.324772777589</v>
          </cell>
          <cell r="AB19">
            <v>25847.59024096647</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C21">
            <v>-464.55945669991979</v>
          </cell>
          <cell r="D21">
            <v>549.99925583323602</v>
          </cell>
          <cell r="E21">
            <v>520.00010084092901</v>
          </cell>
          <cell r="F21">
            <v>520.00000186176749</v>
          </cell>
          <cell r="G21">
            <v>1079.439115926436</v>
          </cell>
          <cell r="H21">
            <v>1218.9376796370962</v>
          </cell>
          <cell r="I21">
            <v>1308.5514898617339</v>
          </cell>
          <cell r="J21">
            <v>1583.0713190192928</v>
          </cell>
          <cell r="K21">
            <v>1883.8548696329635</v>
          </cell>
          <cell r="L21">
            <v>2241.7872948632212</v>
          </cell>
          <cell r="M21">
            <v>2667.7268808872359</v>
          </cell>
          <cell r="N21">
            <v>2550.4145783027634</v>
          </cell>
          <cell r="O21">
            <v>3081.4094805333298</v>
          </cell>
          <cell r="Q21">
            <v>4146.3445970056528</v>
          </cell>
          <cell r="R21">
            <v>4809.7597325265524</v>
          </cell>
          <cell r="S21">
            <v>3581.8380446167284</v>
          </cell>
          <cell r="T21">
            <v>5383.3634547608017</v>
          </cell>
          <cell r="W21">
            <v>7975.6898262201503</v>
          </cell>
          <cell r="X21">
            <v>9092.2864018909604</v>
          </cell>
          <cell r="AA21">
            <v>13470.622365003161</v>
          </cell>
          <cell r="AB21">
            <v>15356.509496103608</v>
          </cell>
        </row>
        <row r="23">
          <cell r="C23">
            <v>5534.551962905718</v>
          </cell>
          <cell r="D23">
            <v>5768.6664775000991</v>
          </cell>
          <cell r="E23">
            <v>6955.881667325737</v>
          </cell>
          <cell r="F23">
            <v>8355.9970618240659</v>
          </cell>
          <cell r="G23">
            <v>9675.341795948565</v>
          </cell>
          <cell r="H23">
            <v>11794.347223731655</v>
          </cell>
          <cell r="I23">
            <v>14177.25754514708</v>
          </cell>
          <cell r="J23">
            <v>16845.041432641192</v>
          </cell>
          <cell r="K23">
            <v>20045.599304843017</v>
          </cell>
          <cell r="L23">
            <v>23854.263172763196</v>
          </cell>
          <cell r="M23">
            <v>28386.573175588197</v>
          </cell>
          <cell r="N23">
            <v>33472.573487208734</v>
          </cell>
          <cell r="O23">
            <v>38705.256675460005</v>
          </cell>
          <cell r="P23">
            <v>44898.097743533595</v>
          </cell>
          <cell r="Q23">
            <v>52081.793382498974</v>
          </cell>
          <cell r="R23">
            <v>60414.880323698817</v>
          </cell>
          <cell r="S23">
            <v>70774.251619480201</v>
          </cell>
          <cell r="T23">
            <v>79382.578762309713</v>
          </cell>
          <cell r="U23">
            <v>90496.13978903307</v>
          </cell>
          <cell r="V23">
            <v>103165.59935949772</v>
          </cell>
          <cell r="W23">
            <v>117608.7832698274</v>
          </cell>
          <cell r="X23">
            <v>134074.01292760327</v>
          </cell>
          <cell r="Y23">
            <v>152844.37473746773</v>
          </cell>
          <cell r="Z23">
            <v>174242.58720071329</v>
          </cell>
          <cell r="AA23">
            <v>198636.54940881309</v>
          </cell>
          <cell r="AB23">
            <v>226445.66632604698</v>
          </cell>
        </row>
        <row r="26">
          <cell r="C26">
            <v>5534.551962905718</v>
          </cell>
          <cell r="D26">
            <v>5150.929813933788</v>
          </cell>
          <cell r="E26">
            <v>5545.9070811825331</v>
          </cell>
          <cell r="F26">
            <v>5948.7933710985008</v>
          </cell>
          <cell r="G26">
            <v>6150.4532742778074</v>
          </cell>
          <cell r="H26">
            <v>6694.6043971750541</v>
          </cell>
          <cell r="I26">
            <v>7185.4412023210007</v>
          </cell>
          <cell r="J26">
            <v>7623.3085230587631</v>
          </cell>
          <cell r="K26">
            <v>8100.2917213917799</v>
          </cell>
          <cell r="L26">
            <v>8607.1193069490364</v>
          </cell>
          <cell r="M26">
            <v>9145.6586147895032</v>
          </cell>
          <cell r="N26">
            <v>9629.4464871042564</v>
          </cell>
          <cell r="O26">
            <v>9942.4261544921428</v>
          </cell>
          <cell r="P26">
            <v>10298.182053345965</v>
          </cell>
          <cell r="Q26">
            <v>10666.667466867808</v>
          </cell>
          <cell r="R26">
            <v>11048.33787743816</v>
          </cell>
          <cell r="S26">
            <v>11556.824423496868</v>
          </cell>
          <cell r="T26">
            <v>11574.403925961489</v>
          </cell>
          <cell r="U26">
            <v>11781.855380674637</v>
          </cell>
          <cell r="V26">
            <v>11993.02504898547</v>
          </cell>
          <cell r="W26">
            <v>12207.979573532752</v>
          </cell>
          <cell r="X26">
            <v>12426.786791410919</v>
          </cell>
          <cell r="Y26">
            <v>12649.515755578652</v>
          </cell>
          <cell r="Z26">
            <v>12876.236756651175</v>
          </cell>
          <cell r="AA26">
            <v>13107.021345083123</v>
          </cell>
          <cell r="AB26">
            <v>13341.942353749055</v>
          </cell>
        </row>
        <row r="27">
          <cell r="C27">
            <v>5534.551962905718</v>
          </cell>
          <cell r="D27">
            <v>5150.929813933788</v>
          </cell>
          <cell r="E27">
            <v>10696.836895116321</v>
          </cell>
          <cell r="F27">
            <v>16645.630266214823</v>
          </cell>
          <cell r="G27">
            <v>22796.083540492629</v>
          </cell>
          <cell r="H27">
            <v>29490.687937667684</v>
          </cell>
          <cell r="I27">
            <v>36676.129139988683</v>
          </cell>
          <cell r="J27">
            <v>44299.437663047443</v>
          </cell>
          <cell r="K27">
            <v>52399.729384439226</v>
          </cell>
          <cell r="L27">
            <v>61006.848691388266</v>
          </cell>
          <cell r="M27">
            <v>70152.507306177766</v>
          </cell>
          <cell r="N27">
            <v>79781.953793282024</v>
          </cell>
          <cell r="O27">
            <v>89724.37994777417</v>
          </cell>
          <cell r="Q27">
            <v>110689.22946798794</v>
          </cell>
          <cell r="R27">
            <v>121737.5673454261</v>
          </cell>
          <cell r="S27">
            <v>133294.39176892297</v>
          </cell>
          <cell r="T27">
            <v>144868.79569488447</v>
          </cell>
          <cell r="W27">
            <v>180851.65569807735</v>
          </cell>
          <cell r="X27">
            <v>193278.44248948825</v>
          </cell>
          <cell r="AA27">
            <v>231911.2163468012</v>
          </cell>
          <cell r="AB27">
            <v>245253.15870055027</v>
          </cell>
        </row>
        <row r="29">
          <cell r="C29">
            <v>52309.571795579046</v>
          </cell>
          <cell r="D29">
            <v>62336.824987497377</v>
          </cell>
          <cell r="E29">
            <v>74011.533716940015</v>
          </cell>
          <cell r="F29">
            <v>89677.567980965847</v>
          </cell>
          <cell r="G29">
            <v>108509.85725696868</v>
          </cell>
          <cell r="H29">
            <v>129126.73013579272</v>
          </cell>
          <cell r="I29">
            <v>153660.80886159334</v>
          </cell>
          <cell r="J29">
            <v>182856.36254529608</v>
          </cell>
          <cell r="K29">
            <v>217599.07142890233</v>
          </cell>
          <cell r="L29">
            <v>258942.89500039374</v>
          </cell>
          <cell r="M29">
            <v>300373.75820045674</v>
          </cell>
          <cell r="N29">
            <v>348433.55951252976</v>
          </cell>
          <cell r="O29">
            <v>404182.92903453455</v>
          </cell>
          <cell r="P29">
            <v>468852.19768006005</v>
          </cell>
          <cell r="Q29">
            <v>543868.54930886964</v>
          </cell>
          <cell r="R29">
            <v>620010.14621211146</v>
          </cell>
          <cell r="S29">
            <v>706811.56668180716</v>
          </cell>
          <cell r="T29">
            <v>805765.18601726019</v>
          </cell>
          <cell r="U29">
            <v>918572.31205967686</v>
          </cell>
          <cell r="V29">
            <v>1047172.4357480317</v>
          </cell>
          <cell r="W29">
            <v>1193776.5767527563</v>
          </cell>
          <cell r="X29">
            <v>1360905.2974981423</v>
          </cell>
          <cell r="Y29">
            <v>1551432.0391478823</v>
          </cell>
          <cell r="Z29">
            <v>1768632.5246285859</v>
          </cell>
          <cell r="AA29">
            <v>2016241.0780765882</v>
          </cell>
          <cell r="AB29">
            <v>2298514.8290073108</v>
          </cell>
        </row>
        <row r="30">
          <cell r="C30">
            <v>52309.571795579046</v>
          </cell>
          <cell r="D30">
            <v>55661.496740442723</v>
          </cell>
          <cell r="E30">
            <v>59009.210990181142</v>
          </cell>
          <cell r="F30">
            <v>63843.167726647174</v>
          </cell>
          <cell r="G30">
            <v>68977.904960112108</v>
          </cell>
          <cell r="H30">
            <v>73293.787181416163</v>
          </cell>
          <cell r="I30">
            <v>77879.710068045475</v>
          </cell>
          <cell r="J30">
            <v>82752.569808818414</v>
          </cell>
          <cell r="K30">
            <v>87930.31977109451</v>
          </cell>
          <cell r="L30">
            <v>93432.036647434827</v>
          </cell>
          <cell r="M30">
            <v>96775.184251727958</v>
          </cell>
          <cell r="N30">
            <v>100237.95502067779</v>
          </cell>
          <cell r="O30">
            <v>103824.62926231035</v>
          </cell>
          <cell r="P30">
            <v>107539.64044091386</v>
          </cell>
          <cell r="Q30">
            <v>111387.58065721499</v>
          </cell>
          <cell r="R30">
            <v>113384.01311215005</v>
          </cell>
          <cell r="S30">
            <v>115416.2282146981</v>
          </cell>
          <cell r="T30">
            <v>117484.86730780412</v>
          </cell>
          <cell r="U30">
            <v>119590.58322939192</v>
          </cell>
          <cell r="V30">
            <v>121734.0405183918</v>
          </cell>
          <cell r="W30">
            <v>123915.91562446141</v>
          </cell>
          <cell r="X30">
            <v>126136.89712146501</v>
          </cell>
          <cell r="Y30">
            <v>128397.6859247793</v>
          </cell>
          <cell r="Z30">
            <v>130698.99551249394</v>
          </cell>
          <cell r="AA30">
            <v>133041.5521505769</v>
          </cell>
          <cell r="AB30">
            <v>135426.09512207506</v>
          </cell>
        </row>
        <row r="32">
          <cell r="C32">
            <v>57844.123758484762</v>
          </cell>
          <cell r="D32">
            <v>60812.426554376507</v>
          </cell>
          <cell r="E32">
            <v>69706.047885297463</v>
          </cell>
          <cell r="F32">
            <v>80488.797992862004</v>
          </cell>
          <cell r="G32">
            <v>91773.988500604741</v>
          </cell>
          <cell r="H32">
            <v>102784.47511908384</v>
          </cell>
          <cell r="I32">
            <v>114555.83920803416</v>
          </cell>
          <cell r="J32">
            <v>127052.00747186586</v>
          </cell>
          <cell r="K32">
            <v>140330.04915553372</v>
          </cell>
          <cell r="L32">
            <v>154438.88533882308</v>
          </cell>
          <cell r="M32">
            <v>166927.69155790572</v>
          </cell>
          <cell r="N32">
            <v>180019.9088139598</v>
          </cell>
          <cell r="O32">
            <v>193549.00921008451</v>
          </cell>
          <cell r="Q32">
            <v>222076.81012520293</v>
          </cell>
          <cell r="R32">
            <v>235121.58045757614</v>
          </cell>
          <cell r="S32">
            <v>248710.61998362106</v>
          </cell>
          <cell r="T32">
            <v>262353.66300268855</v>
          </cell>
          <cell r="W32">
            <v>304767.57132253877</v>
          </cell>
          <cell r="X32">
            <v>319415.33961095323</v>
          </cell>
          <cell r="AA32">
            <v>364952.7684973781</v>
          </cell>
          <cell r="AB32">
            <v>380679.25382262532</v>
          </cell>
        </row>
        <row r="33">
          <cell r="C33">
            <v>13347.64</v>
          </cell>
          <cell r="D33">
            <v>13347.64</v>
          </cell>
          <cell r="E33">
            <v>13347.64</v>
          </cell>
          <cell r="F33">
            <v>13347.64</v>
          </cell>
          <cell r="G33">
            <v>13347.64</v>
          </cell>
          <cell r="H33">
            <v>13347.64</v>
          </cell>
          <cell r="I33">
            <v>13347.64</v>
          </cell>
          <cell r="J33">
            <v>13347.64</v>
          </cell>
          <cell r="K33">
            <v>13347.64</v>
          </cell>
          <cell r="L33">
            <v>13347.64</v>
          </cell>
          <cell r="M33">
            <v>13347.64</v>
          </cell>
          <cell r="N33">
            <v>13347.64</v>
          </cell>
          <cell r="O33">
            <v>13347.64</v>
          </cell>
          <cell r="P33">
            <v>13347.64</v>
          </cell>
          <cell r="Q33">
            <v>13347.64</v>
          </cell>
          <cell r="R33">
            <v>13347.64</v>
          </cell>
          <cell r="S33">
            <v>13347.64</v>
          </cell>
          <cell r="T33">
            <v>13347.64</v>
          </cell>
          <cell r="U33">
            <v>13347.64</v>
          </cell>
          <cell r="V33">
            <v>13347.64</v>
          </cell>
          <cell r="W33">
            <v>13347.64</v>
          </cell>
          <cell r="X33">
            <v>13347.64</v>
          </cell>
          <cell r="Y33">
            <v>13347.64</v>
          </cell>
          <cell r="Z33">
            <v>13347.64</v>
          </cell>
          <cell r="AA33">
            <v>13347.64</v>
          </cell>
          <cell r="AB33">
            <v>13347.64</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C36">
            <v>71191.763758484769</v>
          </cell>
          <cell r="D36">
            <v>74160.066554376506</v>
          </cell>
          <cell r="E36">
            <v>83053.687885297462</v>
          </cell>
          <cell r="F36">
            <v>93836.437992862004</v>
          </cell>
          <cell r="G36">
            <v>105121.62850060474</v>
          </cell>
          <cell r="H36">
            <v>116132.11511908384</v>
          </cell>
          <cell r="I36">
            <v>127903.47920803416</v>
          </cell>
          <cell r="J36">
            <v>140399.64747186587</v>
          </cell>
          <cell r="K36">
            <v>153677.68915553374</v>
          </cell>
          <cell r="L36">
            <v>167786.52533882309</v>
          </cell>
          <cell r="M36">
            <v>180275.33155790571</v>
          </cell>
          <cell r="N36">
            <v>193367.54881395982</v>
          </cell>
          <cell r="O36">
            <v>206896.64921008452</v>
          </cell>
          <cell r="P36">
            <v>220909.84244203399</v>
          </cell>
          <cell r="Q36">
            <v>235424.45012520294</v>
          </cell>
          <cell r="R36">
            <v>248469.22045757616</v>
          </cell>
          <cell r="S36">
            <v>262058.25998362107</v>
          </cell>
          <cell r="T36">
            <v>275701.30300268857</v>
          </cell>
          <cell r="U36">
            <v>289588.87430495105</v>
          </cell>
          <cell r="V36">
            <v>303725.35664293641</v>
          </cell>
          <cell r="W36">
            <v>318115.21132253879</v>
          </cell>
          <cell r="X36">
            <v>332762.97961095325</v>
          </cell>
          <cell r="Y36">
            <v>347673.28416984621</v>
          </cell>
          <cell r="Z36">
            <v>362850.83051421202</v>
          </cell>
          <cell r="AA36">
            <v>378300.40849737811</v>
          </cell>
          <cell r="AB36">
            <v>394026.89382262534</v>
          </cell>
        </row>
        <row r="37">
          <cell r="C37">
            <v>2470</v>
          </cell>
          <cell r="D37">
            <v>2470</v>
          </cell>
          <cell r="E37">
            <v>2470</v>
          </cell>
          <cell r="F37">
            <v>2470</v>
          </cell>
          <cell r="G37">
            <v>2470</v>
          </cell>
          <cell r="H37">
            <v>2470</v>
          </cell>
          <cell r="I37">
            <v>2470</v>
          </cell>
          <cell r="J37">
            <v>2470</v>
          </cell>
          <cell r="K37">
            <v>2470</v>
          </cell>
          <cell r="L37">
            <v>2470</v>
          </cell>
          <cell r="M37">
            <v>2470</v>
          </cell>
          <cell r="N37">
            <v>2470</v>
          </cell>
          <cell r="O37">
            <v>2470</v>
          </cell>
          <cell r="P37">
            <v>2470</v>
          </cell>
          <cell r="Q37">
            <v>2470</v>
          </cell>
          <cell r="R37">
            <v>2470</v>
          </cell>
          <cell r="S37">
            <v>2470</v>
          </cell>
          <cell r="T37">
            <v>2470</v>
          </cell>
          <cell r="U37">
            <v>2470</v>
          </cell>
          <cell r="V37">
            <v>2470</v>
          </cell>
          <cell r="W37">
            <v>2470</v>
          </cell>
          <cell r="X37">
            <v>2470</v>
          </cell>
          <cell r="Y37">
            <v>2470</v>
          </cell>
          <cell r="Z37">
            <v>2470</v>
          </cell>
          <cell r="AA37">
            <v>2470</v>
          </cell>
          <cell r="AB37">
            <v>2470</v>
          </cell>
        </row>
        <row r="39">
          <cell r="C39">
            <v>28.822576420439177</v>
          </cell>
          <cell r="D39">
            <v>30.024318443067411</v>
          </cell>
          <cell r="E39">
            <v>33.624974852347151</v>
          </cell>
          <cell r="F39">
            <v>37.990460725855066</v>
          </cell>
          <cell r="G39">
            <v>42.559363765427022</v>
          </cell>
          <cell r="H39">
            <v>47.017050655499531</v>
          </cell>
          <cell r="I39">
            <v>51.782785104467273</v>
          </cell>
          <cell r="J39">
            <v>56.841962539216951</v>
          </cell>
          <cell r="K39">
            <v>62.217687917220132</v>
          </cell>
          <cell r="L39">
            <v>67.929767343653069</v>
          </cell>
          <cell r="M39">
            <v>72.985964193484094</v>
          </cell>
          <cell r="N39">
            <v>78.286457009700328</v>
          </cell>
          <cell r="O39">
            <v>83.763825591127343</v>
          </cell>
          <cell r="Q39">
            <v>95.313542560810902</v>
          </cell>
          <cell r="R39">
            <v>100.59482609618468</v>
          </cell>
          <cell r="S39">
            <v>106.0964615318304</v>
          </cell>
          <cell r="T39">
            <v>111.61996072983342</v>
          </cell>
          <cell r="W39">
            <v>128.79158353139223</v>
          </cell>
          <cell r="X39">
            <v>134.72185409350334</v>
          </cell>
          <cell r="AA39">
            <v>153.15806012039599</v>
          </cell>
          <cell r="AB39">
            <v>159.52505822778355</v>
          </cell>
        </row>
        <row r="41">
          <cell r="D41">
            <v>1</v>
          </cell>
          <cell r="E41">
            <v>2</v>
          </cell>
          <cell r="F41">
            <v>3</v>
          </cell>
          <cell r="G41">
            <v>4</v>
          </cell>
          <cell r="H41">
            <v>5</v>
          </cell>
          <cell r="I41">
            <v>6</v>
          </cell>
          <cell r="J41">
            <v>7</v>
          </cell>
          <cell r="K41">
            <v>8</v>
          </cell>
          <cell r="L41">
            <v>9</v>
          </cell>
          <cell r="M41">
            <v>10</v>
          </cell>
          <cell r="N41">
            <v>11</v>
          </cell>
          <cell r="O41">
            <v>12</v>
          </cell>
          <cell r="Q41">
            <v>14</v>
          </cell>
          <cell r="R41">
            <v>15</v>
          </cell>
          <cell r="S41">
            <v>16</v>
          </cell>
          <cell r="T41">
            <v>17</v>
          </cell>
          <cell r="W41">
            <v>20</v>
          </cell>
          <cell r="X41">
            <v>21</v>
          </cell>
          <cell r="AA41">
            <v>24</v>
          </cell>
          <cell r="AB41">
            <v>25</v>
          </cell>
          <cell r="AC41">
            <v>26</v>
          </cell>
        </row>
        <row r="44">
          <cell r="C44">
            <v>1.6172087338563206</v>
          </cell>
          <cell r="D44">
            <v>1.8529668652028675</v>
          </cell>
          <cell r="E44">
            <v>1.8950145878589821</v>
          </cell>
          <cell r="F44">
            <v>1.9878936909743068</v>
          </cell>
          <cell r="G44">
            <v>2.0427921429411025</v>
          </cell>
          <cell r="H44">
            <v>2.0289084580577792</v>
          </cell>
          <cell r="I44">
            <v>2.0169910608393615</v>
          </cell>
          <cell r="J44">
            <v>2.0198534565148138</v>
          </cell>
          <cell r="K44">
            <v>2.0198534565148138</v>
          </cell>
          <cell r="L44">
            <v>2.0198534565148138</v>
          </cell>
          <cell r="M44">
            <v>2.0198534565148134</v>
          </cell>
          <cell r="N44">
            <v>2.0031019446081317</v>
          </cell>
          <cell r="O44">
            <v>2.0090212765957447</v>
          </cell>
          <cell r="P44">
            <v>2.0090212765957447</v>
          </cell>
          <cell r="Q44">
            <v>2.0090212765957443</v>
          </cell>
          <cell r="R44">
            <v>2.0090212765957447</v>
          </cell>
          <cell r="S44">
            <v>2.0281693468496682</v>
          </cell>
          <cell r="T44">
            <v>2.0602121772924957</v>
          </cell>
          <cell r="U44">
            <v>2.0602121772924962</v>
          </cell>
          <cell r="V44">
            <v>2.0602121772924962</v>
          </cell>
          <cell r="W44">
            <v>2.0602121772924962</v>
          </cell>
          <cell r="X44">
            <v>2.0602121772924962</v>
          </cell>
          <cell r="Y44">
            <v>2.0602121772924957</v>
          </cell>
          <cell r="Z44">
            <v>2.0602121772924957</v>
          </cell>
          <cell r="AA44">
            <v>2.0602121772924962</v>
          </cell>
          <cell r="AB44">
            <v>2.0602121772924962</v>
          </cell>
        </row>
        <row r="45">
          <cell r="C45">
            <v>0.33486481934004386</v>
          </cell>
          <cell r="D45">
            <v>0.23575813134654688</v>
          </cell>
          <cell r="E45">
            <v>4.2047722656114672E-2</v>
          </cell>
          <cell r="F45">
            <v>9.2879103115324657E-2</v>
          </cell>
          <cell r="G45">
            <v>5.4898451966795658E-2</v>
          </cell>
          <cell r="H45">
            <v>-1.3883684883323255E-2</v>
          </cell>
          <cell r="I45">
            <v>-1.1917397218417669E-2</v>
          </cell>
          <cell r="J45">
            <v>2.8623956754523228E-3</v>
          </cell>
          <cell r="K45">
            <v>0</v>
          </cell>
          <cell r="L45">
            <v>0</v>
          </cell>
          <cell r="M45">
            <v>-4.4408920985006262E-16</v>
          </cell>
          <cell r="N45">
            <v>-1.6751511906681671E-2</v>
          </cell>
          <cell r="O45">
            <v>5.9193319876129635E-3</v>
          </cell>
          <cell r="Q45">
            <v>-4.4408920985006262E-16</v>
          </cell>
          <cell r="R45">
            <v>4.4408920985006262E-16</v>
          </cell>
          <cell r="S45">
            <v>1.914807025392351E-2</v>
          </cell>
          <cell r="T45">
            <v>3.2042830442827519E-2</v>
          </cell>
          <cell r="W45">
            <v>0</v>
          </cell>
          <cell r="X45">
            <v>0</v>
          </cell>
          <cell r="AA45">
            <v>4.4408920985006262E-16</v>
          </cell>
          <cell r="AB45">
            <v>0</v>
          </cell>
        </row>
        <row r="46">
          <cell r="C46">
            <v>9.5426712753357048</v>
          </cell>
          <cell r="D46">
            <v>9.486575090296455</v>
          </cell>
          <cell r="E46">
            <v>3.1437366886592808</v>
          </cell>
          <cell r="F46">
            <v>2.3937145238754018</v>
          </cell>
          <cell r="G46">
            <v>2.0930608151202255</v>
          </cell>
          <cell r="H46">
            <v>1.9647490499711482</v>
          </cell>
          <cell r="I46">
            <v>1.8325321293555097</v>
          </cell>
          <cell r="J46">
            <v>1.8667361449172493</v>
          </cell>
          <cell r="K46">
            <v>1.8670738031554825</v>
          </cell>
          <cell r="L46">
            <v>1.8586046511627907</v>
          </cell>
          <cell r="M46">
            <v>1.8586046511627898</v>
          </cell>
          <cell r="N46">
            <v>1.8892317012247664</v>
          </cell>
          <cell r="O46">
            <v>1.8905379101016728</v>
          </cell>
          <cell r="Q46">
            <v>1.8704680851063826</v>
          </cell>
          <cell r="R46">
            <v>1.8704680851063831</v>
          </cell>
          <cell r="S46">
            <v>2.0644182395120967</v>
          </cell>
          <cell r="T46">
            <v>2.0717157570991698</v>
          </cell>
          <cell r="W46">
            <v>1.9337079207920789</v>
          </cell>
          <cell r="X46">
            <v>1.9337079207920804</v>
          </cell>
          <cell r="AA46">
            <v>1.9337079207920789</v>
          </cell>
          <cell r="AB46">
            <v>1.9337079207920795</v>
          </cell>
        </row>
        <row r="47">
          <cell r="C47" t="str">
            <v>NM</v>
          </cell>
          <cell r="D47">
            <v>25.290438032558981</v>
          </cell>
          <cell r="E47">
            <v>2.1040320010618481</v>
          </cell>
          <cell r="F47">
            <v>2.6925288923116377</v>
          </cell>
          <cell r="G47">
            <v>3.6130458489663795</v>
          </cell>
          <cell r="H47">
            <v>2.0922940054431631</v>
          </cell>
          <cell r="I47">
            <v>2.0284253846153857</v>
          </cell>
          <cell r="J47">
            <v>2.248519633692494</v>
          </cell>
          <cell r="K47">
            <v>2.2117395348837241</v>
          </cell>
          <cell r="L47">
            <v>2.211739534883717</v>
          </cell>
          <cell r="M47">
            <v>2.211739534883721</v>
          </cell>
          <cell r="N47">
            <v>1.862517503059973</v>
          </cell>
          <cell r="O47">
            <v>2.2598985041551241</v>
          </cell>
          <cell r="Q47">
            <v>2.1697429787233991</v>
          </cell>
          <cell r="R47">
            <v>2.1697429787234044</v>
          </cell>
          <cell r="S47">
            <v>1.8985251063829829</v>
          </cell>
          <cell r="T47">
            <v>2.9062878955733118</v>
          </cell>
          <cell r="W47">
            <v>2.2044270297029716</v>
          </cell>
          <cell r="X47">
            <v>2.2044270297029702</v>
          </cell>
          <cell r="AA47">
            <v>2.2044270297029764</v>
          </cell>
          <cell r="AB47">
            <v>2.2044270297029702</v>
          </cell>
        </row>
        <row r="48">
          <cell r="C48">
            <v>4691.3010948295905</v>
          </cell>
          <cell r="D48">
            <v>5909.7107791829258</v>
          </cell>
          <cell r="E48">
            <v>7002.7657929495372</v>
          </cell>
          <cell r="F48">
            <v>8340.518930881708</v>
          </cell>
          <cell r="G48">
            <v>10123.394640162907</v>
          </cell>
          <cell r="H48">
            <v>12244.079668421226</v>
          </cell>
          <cell r="I48">
            <v>14565.046432443634</v>
          </cell>
          <cell r="J48">
            <v>17333.958014978241</v>
          </cell>
          <cell r="K48">
            <v>20627.410037824109</v>
          </cell>
          <cell r="L48">
            <v>24546.617945010687</v>
          </cell>
          <cell r="M48">
            <v>29210.475354562717</v>
          </cell>
          <cell r="N48">
            <v>33866.264779124052</v>
          </cell>
          <cell r="O48">
            <v>39292.238384244156</v>
          </cell>
          <cell r="Q48">
            <v>52871.635969838935</v>
          </cell>
          <cell r="R48">
            <v>61331.097725013162</v>
          </cell>
          <cell r="S48">
            <v>69959.356860475222</v>
          </cell>
          <cell r="T48">
            <v>79831.623592783581</v>
          </cell>
          <cell r="W48">
            <v>118274.06294414699</v>
          </cell>
          <cell r="X48">
            <v>134832.4317563276</v>
          </cell>
          <cell r="AA48">
            <v>199760.18027399667</v>
          </cell>
          <cell r="AB48">
            <v>227726.60551235624</v>
          </cell>
        </row>
        <row r="49">
          <cell r="C49">
            <v>4697.2650815105171</v>
          </cell>
          <cell r="D49">
            <v>5306.3186988261568</v>
          </cell>
          <cell r="E49">
            <v>5608.1482760641866</v>
          </cell>
          <cell r="F49">
            <v>5959.9725964786603</v>
          </cell>
          <cell r="G49">
            <v>6476.4189017800381</v>
          </cell>
          <cell r="H49">
            <v>6991.3653871256629</v>
          </cell>
          <cell r="I49">
            <v>7421.7522971001745</v>
          </cell>
          <cell r="J49">
            <v>7887.5297322467759</v>
          </cell>
          <cell r="K49">
            <v>8381.0450015362167</v>
          </cell>
          <cell r="L49">
            <v>8905.4390540809618</v>
          </cell>
          <cell r="M49">
            <v>9462.6439461205318</v>
          </cell>
          <cell r="N49">
            <v>9786.7000157860366</v>
          </cell>
          <cell r="O49">
            <v>10140.670764368651</v>
          </cell>
          <cell r="P49">
            <v>10503.520172219542</v>
          </cell>
          <cell r="Q49">
            <v>10879.352911827966</v>
          </cell>
          <cell r="R49">
            <v>11268.633547555555</v>
          </cell>
          <cell r="S49">
            <v>11458.830851520013</v>
          </cell>
          <cell r="T49">
            <v>11686.943883263752</v>
          </cell>
          <cell r="U49">
            <v>11896.412424818267</v>
          </cell>
          <cell r="V49">
            <v>12109.635332812739</v>
          </cell>
          <cell r="W49">
            <v>12326.679897863985</v>
          </cell>
          <cell r="X49">
            <v>12547.614616658391</v>
          </cell>
          <cell r="Y49">
            <v>12772.509213568665</v>
          </cell>
          <cell r="Z49">
            <v>13001.434662657979</v>
          </cell>
          <cell r="AA49">
            <v>13234.463210078604</v>
          </cell>
          <cell r="AB49">
            <v>13471.668396871873</v>
          </cell>
        </row>
        <row r="50">
          <cell r="C50">
            <v>4697.2650815105171</v>
          </cell>
          <cell r="D50">
            <v>5306.3186988261568</v>
          </cell>
          <cell r="E50">
            <v>10914.466974890343</v>
          </cell>
          <cell r="F50">
            <v>16874.439571369003</v>
          </cell>
          <cell r="G50">
            <v>23350.858473149041</v>
          </cell>
          <cell r="H50">
            <v>30342.223860274702</v>
          </cell>
          <cell r="I50">
            <v>37763.976157374876</v>
          </cell>
          <cell r="J50">
            <v>45651.505889621651</v>
          </cell>
          <cell r="K50">
            <v>54032.550891157865</v>
          </cell>
          <cell r="L50">
            <v>62937.989945238827</v>
          </cell>
          <cell r="M50">
            <v>72400.633891359364</v>
          </cell>
          <cell r="N50">
            <v>82187.333907145396</v>
          </cell>
          <cell r="O50">
            <v>92328.004671514049</v>
          </cell>
          <cell r="Q50">
            <v>113710.87775556155</v>
          </cell>
          <cell r="R50">
            <v>124979.51130311711</v>
          </cell>
          <cell r="S50">
            <v>136438.34215463712</v>
          </cell>
          <cell r="T50">
            <v>148125.28603790086</v>
          </cell>
          <cell r="W50">
            <v>184458.01369339583</v>
          </cell>
          <cell r="X50">
            <v>197005.62831005422</v>
          </cell>
          <cell r="AA50">
            <v>236014.03539635945</v>
          </cell>
          <cell r="AB50">
            <v>249485.70379323134</v>
          </cell>
        </row>
        <row r="51">
          <cell r="C51">
            <v>4697.2650815105171</v>
          </cell>
          <cell r="D51">
            <v>5942.6907184885731</v>
          </cell>
          <cell r="E51">
            <v>7033.9468747106084</v>
          </cell>
          <cell r="F51">
            <v>8371.7000067076315</v>
          </cell>
          <cell r="G51">
            <v>10188.121703244953</v>
          </cell>
          <cell r="H51">
            <v>12317.171568574611</v>
          </cell>
          <cell r="I51">
            <v>14643.511899907904</v>
          </cell>
          <cell r="J51">
            <v>17428.88468163104</v>
          </cell>
          <cell r="K51">
            <v>20740.372771140937</v>
          </cell>
          <cell r="L51">
            <v>24681.043597657714</v>
          </cell>
          <cell r="M51">
            <v>29370.441881212679</v>
          </cell>
          <cell r="N51">
            <v>34019.196836948817</v>
          </cell>
          <cell r="O51">
            <v>39477.010811781132</v>
          </cell>
          <cell r="Q51">
            <v>53120.265748332691</v>
          </cell>
          <cell r="R51">
            <v>61619.508268065918</v>
          </cell>
          <cell r="S51">
            <v>70174.136789831959</v>
          </cell>
          <cell r="T51">
            <v>80154.429484092063</v>
          </cell>
          <cell r="W51">
            <v>118752.31407557975</v>
          </cell>
          <cell r="X51">
            <v>135377.63804616092</v>
          </cell>
          <cell r="AA51">
            <v>200567.92738146149</v>
          </cell>
          <cell r="AB51">
            <v>228647.43721486614</v>
          </cell>
          <cell r="AC51">
            <v>260658.07842494742</v>
          </cell>
        </row>
        <row r="52">
          <cell r="C52">
            <v>3085.6533333333318</v>
          </cell>
          <cell r="D52">
            <v>3135.0266666666648</v>
          </cell>
          <cell r="E52">
            <v>3135.0266666666648</v>
          </cell>
          <cell r="F52">
            <v>3135.0266666666648</v>
          </cell>
          <cell r="G52">
            <v>3135.0266666666648</v>
          </cell>
          <cell r="H52">
            <v>3135.0266666666648</v>
          </cell>
          <cell r="I52">
            <v>3135.0266666666648</v>
          </cell>
          <cell r="J52">
            <v>3135.0266666666648</v>
          </cell>
          <cell r="K52">
            <v>3135.0266666666648</v>
          </cell>
          <cell r="L52">
            <v>3135.0266666666648</v>
          </cell>
          <cell r="M52">
            <v>3135.0266666666648</v>
          </cell>
          <cell r="N52">
            <v>3135.0266666666648</v>
          </cell>
          <cell r="O52">
            <v>3135.0266666666648</v>
          </cell>
          <cell r="Q52">
            <v>3135.0266666666648</v>
          </cell>
          <cell r="R52">
            <v>3135.0266666666648</v>
          </cell>
          <cell r="S52">
            <v>3135.0266666666648</v>
          </cell>
          <cell r="T52">
            <v>3135.0266666666648</v>
          </cell>
          <cell r="W52">
            <v>3135.0266666666648</v>
          </cell>
          <cell r="X52">
            <v>3135.0266666666648</v>
          </cell>
          <cell r="AA52">
            <v>3135.0266666666648</v>
          </cell>
          <cell r="AB52">
            <v>3135.0266666666648</v>
          </cell>
        </row>
        <row r="54">
          <cell r="C54">
            <v>49197.033031482904</v>
          </cell>
          <cell r="D54">
            <v>58651.799064997474</v>
          </cell>
          <cell r="E54">
            <v>69806.507693599182</v>
          </cell>
          <cell r="F54">
            <v>84952.541955763256</v>
          </cell>
          <cell r="G54">
            <v>102705.39211583966</v>
          </cell>
          <cell r="H54">
            <v>122103.3273150266</v>
          </cell>
          <cell r="I54">
            <v>145328.85455096548</v>
          </cell>
          <cell r="J54">
            <v>172941.33691564892</v>
          </cell>
          <cell r="K54">
            <v>205800.19092962221</v>
          </cell>
          <cell r="L54">
            <v>244902.22720625042</v>
          </cell>
          <cell r="M54">
            <v>283665.36352542613</v>
          </cell>
          <cell r="N54">
            <v>329174.75025919644</v>
          </cell>
          <cell r="O54">
            <v>381842.71030066791</v>
          </cell>
          <cell r="Q54">
            <v>513807.55098057864</v>
          </cell>
          <cell r="R54">
            <v>585139.38815129385</v>
          </cell>
          <cell r="S54">
            <v>668358.97057637281</v>
          </cell>
          <cell r="T54">
            <v>761929.22645706509</v>
          </cell>
          <cell r="W54">
            <v>1128831.6738821066</v>
          </cell>
          <cell r="X54">
            <v>1286868.1082256017</v>
          </cell>
          <cell r="AA54">
            <v>1906551.7245329912</v>
          </cell>
          <cell r="AB54">
            <v>2173468.9659676105</v>
          </cell>
        </row>
        <row r="55">
          <cell r="C55">
            <v>49197.033031482904</v>
          </cell>
          <cell r="D55">
            <v>52371.081188883683</v>
          </cell>
          <cell r="E55">
            <v>55656.554243740451</v>
          </cell>
          <cell r="F55">
            <v>60479.331754826329</v>
          </cell>
          <cell r="G55">
            <v>65288.103360789028</v>
          </cell>
          <cell r="H55">
            <v>69307.224592142491</v>
          </cell>
          <cell r="I55">
            <v>73656.836383992602</v>
          </cell>
          <cell r="J55">
            <v>78265.474915577535</v>
          </cell>
          <cell r="K55">
            <v>83162.471597709198</v>
          </cell>
          <cell r="L55">
            <v>88365.868726917601</v>
          </cell>
          <cell r="M55">
            <v>91392.030999879673</v>
          </cell>
          <cell r="N55">
            <v>94697.548240147764</v>
          </cell>
          <cell r="O55">
            <v>98085.9778719038</v>
          </cell>
          <cell r="Q55">
            <v>105230.90570297471</v>
          </cell>
          <cell r="R55">
            <v>107007.04248779235</v>
          </cell>
          <cell r="S55">
            <v>109137.25116231725</v>
          </cell>
          <cell r="T55">
            <v>111093.350298121</v>
          </cell>
          <cell r="W55">
            <v>117174.53096247619</v>
          </cell>
          <cell r="X55">
            <v>119274.68463423231</v>
          </cell>
          <cell r="AA55">
            <v>125803.70643435189</v>
          </cell>
          <cell r="AB55">
            <v>128058.52336272725</v>
          </cell>
        </row>
        <row r="56">
          <cell r="C56">
            <v>53894.29811299342</v>
          </cell>
          <cell r="D56">
            <v>57677.399887709842</v>
          </cell>
          <cell r="E56">
            <v>66571.021218630791</v>
          </cell>
          <cell r="F56">
            <v>77353.771326195332</v>
          </cell>
          <cell r="G56">
            <v>88638.961833938069</v>
          </cell>
          <cell r="H56">
            <v>99649.448452417186</v>
          </cell>
          <cell r="I56">
            <v>111420.81254136749</v>
          </cell>
          <cell r="J56">
            <v>123916.98080519919</v>
          </cell>
          <cell r="K56">
            <v>137195.02248886705</v>
          </cell>
          <cell r="L56">
            <v>151303.85867215644</v>
          </cell>
          <cell r="M56">
            <v>163792.66489123902</v>
          </cell>
          <cell r="N56">
            <v>176884.88214729316</v>
          </cell>
          <cell r="O56">
            <v>190413.98254341783</v>
          </cell>
          <cell r="Q56">
            <v>218941.78345853626</v>
          </cell>
          <cell r="R56">
            <v>231986.55379090947</v>
          </cell>
          <cell r="S56">
            <v>245575.59331695439</v>
          </cell>
          <cell r="T56">
            <v>259218.63633602188</v>
          </cell>
          <cell r="W56">
            <v>301632.54465587204</v>
          </cell>
          <cell r="X56">
            <v>316280.3129442865</v>
          </cell>
          <cell r="AA56">
            <v>361817.74183071137</v>
          </cell>
          <cell r="AB56">
            <v>377544.22715595859</v>
          </cell>
        </row>
        <row r="58">
          <cell r="C58">
            <v>56979.951446326755</v>
          </cell>
          <cell r="D58">
            <v>60812.426554376507</v>
          </cell>
          <cell r="E58">
            <v>69706.047885297448</v>
          </cell>
          <cell r="F58">
            <v>80488.797992862004</v>
          </cell>
          <cell r="G58">
            <v>91773.988500604726</v>
          </cell>
          <cell r="H58">
            <v>102784.47511908386</v>
          </cell>
          <cell r="I58">
            <v>114555.83920803416</v>
          </cell>
          <cell r="J58">
            <v>127052.00747186586</v>
          </cell>
          <cell r="K58">
            <v>140330.04915553372</v>
          </cell>
          <cell r="L58">
            <v>154438.88533882311</v>
          </cell>
          <cell r="M58">
            <v>166927.69155790569</v>
          </cell>
          <cell r="N58">
            <v>180019.90881395983</v>
          </cell>
          <cell r="O58">
            <v>193549.00921008451</v>
          </cell>
          <cell r="P58">
            <v>207562.202442034</v>
          </cell>
          <cell r="Q58">
            <v>222076.81012520293</v>
          </cell>
          <cell r="R58">
            <v>235121.58045757614</v>
          </cell>
          <cell r="S58">
            <v>248710.61998362106</v>
          </cell>
          <cell r="T58">
            <v>262353.66300268855</v>
          </cell>
          <cell r="U58">
            <v>276241.23430495098</v>
          </cell>
          <cell r="V58">
            <v>290377.71664293634</v>
          </cell>
          <cell r="W58">
            <v>304767.57132253872</v>
          </cell>
          <cell r="X58">
            <v>319415.33961095317</v>
          </cell>
          <cell r="Y58">
            <v>334325.64416984614</v>
          </cell>
          <cell r="Z58">
            <v>349503.19051421195</v>
          </cell>
          <cell r="AA58">
            <v>364952.76849737804</v>
          </cell>
          <cell r="AB58">
            <v>380679.25382262527</v>
          </cell>
        </row>
        <row r="59">
          <cell r="C59">
            <v>13347.64</v>
          </cell>
          <cell r="D59">
            <v>13347.64</v>
          </cell>
          <cell r="E59">
            <v>13347.64</v>
          </cell>
          <cell r="F59">
            <v>13347.64</v>
          </cell>
          <cell r="G59">
            <v>13347.64</v>
          </cell>
          <cell r="H59">
            <v>13347.64</v>
          </cell>
          <cell r="I59">
            <v>13347.64</v>
          </cell>
          <cell r="J59">
            <v>13347.64</v>
          </cell>
          <cell r="K59">
            <v>13347.64</v>
          </cell>
          <cell r="L59">
            <v>13347.64</v>
          </cell>
          <cell r="M59">
            <v>13347.64</v>
          </cell>
          <cell r="N59">
            <v>13347.64</v>
          </cell>
          <cell r="O59">
            <v>13347.64</v>
          </cell>
          <cell r="Q59">
            <v>13347.64</v>
          </cell>
          <cell r="R59">
            <v>13347.64</v>
          </cell>
          <cell r="S59">
            <v>13347.64</v>
          </cell>
          <cell r="T59">
            <v>13347.64</v>
          </cell>
          <cell r="W59">
            <v>13347.64</v>
          </cell>
          <cell r="X59">
            <v>13347.64</v>
          </cell>
          <cell r="AA59">
            <v>13347.64</v>
          </cell>
          <cell r="AB59">
            <v>13347.64</v>
          </cell>
        </row>
        <row r="60">
          <cell r="C60">
            <v>0</v>
          </cell>
          <cell r="D60">
            <v>0</v>
          </cell>
          <cell r="E60">
            <v>0</v>
          </cell>
          <cell r="F60">
            <v>0</v>
          </cell>
          <cell r="G60">
            <v>0</v>
          </cell>
          <cell r="H60">
            <v>0</v>
          </cell>
          <cell r="I60">
            <v>0</v>
          </cell>
          <cell r="J60">
            <v>0</v>
          </cell>
          <cell r="K60">
            <v>0</v>
          </cell>
          <cell r="L60">
            <v>0</v>
          </cell>
          <cell r="M60">
            <v>0</v>
          </cell>
          <cell r="N60">
            <v>0</v>
          </cell>
          <cell r="O60">
            <v>0</v>
          </cell>
          <cell r="Q60">
            <v>0</v>
          </cell>
          <cell r="R60">
            <v>0</v>
          </cell>
          <cell r="S60">
            <v>0</v>
          </cell>
          <cell r="T60">
            <v>0</v>
          </cell>
          <cell r="W60">
            <v>0</v>
          </cell>
          <cell r="X60">
            <v>0</v>
          </cell>
          <cell r="AA60">
            <v>0</v>
          </cell>
          <cell r="AB60">
            <v>0</v>
          </cell>
        </row>
        <row r="61">
          <cell r="C61">
            <v>70327.591446326755</v>
          </cell>
          <cell r="D61">
            <v>74160.066554376506</v>
          </cell>
          <cell r="E61">
            <v>83053.687885297448</v>
          </cell>
          <cell r="F61">
            <v>93836.437992862004</v>
          </cell>
          <cell r="G61">
            <v>105121.62850060473</v>
          </cell>
          <cell r="H61">
            <v>116132.11511908386</v>
          </cell>
          <cell r="I61">
            <v>127903.47920803416</v>
          </cell>
          <cell r="J61">
            <v>140399.64747186587</v>
          </cell>
          <cell r="K61">
            <v>153677.68915553374</v>
          </cell>
          <cell r="L61">
            <v>167786.52533882309</v>
          </cell>
          <cell r="M61">
            <v>180275.33155790571</v>
          </cell>
          <cell r="N61">
            <v>193367.54881395982</v>
          </cell>
          <cell r="O61">
            <v>206896.64921008452</v>
          </cell>
          <cell r="P61">
            <v>220909.84244203399</v>
          </cell>
          <cell r="Q61">
            <v>235424.45012520294</v>
          </cell>
          <cell r="R61">
            <v>248469.22045757616</v>
          </cell>
          <cell r="S61">
            <v>262058.25998362107</v>
          </cell>
          <cell r="T61">
            <v>275701.30300268857</v>
          </cell>
          <cell r="U61">
            <v>289588.87430495099</v>
          </cell>
          <cell r="V61">
            <v>303725.35664293636</v>
          </cell>
          <cell r="W61">
            <v>318115.21132253873</v>
          </cell>
          <cell r="X61">
            <v>332762.97961095319</v>
          </cell>
          <cell r="Y61">
            <v>347673.28416984616</v>
          </cell>
          <cell r="Z61">
            <v>362850.83051421196</v>
          </cell>
          <cell r="AA61">
            <v>378300.40849737806</v>
          </cell>
          <cell r="AB61">
            <v>394026.89382262528</v>
          </cell>
        </row>
        <row r="62">
          <cell r="C62">
            <v>2470</v>
          </cell>
          <cell r="D62">
            <v>2470</v>
          </cell>
          <cell r="E62">
            <v>2470</v>
          </cell>
          <cell r="F62">
            <v>2470</v>
          </cell>
          <cell r="G62">
            <v>2470</v>
          </cell>
          <cell r="H62">
            <v>2470</v>
          </cell>
          <cell r="I62">
            <v>2470</v>
          </cell>
          <cell r="J62">
            <v>2470</v>
          </cell>
          <cell r="K62">
            <v>2470</v>
          </cell>
          <cell r="L62">
            <v>2470</v>
          </cell>
          <cell r="M62">
            <v>2470</v>
          </cell>
          <cell r="N62">
            <v>2470</v>
          </cell>
          <cell r="O62">
            <v>2470</v>
          </cell>
          <cell r="Q62">
            <v>2470</v>
          </cell>
          <cell r="R62">
            <v>2470</v>
          </cell>
          <cell r="S62">
            <v>2470</v>
          </cell>
          <cell r="T62">
            <v>2470</v>
          </cell>
          <cell r="W62">
            <v>2470</v>
          </cell>
          <cell r="X62">
            <v>2470</v>
          </cell>
          <cell r="AA62">
            <v>2470</v>
          </cell>
          <cell r="AB62">
            <v>2470</v>
          </cell>
        </row>
        <row r="64">
          <cell r="C64">
            <v>28.472709087581681</v>
          </cell>
          <cell r="D64">
            <v>30.024318443067411</v>
          </cell>
          <cell r="E64">
            <v>33.624974852347144</v>
          </cell>
          <cell r="F64">
            <v>37.990460725855066</v>
          </cell>
          <cell r="G64">
            <v>42.559363765427015</v>
          </cell>
          <cell r="H64">
            <v>47.017050655499538</v>
          </cell>
          <cell r="I64">
            <v>51.782785104467273</v>
          </cell>
          <cell r="J64">
            <v>56.841962539216951</v>
          </cell>
          <cell r="K64">
            <v>62.217687917220132</v>
          </cell>
          <cell r="L64">
            <v>67.929767343653069</v>
          </cell>
          <cell r="M64">
            <v>72.985964193484094</v>
          </cell>
          <cell r="N64">
            <v>78.286457009700328</v>
          </cell>
          <cell r="O64">
            <v>83.763825591127343</v>
          </cell>
          <cell r="Q64">
            <v>95.313542560810902</v>
          </cell>
          <cell r="R64">
            <v>100.59482609618468</v>
          </cell>
          <cell r="S64">
            <v>106.0964615318304</v>
          </cell>
          <cell r="T64">
            <v>111.61996072983342</v>
          </cell>
          <cell r="W64">
            <v>128.79158353139221</v>
          </cell>
          <cell r="X64">
            <v>134.72185409350331</v>
          </cell>
          <cell r="AA64">
            <v>153.15806012039599</v>
          </cell>
          <cell r="AB64">
            <v>159.52505822778352</v>
          </cell>
        </row>
        <row r="65">
          <cell r="C65">
            <v>1106.3095797277638</v>
          </cell>
          <cell r="D65">
            <v>1218.4096843533353</v>
          </cell>
          <cell r="E65">
            <v>1093.0550137666114</v>
          </cell>
          <cell r="F65">
            <v>1337.7531379321708</v>
          </cell>
          <cell r="G65">
            <v>1782.8757092811993</v>
          </cell>
          <cell r="H65">
            <v>2120.6850282583182</v>
          </cell>
          <cell r="I65">
            <v>2320.9667640224088</v>
          </cell>
          <cell r="J65">
            <v>2768.9115825346071</v>
          </cell>
          <cell r="K65">
            <v>3293.4520228458678</v>
          </cell>
          <cell r="L65">
            <v>3919.2079071865774</v>
          </cell>
          <cell r="M65">
            <v>4663.8574095520307</v>
          </cell>
          <cell r="N65">
            <v>4655.7894245613352</v>
          </cell>
          <cell r="O65">
            <v>5425.9736051201035</v>
          </cell>
          <cell r="Q65">
            <v>7292.6394441157099</v>
          </cell>
          <cell r="R65">
            <v>8459.4617551742267</v>
          </cell>
          <cell r="S65">
            <v>8628.2591354620599</v>
          </cell>
          <cell r="T65">
            <v>9872.2667323083588</v>
          </cell>
          <cell r="W65">
            <v>14524.88492296543</v>
          </cell>
          <cell r="X65">
            <v>16558.368812180604</v>
          </cell>
          <cell r="AA65">
            <v>24531.951963473286</v>
          </cell>
          <cell r="AB65">
            <v>27966.425238359574</v>
          </cell>
        </row>
        <row r="68">
          <cell r="C68">
            <v>0.27522451135763337</v>
          </cell>
          <cell r="D68">
            <v>0.20822977078155205</v>
          </cell>
          <cell r="E68">
            <v>0.23499999999999999</v>
          </cell>
          <cell r="F68">
            <v>0.23500000000000018</v>
          </cell>
          <cell r="G68">
            <v>0.20999999999999994</v>
          </cell>
          <cell r="H68">
            <v>0.21</v>
          </cell>
          <cell r="I68">
            <v>0.18999999999999997</v>
          </cell>
          <cell r="J68">
            <v>0.18999999999999995</v>
          </cell>
          <cell r="K68">
            <v>0.19</v>
          </cell>
          <cell r="L68">
            <v>0.19</v>
          </cell>
          <cell r="M68">
            <v>0.18999999999999986</v>
          </cell>
          <cell r="N68">
            <v>0.15999999999999992</v>
          </cell>
          <cell r="O68">
            <v>0.15999999999999992</v>
          </cell>
          <cell r="Q68">
            <v>0.15999999999999995</v>
          </cell>
          <cell r="R68">
            <v>0.15999999999999998</v>
          </cell>
          <cell r="S68">
            <v>0.1400000000000001</v>
          </cell>
          <cell r="T68">
            <v>0.14000000000000012</v>
          </cell>
          <cell r="W68">
            <v>0.14000000000000015</v>
          </cell>
          <cell r="X68">
            <v>0.14000000000000015</v>
          </cell>
          <cell r="AA68">
            <v>0.14000000000000018</v>
          </cell>
          <cell r="AB68">
            <v>0.14000000000000021</v>
          </cell>
        </row>
        <row r="69">
          <cell r="C69">
            <v>0.35004090763641249</v>
          </cell>
          <cell r="D69">
            <v>0.36106661333333345</v>
          </cell>
          <cell r="E69">
            <v>0.34590546064391747</v>
          </cell>
          <cell r="F69">
            <v>0.33254099048377711</v>
          </cell>
          <cell r="G69">
            <v>0.33300000000000002</v>
          </cell>
          <cell r="H69">
            <v>0.33300000000000002</v>
          </cell>
          <cell r="I69">
            <v>0.33300000000000002</v>
          </cell>
          <cell r="J69">
            <v>0.33300000000000002</v>
          </cell>
          <cell r="K69">
            <v>0.33300000000000002</v>
          </cell>
          <cell r="L69">
            <v>0.33300000000000002</v>
          </cell>
          <cell r="M69">
            <v>0.33300000000000002</v>
          </cell>
          <cell r="N69">
            <v>0.33300000000000002</v>
          </cell>
          <cell r="O69">
            <v>0.33300000000000002</v>
          </cell>
          <cell r="Q69">
            <v>0.33300000000000002</v>
          </cell>
          <cell r="R69">
            <v>0.33300000000000002</v>
          </cell>
          <cell r="S69">
            <v>0.33300000000000002</v>
          </cell>
          <cell r="T69">
            <v>0.33300000000000002</v>
          </cell>
          <cell r="W69">
            <v>0.33300000000000002</v>
          </cell>
          <cell r="X69">
            <v>0.33300000000000002</v>
          </cell>
          <cell r="AA69">
            <v>0.33300000000000002</v>
          </cell>
          <cell r="AB69">
            <v>0.33300000000000002</v>
          </cell>
        </row>
        <row r="70">
          <cell r="C70">
            <v>-0.46063979526551496</v>
          </cell>
          <cell r="D70">
            <v>-0.10323607427055707</v>
          </cell>
          <cell r="E70">
            <v>-0.10444874274661507</v>
          </cell>
          <cell r="F70">
            <v>-0.10219213410702772</v>
          </cell>
          <cell r="G70">
            <v>-2.9478458049886566E-2</v>
          </cell>
          <cell r="H70">
            <v>-0.14285714285714296</v>
          </cell>
          <cell r="I70">
            <v>-8.3208020050125286E-2</v>
          </cell>
          <cell r="J70">
            <v>-0.1333333333333333</v>
          </cell>
          <cell r="K70">
            <v>-0.13333333333333328</v>
          </cell>
          <cell r="L70">
            <v>-0.1333333333333333</v>
          </cell>
          <cell r="M70">
            <v>-0.13333333333333333</v>
          </cell>
          <cell r="N70">
            <v>-7.2916666666666699E-2</v>
          </cell>
          <cell r="O70">
            <v>-0.125</v>
          </cell>
          <cell r="Q70">
            <v>-0.125</v>
          </cell>
          <cell r="R70">
            <v>-0.125</v>
          </cell>
          <cell r="S70">
            <v>-6.5126050420168127E-2</v>
          </cell>
          <cell r="T70">
            <v>-0.11764705882352941</v>
          </cell>
          <cell r="W70">
            <v>-0.1176470588235294</v>
          </cell>
          <cell r="X70">
            <v>-0.11764705882352942</v>
          </cell>
          <cell r="AA70">
            <v>-0.11764705882352934</v>
          </cell>
          <cell r="AB70">
            <v>-0.11764705882352947</v>
          </cell>
        </row>
        <row r="71">
          <cell r="C71">
            <v>0.31202832479209214</v>
          </cell>
          <cell r="D71">
            <v>0.11524809543542269</v>
          </cell>
          <cell r="E71">
            <v>0.1513739709146219</v>
          </cell>
          <cell r="F71">
            <v>0.1264975332897835</v>
          </cell>
          <cell r="G71">
            <v>0.22205655603791599</v>
          </cell>
          <cell r="H71">
            <v>0.32258064516129037</v>
          </cell>
          <cell r="I71">
            <v>0.25944397283531384</v>
          </cell>
          <cell r="J71">
            <v>0.31249999999999994</v>
          </cell>
          <cell r="K71">
            <v>0.31250000000000017</v>
          </cell>
          <cell r="L71">
            <v>0.31249999999999983</v>
          </cell>
          <cell r="M71">
            <v>0.31250000000000006</v>
          </cell>
          <cell r="N71">
            <v>0.24384469696969716</v>
          </cell>
          <cell r="O71">
            <v>0.30303030303030287</v>
          </cell>
          <cell r="Q71">
            <v>0.30303030303030304</v>
          </cell>
          <cell r="R71">
            <v>0.30303030303030298</v>
          </cell>
          <cell r="S71">
            <v>0.19574628270280411</v>
          </cell>
          <cell r="T71">
            <v>0.28985507246376813</v>
          </cell>
          <cell r="W71">
            <v>0.28985507246376818</v>
          </cell>
          <cell r="X71">
            <v>0.28985507246376813</v>
          </cell>
          <cell r="AA71">
            <v>0.28985507246376813</v>
          </cell>
          <cell r="AB71">
            <v>0.28985507246376824</v>
          </cell>
        </row>
        <row r="74">
          <cell r="C74">
            <v>-3188.64</v>
          </cell>
          <cell r="D74">
            <v>-3500</v>
          </cell>
          <cell r="E74">
            <v>-3929.5454545454545</v>
          </cell>
          <cell r="F74">
            <v>-4448.572916666667</v>
          </cell>
          <cell r="G74">
            <v>-4613.805625</v>
          </cell>
          <cell r="H74">
            <v>-5582.7048062500007</v>
          </cell>
          <cell r="I74">
            <v>-6200.5241381416672</v>
          </cell>
          <cell r="J74">
            <v>-7378.6237243885835</v>
          </cell>
          <cell r="K74">
            <v>-8780.5622320224138</v>
          </cell>
          <cell r="L74">
            <v>-10448.869056106672</v>
          </cell>
          <cell r="M74">
            <v>-12434.154176766939</v>
          </cell>
          <cell r="N74">
            <v>-13522.142667234046</v>
          </cell>
          <cell r="O74">
            <v>-15685.685493991492</v>
          </cell>
          <cell r="P74">
            <v>-18195.395173030131</v>
          </cell>
          <cell r="Q74">
            <v>-21106.65840071495</v>
          </cell>
          <cell r="R74">
            <v>-24483.723744829342</v>
          </cell>
          <cell r="S74">
            <v>-26269.595359158073</v>
          </cell>
          <cell r="T74">
            <v>-29947.338709440206</v>
          </cell>
          <cell r="U74">
            <v>-34139.966128761836</v>
          </cell>
          <cell r="V74">
            <v>-38919.561386788504</v>
          </cell>
          <cell r="W74">
            <v>-44368.2999809389</v>
          </cell>
          <cell r="X74">
            <v>-50579.861978270354</v>
          </cell>
          <cell r="Y74">
            <v>-57661.042655228208</v>
          </cell>
          <cell r="Z74">
            <v>-65733.588626960161</v>
          </cell>
          <cell r="AA74">
            <v>-74936.29103473459</v>
          </cell>
          <cell r="AB74">
            <v>-85427.371779597452</v>
          </cell>
        </row>
        <row r="75">
          <cell r="C75">
            <v>6323.6666666666652</v>
          </cell>
          <cell r="D75">
            <v>7185.0259224999008</v>
          </cell>
          <cell r="E75">
            <v>8134.5714778862839</v>
          </cell>
          <cell r="F75">
            <v>9173.5989418692643</v>
          </cell>
          <cell r="G75">
            <v>10418.270766129033</v>
          </cell>
          <cell r="H75">
            <v>12606.10762701613</v>
          </cell>
          <cell r="I75">
            <v>14532.478448769531</v>
          </cell>
          <cell r="J75">
            <v>17293.649354035741</v>
          </cell>
          <cell r="K75">
            <v>20579.442731302534</v>
          </cell>
          <cell r="L75">
            <v>24489.536850250013</v>
          </cell>
          <cell r="M75">
            <v>29142.548851797514</v>
          </cell>
          <cell r="N75">
            <v>32780.951920567386</v>
          </cell>
          <cell r="O75">
            <v>38025.904227858162</v>
          </cell>
          <cell r="P75">
            <v>44110.048904315474</v>
          </cell>
          <cell r="Q75">
            <v>51167.656729005947</v>
          </cell>
          <cell r="R75">
            <v>59354.481805646894</v>
          </cell>
          <cell r="S75">
            <v>64722.191464592346</v>
          </cell>
          <cell r="T75">
            <v>73783.298269635285</v>
          </cell>
          <cell r="U75">
            <v>84112.960027384237</v>
          </cell>
          <cell r="V75">
            <v>95888.774431218044</v>
          </cell>
          <cell r="W75">
            <v>109313.20285158859</v>
          </cell>
          <cell r="X75">
            <v>124617.05125081101</v>
          </cell>
          <cell r="Y75">
            <v>142063.43842592457</v>
          </cell>
          <cell r="Z75">
            <v>161952.319805554</v>
          </cell>
          <cell r="AA75">
            <v>184625.64457833159</v>
          </cell>
          <cell r="AB75">
            <v>210473.23481929806</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C77">
            <v>3135.0266666666648</v>
          </cell>
          <cell r="D77">
            <v>3685.0259224999008</v>
          </cell>
          <cell r="E77">
            <v>4205.0260233408299</v>
          </cell>
          <cell r="F77">
            <v>4725.0260252025973</v>
          </cell>
          <cell r="G77">
            <v>5804.4651411290333</v>
          </cell>
          <cell r="H77">
            <v>7023.4028207661295</v>
          </cell>
          <cell r="I77">
            <v>8331.9543106278634</v>
          </cell>
          <cell r="J77">
            <v>9915.0256296471562</v>
          </cell>
          <cell r="K77">
            <v>11798.88049928012</v>
          </cell>
          <cell r="L77">
            <v>14040.667794143341</v>
          </cell>
          <cell r="M77">
            <v>16708.394675030577</v>
          </cell>
          <cell r="N77">
            <v>19258.80925333334</v>
          </cell>
          <cell r="O77">
            <v>22340.21873386667</v>
          </cell>
          <cell r="P77">
            <v>25914.653731285343</v>
          </cell>
          <cell r="Q77">
            <v>30060.998328290996</v>
          </cell>
          <cell r="R77">
            <v>34870.758060817549</v>
          </cell>
          <cell r="S77">
            <v>38452.596105434277</v>
          </cell>
          <cell r="T77">
            <v>43835.959560195079</v>
          </cell>
          <cell r="U77">
            <v>49972.993898622401</v>
          </cell>
          <cell r="V77">
            <v>56969.21304442954</v>
          </cell>
          <cell r="W77">
            <v>64944.90287064969</v>
          </cell>
          <cell r="X77">
            <v>74037.189272540651</v>
          </cell>
          <cell r="Y77">
            <v>84402.39577069637</v>
          </cell>
          <cell r="Z77">
            <v>96218.731178593836</v>
          </cell>
          <cell r="AA77">
            <v>109689.353543597</v>
          </cell>
          <cell r="AB77">
            <v>125045.86303970061</v>
          </cell>
        </row>
        <row r="78">
          <cell r="C78">
            <v>3135.0266666666648</v>
          </cell>
          <cell r="D78">
            <v>3410.0262945832828</v>
          </cell>
          <cell r="E78">
            <v>3945.0259729203653</v>
          </cell>
          <cell r="F78">
            <v>4465.026024271714</v>
          </cell>
          <cell r="G78">
            <v>5264.7455831658153</v>
          </cell>
          <cell r="H78">
            <v>6413.9339809475814</v>
          </cell>
          <cell r="I78">
            <v>7677.6785656969969</v>
          </cell>
          <cell r="J78">
            <v>9123.4899701375107</v>
          </cell>
          <cell r="K78">
            <v>10856.953064463638</v>
          </cell>
          <cell r="L78">
            <v>12919.77414671173</v>
          </cell>
          <cell r="M78">
            <v>15374.531234586959</v>
          </cell>
          <cell r="N78">
            <v>17983.601964181958</v>
          </cell>
          <cell r="O78">
            <v>20799.513993600005</v>
          </cell>
          <cell r="P78">
            <v>24127.436232576008</v>
          </cell>
          <cell r="Q78">
            <v>27987.826029788172</v>
          </cell>
          <cell r="R78">
            <v>32465.878194554272</v>
          </cell>
          <cell r="S78">
            <v>36661.677083125913</v>
          </cell>
          <cell r="T78">
            <v>41144.277832814681</v>
          </cell>
          <cell r="U78">
            <v>46904.476729408736</v>
          </cell>
          <cell r="V78">
            <v>53471.103471525974</v>
          </cell>
          <cell r="W78">
            <v>60957.057957539611</v>
          </cell>
          <cell r="X78">
            <v>69491.046071595163</v>
          </cell>
          <cell r="Y78">
            <v>79219.79252161851</v>
          </cell>
          <cell r="Z78">
            <v>90310.563474645111</v>
          </cell>
          <cell r="AA78">
            <v>102954.04236109542</v>
          </cell>
          <cell r="AB78">
            <v>117367.60829164879</v>
          </cell>
        </row>
        <row r="79">
          <cell r="C79">
            <v>1.600093335176981E-2</v>
          </cell>
          <cell r="D79">
            <v>0.17543686683151116</v>
          </cell>
          <cell r="E79">
            <v>0.14111165342580925</v>
          </cell>
          <cell r="F79">
            <v>0.12366154192040774</v>
          </cell>
          <cell r="G79">
            <v>0.22845146464143598</v>
          </cell>
          <cell r="H79">
            <v>0.20999999999999985</v>
          </cell>
          <cell r="I79">
            <v>0.18631303418803394</v>
          </cell>
          <cell r="J79">
            <v>0.18999999999999984</v>
          </cell>
          <cell r="K79">
            <v>0.19000000000000039</v>
          </cell>
          <cell r="L79">
            <v>0.18999999999999986</v>
          </cell>
          <cell r="M79">
            <v>0.19000000000000009</v>
          </cell>
          <cell r="N79">
            <v>0.15264270613107817</v>
          </cell>
          <cell r="O79">
            <v>0.15999999999999975</v>
          </cell>
          <cell r="Q79">
            <v>0.15999999999999992</v>
          </cell>
          <cell r="R79">
            <v>0.15999999999999978</v>
          </cell>
          <cell r="S79">
            <v>0.10271752734396253</v>
          </cell>
          <cell r="T79">
            <v>0.14000000000000007</v>
          </cell>
          <cell r="W79">
            <v>0.14000000000000026</v>
          </cell>
          <cell r="X79">
            <v>0.14000000000000007</v>
          </cell>
          <cell r="AA79">
            <v>0.14000000000000024</v>
          </cell>
          <cell r="AB79">
            <v>0.14000000000000026</v>
          </cell>
        </row>
        <row r="80">
          <cell r="C80">
            <v>-5.8671505999206053</v>
          </cell>
          <cell r="D80">
            <v>-5.232752846617549</v>
          </cell>
          <cell r="E80">
            <v>-5.8179871520342612</v>
          </cell>
          <cell r="F80">
            <v>-6.3717021692397893</v>
          </cell>
          <cell r="G80">
            <v>-7.1276297335203367</v>
          </cell>
          <cell r="H80">
            <v>-7.6651583710407243</v>
          </cell>
          <cell r="I80">
            <v>-7.8932406822488943</v>
          </cell>
          <cell r="J80">
            <v>-8.1506849315068486</v>
          </cell>
          <cell r="K80">
            <v>-8.1506849315068486</v>
          </cell>
          <cell r="L80">
            <v>-8.1506849315068504</v>
          </cell>
          <cell r="M80">
            <v>-8.1506849315068504</v>
          </cell>
          <cell r="N80">
            <v>-8.3353293413173652</v>
          </cell>
          <cell r="O80">
            <v>-8.5925925925925917</v>
          </cell>
          <cell r="P80">
            <v>-8.5925925925925917</v>
          </cell>
          <cell r="Q80">
            <v>-8.5925925925925917</v>
          </cell>
          <cell r="R80">
            <v>-8.5925925925925917</v>
          </cell>
          <cell r="S80">
            <v>-8.7990919409761634</v>
          </cell>
          <cell r="T80">
            <v>-9.0560747663551417</v>
          </cell>
          <cell r="U80">
            <v>-9.0560747663551417</v>
          </cell>
          <cell r="V80">
            <v>-9.05607476635514</v>
          </cell>
          <cell r="W80">
            <v>-9.0560747663551417</v>
          </cell>
          <cell r="X80">
            <v>-9.0560747663551417</v>
          </cell>
          <cell r="Y80">
            <v>-9.05607476635514</v>
          </cell>
          <cell r="Z80">
            <v>-9.05607476635514</v>
          </cell>
          <cell r="AA80">
            <v>-9.05607476635514</v>
          </cell>
          <cell r="AB80">
            <v>-9.05607476635514</v>
          </cell>
        </row>
        <row r="81">
          <cell r="C81">
            <v>2.5961641871303107</v>
          </cell>
          <cell r="D81">
            <v>2.5909243081057753</v>
          </cell>
          <cell r="E81">
            <v>2.8215493443000246</v>
          </cell>
          <cell r="F81">
            <v>3.0842586885479695</v>
          </cell>
          <cell r="G81">
            <v>3.2969430540684987</v>
          </cell>
          <cell r="H81">
            <v>3.3945701357466063</v>
          </cell>
          <cell r="I81">
            <v>3.4271447234722023</v>
          </cell>
          <cell r="J81">
            <v>3.4776255707762562</v>
          </cell>
          <cell r="K81">
            <v>3.4776255707762562</v>
          </cell>
          <cell r="L81">
            <v>3.4776255707762562</v>
          </cell>
          <cell r="M81">
            <v>3.4776255707762558</v>
          </cell>
          <cell r="N81">
            <v>3.4938961779806044</v>
          </cell>
          <cell r="O81">
            <v>3.5444444444444443</v>
          </cell>
          <cell r="P81">
            <v>3.5444444444444443</v>
          </cell>
          <cell r="Q81">
            <v>3.5444444444444438</v>
          </cell>
          <cell r="R81">
            <v>3.5444444444444438</v>
          </cell>
          <cell r="S81">
            <v>3.5992512479201335</v>
          </cell>
          <cell r="T81">
            <v>3.67570093457944</v>
          </cell>
          <cell r="U81">
            <v>3.6757009345794396</v>
          </cell>
          <cell r="V81">
            <v>3.67570093457944</v>
          </cell>
          <cell r="W81">
            <v>3.6757009345794396</v>
          </cell>
          <cell r="X81">
            <v>3.6757009345794396</v>
          </cell>
          <cell r="Y81">
            <v>3.6757009345794391</v>
          </cell>
          <cell r="Z81">
            <v>3.6757009345794391</v>
          </cell>
          <cell r="AA81">
            <v>3.6757009345794396</v>
          </cell>
          <cell r="AB81">
            <v>3.6757009345794396</v>
          </cell>
        </row>
        <row r="82">
          <cell r="C82" t="str">
            <v xml:space="preserve">--  </v>
          </cell>
          <cell r="D82" t="str">
            <v xml:space="preserve">--  </v>
          </cell>
          <cell r="E82" t="str">
            <v xml:space="preserve">--  </v>
          </cell>
          <cell r="F82" t="str">
            <v xml:space="preserve">--  </v>
          </cell>
          <cell r="G82" t="str">
            <v xml:space="preserve">--  </v>
          </cell>
          <cell r="H82" t="str">
            <v xml:space="preserve">--  </v>
          </cell>
          <cell r="I82" t="str">
            <v xml:space="preserve">--  </v>
          </cell>
          <cell r="J82" t="str">
            <v xml:space="preserve">--  </v>
          </cell>
          <cell r="K82" t="str">
            <v xml:space="preserve">--  </v>
          </cell>
          <cell r="L82" t="str">
            <v xml:space="preserve">--  </v>
          </cell>
          <cell r="M82" t="str">
            <v xml:space="preserve">--  </v>
          </cell>
          <cell r="N82" t="str">
            <v xml:space="preserve">--  </v>
          </cell>
          <cell r="O82" t="str">
            <v xml:space="preserve">--  </v>
          </cell>
          <cell r="P82" t="str">
            <v xml:space="preserve">--  </v>
          </cell>
          <cell r="Q82" t="str">
            <v xml:space="preserve">--  </v>
          </cell>
          <cell r="R82" t="str">
            <v xml:space="preserve">--  </v>
          </cell>
          <cell r="S82" t="str">
            <v xml:space="preserve">--  </v>
          </cell>
          <cell r="T82" t="str">
            <v xml:space="preserve">--  </v>
          </cell>
          <cell r="U82" t="str">
            <v xml:space="preserve">--  </v>
          </cell>
          <cell r="V82" t="str">
            <v xml:space="preserve">--  </v>
          </cell>
          <cell r="W82" t="str">
            <v xml:space="preserve">--  </v>
          </cell>
          <cell r="X82" t="str">
            <v xml:space="preserve">--  </v>
          </cell>
          <cell r="Y82" t="str">
            <v xml:space="preserve">--  </v>
          </cell>
          <cell r="Z82" t="str">
            <v xml:space="preserve">--  </v>
          </cell>
          <cell r="AA82" t="str">
            <v xml:space="preserve">--  </v>
          </cell>
          <cell r="AB82" t="str">
            <v xml:space="preserve">--  </v>
          </cell>
        </row>
        <row r="83">
          <cell r="C83">
            <v>4.6200563950545899</v>
          </cell>
          <cell r="D83">
            <v>5.1319252369983737</v>
          </cell>
          <cell r="E83">
            <v>5.4784176703407148</v>
          </cell>
          <cell r="F83">
            <v>5.9778906897532851</v>
          </cell>
          <cell r="G83">
            <v>6.1345109397630706</v>
          </cell>
          <cell r="H83">
            <v>6.0928181923657032</v>
          </cell>
          <cell r="I83">
            <v>6.0570302127308153</v>
          </cell>
          <cell r="J83">
            <v>6.0656259955399818</v>
          </cell>
          <cell r="K83">
            <v>6.0656259955399818</v>
          </cell>
          <cell r="L83">
            <v>6.0656259955399809</v>
          </cell>
          <cell r="M83">
            <v>6.0656259955399801</v>
          </cell>
          <cell r="N83">
            <v>6.0153211549793744</v>
          </cell>
          <cell r="O83">
            <v>6.0330969267139478</v>
          </cell>
          <cell r="P83">
            <v>6.0330969267139469</v>
          </cell>
          <cell r="Q83">
            <v>6.033096926713946</v>
          </cell>
          <cell r="R83">
            <v>6.0330969267139469</v>
          </cell>
          <cell r="S83">
            <v>6.0905986391881921</v>
          </cell>
          <cell r="T83">
            <v>6.1868233552327201</v>
          </cell>
          <cell r="U83">
            <v>6.186823355232721</v>
          </cell>
          <cell r="V83">
            <v>6.1868233552327201</v>
          </cell>
          <cell r="W83">
            <v>6.186823355232721</v>
          </cell>
          <cell r="X83">
            <v>6.186823355232721</v>
          </cell>
          <cell r="Y83">
            <v>6.1868233552327201</v>
          </cell>
          <cell r="Z83">
            <v>6.1868233552327192</v>
          </cell>
          <cell r="AA83">
            <v>6.186823355232721</v>
          </cell>
          <cell r="AB83">
            <v>6.186823355232721</v>
          </cell>
        </row>
        <row r="85">
          <cell r="C85">
            <v>-4.5423754327863914</v>
          </cell>
          <cell r="D85">
            <v>-5</v>
          </cell>
          <cell r="E85">
            <v>-5.5</v>
          </cell>
          <cell r="F85">
            <v>-6</v>
          </cell>
          <cell r="G85">
            <v>-7.0000000000000009</v>
          </cell>
          <cell r="H85">
            <v>-6.9999999999999991</v>
          </cell>
          <cell r="I85">
            <v>-7.5</v>
          </cell>
          <cell r="J85">
            <v>-7.5</v>
          </cell>
          <cell r="K85">
            <v>-7.5</v>
          </cell>
          <cell r="L85">
            <v>-7.5000000000000009</v>
          </cell>
          <cell r="M85">
            <v>-7.5000000000000009</v>
          </cell>
          <cell r="N85">
            <v>-8</v>
          </cell>
          <cell r="O85">
            <v>-8</v>
          </cell>
          <cell r="Q85">
            <v>-8</v>
          </cell>
          <cell r="R85">
            <v>-8</v>
          </cell>
          <cell r="S85">
            <v>-8.5</v>
          </cell>
          <cell r="T85">
            <v>-8.5</v>
          </cell>
          <cell r="W85">
            <v>-8.5</v>
          </cell>
          <cell r="X85">
            <v>-8.5</v>
          </cell>
          <cell r="AA85">
            <v>-8.5</v>
          </cell>
          <cell r="AB85">
            <v>-8.5</v>
          </cell>
        </row>
        <row r="86">
          <cell r="C86">
            <v>2.2904433082072644</v>
          </cell>
          <cell r="D86">
            <v>2.4356209968844746</v>
          </cell>
          <cell r="E86">
            <v>2.6568701324652775</v>
          </cell>
          <cell r="F86">
            <v>2.909592807483385</v>
          </cell>
          <cell r="G86">
            <v>3.1</v>
          </cell>
          <cell r="H86">
            <v>3.1</v>
          </cell>
          <cell r="I86">
            <v>3.2</v>
          </cell>
          <cell r="J86">
            <v>3.2</v>
          </cell>
          <cell r="K86">
            <v>3.2</v>
          </cell>
          <cell r="L86">
            <v>3.2</v>
          </cell>
          <cell r="M86">
            <v>3.2</v>
          </cell>
          <cell r="N86">
            <v>3.3</v>
          </cell>
          <cell r="O86">
            <v>3.3</v>
          </cell>
          <cell r="Q86">
            <v>3.3</v>
          </cell>
          <cell r="R86">
            <v>3.3</v>
          </cell>
          <cell r="S86">
            <v>3.45</v>
          </cell>
          <cell r="T86">
            <v>3.45</v>
          </cell>
          <cell r="W86">
            <v>3.45</v>
          </cell>
          <cell r="X86">
            <v>3.45</v>
          </cell>
          <cell r="AA86">
            <v>3.45</v>
          </cell>
          <cell r="AB86">
            <v>3.45</v>
          </cell>
        </row>
        <row r="87">
          <cell r="C87" t="e">
            <v>#DIV/0!</v>
          </cell>
          <cell r="D87" t="e">
            <v>#DIV/0!</v>
          </cell>
          <cell r="E87" t="e">
            <v>#DIV/0!</v>
          </cell>
          <cell r="F87" t="e">
            <v>#DIV/0!</v>
          </cell>
          <cell r="G87" t="e">
            <v>#DIV/0!</v>
          </cell>
          <cell r="H87" t="e">
            <v>#DIV/0!</v>
          </cell>
          <cell r="I87" t="e">
            <v>#DIV/0!</v>
          </cell>
          <cell r="J87" t="e">
            <v>#DIV/0!</v>
          </cell>
          <cell r="K87" t="e">
            <v>#DIV/0!</v>
          </cell>
          <cell r="L87" t="e">
            <v>#DIV/0!</v>
          </cell>
          <cell r="M87" t="e">
            <v>#DIV/0!</v>
          </cell>
          <cell r="N87" t="e">
            <v>#DIV/0!</v>
          </cell>
          <cell r="O87" t="e">
            <v>#DIV/0!</v>
          </cell>
          <cell r="Q87" t="e">
            <v>#DIV/0!</v>
          </cell>
          <cell r="R87" t="e">
            <v>#DIV/0!</v>
          </cell>
          <cell r="S87" t="e">
            <v>#DIV/0!</v>
          </cell>
          <cell r="T87" t="e">
            <v>#DIV/0!</v>
          </cell>
          <cell r="W87" t="e">
            <v>#DIV/0!</v>
          </cell>
          <cell r="X87" t="e">
            <v>#DIV/0!</v>
          </cell>
          <cell r="AA87" t="e">
            <v>#DIV/0!</v>
          </cell>
          <cell r="AB87" t="e">
            <v>#DIV/0!</v>
          </cell>
        </row>
        <row r="88">
          <cell r="C88">
            <v>4.6200563950545899</v>
          </cell>
          <cell r="D88">
            <v>4.7489489539677647</v>
          </cell>
          <cell r="E88">
            <v>5.1396828176652267</v>
          </cell>
          <cell r="F88">
            <v>5.6489503671793093</v>
          </cell>
          <cell r="G88">
            <v>5.5641025641025639</v>
          </cell>
          <cell r="H88">
            <v>5.5641025641025639</v>
          </cell>
          <cell r="I88">
            <v>5.5813953488372103</v>
          </cell>
          <cell r="J88">
            <v>5.5813953488372112</v>
          </cell>
          <cell r="K88">
            <v>5.5813953488372094</v>
          </cell>
          <cell r="L88">
            <v>5.5813953488372094</v>
          </cell>
          <cell r="M88">
            <v>5.5813953488372086</v>
          </cell>
          <cell r="N88">
            <v>5.6170212765957439</v>
          </cell>
          <cell r="O88">
            <v>5.6170212765957448</v>
          </cell>
          <cell r="Q88">
            <v>5.6170212765957439</v>
          </cell>
          <cell r="R88">
            <v>5.6170212765957448</v>
          </cell>
          <cell r="S88">
            <v>5.8069306930693072</v>
          </cell>
          <cell r="T88">
            <v>5.8069306930693072</v>
          </cell>
          <cell r="W88">
            <v>5.8069306930693072</v>
          </cell>
          <cell r="X88">
            <v>5.8069306930693081</v>
          </cell>
          <cell r="AA88">
            <v>5.8069306930693072</v>
          </cell>
          <cell r="AB88">
            <v>5.8069306930693072</v>
          </cell>
        </row>
        <row r="91">
          <cell r="C91" t="str">
            <v>N/A</v>
          </cell>
          <cell r="D91" t="str">
            <v>N/A</v>
          </cell>
          <cell r="E91" t="str">
            <v>NM</v>
          </cell>
          <cell r="F91" t="str">
            <v>NM</v>
          </cell>
          <cell r="G91" t="str">
            <v>NM</v>
          </cell>
          <cell r="H91" t="str">
            <v>NM</v>
          </cell>
          <cell r="I91" t="str">
            <v>NM</v>
          </cell>
          <cell r="J91" t="str">
            <v>NM</v>
          </cell>
          <cell r="K91">
            <v>0.25432562418273008</v>
          </cell>
          <cell r="L91">
            <v>0.46631370761856944</v>
          </cell>
          <cell r="M91">
            <v>0.56538777747845093</v>
          </cell>
          <cell r="N91">
            <v>1.7088849457823854</v>
          </cell>
          <cell r="O91">
            <v>1.2466970766485552</v>
          </cell>
          <cell r="Q91" t="str">
            <v>NM</v>
          </cell>
        </row>
        <row r="92">
          <cell r="C92">
            <v>9.5426712753357048</v>
          </cell>
          <cell r="D92">
            <v>9.486575090296455</v>
          </cell>
          <cell r="E92">
            <v>3.1437366886592808</v>
          </cell>
          <cell r="F92">
            <v>2.3937145238754018</v>
          </cell>
          <cell r="G92">
            <v>2.0930608151202255</v>
          </cell>
          <cell r="H92">
            <v>1.9647490499711482</v>
          </cell>
          <cell r="I92">
            <v>1.8325321293555097</v>
          </cell>
          <cell r="J92">
            <v>1.8667361449172493</v>
          </cell>
          <cell r="K92">
            <v>1.8670738031554825</v>
          </cell>
          <cell r="L92">
            <v>1.8586046511627907</v>
          </cell>
          <cell r="M92">
            <v>1.8586046511627898</v>
          </cell>
          <cell r="N92">
            <v>1.8892317012247664</v>
          </cell>
          <cell r="O92">
            <v>1.8905379101016728</v>
          </cell>
          <cell r="Q92">
            <v>1.8704680851063826</v>
          </cell>
          <cell r="R92">
            <v>1.8704680851063831</v>
          </cell>
          <cell r="S92">
            <v>2.0644182395120967</v>
          </cell>
          <cell r="T92">
            <v>2.0717157570991698</v>
          </cell>
          <cell r="W92">
            <v>1.9337079207920789</v>
          </cell>
          <cell r="X92">
            <v>1.9337079207920804</v>
          </cell>
          <cell r="AA92">
            <v>1.9337079207920789</v>
          </cell>
          <cell r="AB92">
            <v>1.9337079207920795</v>
          </cell>
        </row>
        <row r="93">
          <cell r="C93" t="str">
            <v>NM</v>
          </cell>
          <cell r="D93">
            <v>25.290438032558981</v>
          </cell>
          <cell r="E93">
            <v>2.1040320010618481</v>
          </cell>
          <cell r="F93">
            <v>2.6925288923116377</v>
          </cell>
          <cell r="G93">
            <v>3.6130458489663795</v>
          </cell>
          <cell r="H93">
            <v>2.0922940054431631</v>
          </cell>
          <cell r="I93">
            <v>2.0284253846153857</v>
          </cell>
          <cell r="J93">
            <v>2.248519633692494</v>
          </cell>
          <cell r="K93">
            <v>2.2117395348837241</v>
          </cell>
          <cell r="L93">
            <v>2.211739534883717</v>
          </cell>
          <cell r="M93">
            <v>2.211739534883721</v>
          </cell>
          <cell r="N93">
            <v>1.862517503059973</v>
          </cell>
          <cell r="O93">
            <v>2.2598985041551241</v>
          </cell>
          <cell r="Q93">
            <v>2.1697429787233991</v>
          </cell>
          <cell r="R93">
            <v>2.1697429787234044</v>
          </cell>
          <cell r="S93">
            <v>1.8985251063829829</v>
          </cell>
          <cell r="T93">
            <v>2.9062878955733118</v>
          </cell>
          <cell r="W93">
            <v>2.2044270297029716</v>
          </cell>
          <cell r="X93">
            <v>2.2044270297029702</v>
          </cell>
          <cell r="AA93">
            <v>2.2044270297029764</v>
          </cell>
          <cell r="AB93">
            <v>2.2044270297029702</v>
          </cell>
        </row>
        <row r="96">
          <cell r="C96">
            <v>1.6172087338563206</v>
          </cell>
          <cell r="D96">
            <v>1.8529668652028675</v>
          </cell>
          <cell r="E96">
            <v>1.8738727919415348</v>
          </cell>
          <cell r="F96">
            <v>1.9111339260999234</v>
          </cell>
          <cell r="G96">
            <v>1.9432308039490394</v>
          </cell>
          <cell r="H96">
            <v>1.9600718862241284</v>
          </cell>
          <cell r="I96">
            <v>1.9694456269765179</v>
          </cell>
          <cell r="J96">
            <v>1.9765689836929226</v>
          </cell>
          <cell r="K96">
            <v>1.9819284042357788</v>
          </cell>
          <cell r="L96">
            <v>1.986106887195221</v>
          </cell>
          <cell r="M96">
            <v>1.9894560154833445</v>
          </cell>
          <cell r="N96">
            <v>1.9906927035599271</v>
          </cell>
          <cell r="O96">
            <v>1.9922136768572662</v>
          </cell>
          <cell r="Q96">
            <v>1.9946061259864956</v>
          </cell>
          <cell r="R96">
            <v>1.9955639099107756</v>
          </cell>
          <cell r="S96">
            <v>1.9975863048785347</v>
          </cell>
          <cell r="T96">
            <v>2.0012169081156541</v>
          </cell>
          <cell r="W96">
            <v>2.0099573010254677</v>
          </cell>
          <cell r="X96">
            <v>2.0123223530762337</v>
          </cell>
          <cell r="AA96">
            <v>2.0182471654699023</v>
          </cell>
          <cell r="AB96">
            <v>2.0199092367389544</v>
          </cell>
        </row>
        <row r="97">
          <cell r="C97">
            <v>0.35004090763641249</v>
          </cell>
          <cell r="D97">
            <v>0.36106661333333345</v>
          </cell>
          <cell r="E97">
            <v>0.35340474417897388</v>
          </cell>
          <cell r="F97">
            <v>0.34630862832105319</v>
          </cell>
          <cell r="G97">
            <v>0.34293241866584756</v>
          </cell>
          <cell r="H97">
            <v>0.34092251274013374</v>
          </cell>
          <cell r="I97">
            <v>0.33958912413519771</v>
          </cell>
          <cell r="J97">
            <v>0.33863989777667308</v>
          </cell>
          <cell r="K97">
            <v>0.3379297196396423</v>
          </cell>
          <cell r="L97">
            <v>0.33737838869982151</v>
          </cell>
          <cell r="M97">
            <v>0.33693797165422684</v>
          </cell>
          <cell r="N97">
            <v>0.33657805809890268</v>
          </cell>
          <cell r="O97">
            <v>0.33627842383510254</v>
          </cell>
          <cell r="Q97">
            <v>0.33580810883543616</v>
          </cell>
          <cell r="R97">
            <v>0.33562016706466469</v>
          </cell>
          <cell r="S97">
            <v>0.33545580430214778</v>
          </cell>
          <cell r="T97">
            <v>0.33531084518201093</v>
          </cell>
          <cell r="W97">
            <v>0.3349631988157169</v>
          </cell>
          <cell r="X97">
            <v>0.33486945124702061</v>
          </cell>
          <cell r="AA97">
            <v>0.33463519709840617</v>
          </cell>
          <cell r="AB97">
            <v>0.33456963530720252</v>
          </cell>
        </row>
        <row r="98">
          <cell r="C98">
            <v>4.6200563950545899</v>
          </cell>
          <cell r="D98">
            <v>5.1319252369983737</v>
          </cell>
          <cell r="E98">
            <v>5.3023419260963687</v>
          </cell>
          <cell r="F98">
            <v>5.5185859369584183</v>
          </cell>
          <cell r="G98">
            <v>5.6665124035488708</v>
          </cell>
          <cell r="H98">
            <v>5.7493178448974467</v>
          </cell>
          <cell r="I98">
            <v>5.7994955874748211</v>
          </cell>
          <cell r="J98">
            <v>5.8367870905643677</v>
          </cell>
          <cell r="K98">
            <v>5.8649129953685204</v>
          </cell>
          <cell r="L98">
            <v>5.8868823662630518</v>
          </cell>
          <cell r="M98">
            <v>5.9045171006281496</v>
          </cell>
          <cell r="N98">
            <v>5.91450528535335</v>
          </cell>
          <cell r="O98">
            <v>5.9242982470804266</v>
          </cell>
          <cell r="Q98">
            <v>5.939719957637946</v>
          </cell>
          <cell r="R98">
            <v>5.9458998765300235</v>
          </cell>
          <cell r="S98">
            <v>5.9548419769755787</v>
          </cell>
          <cell r="T98">
            <v>5.9682439052317813</v>
          </cell>
          <cell r="W98">
            <v>6.0005317244753931</v>
          </cell>
          <cell r="X98">
            <v>6.0092741979972937</v>
          </cell>
          <cell r="AA98">
            <v>6.0311861482891063</v>
          </cell>
          <cell r="AB98">
            <v>6.0373357997185506</v>
          </cell>
        </row>
        <row r="99">
          <cell r="C99" t="str">
            <v>N/A</v>
          </cell>
          <cell r="D99">
            <v>0.20822977078155214</v>
          </cell>
          <cell r="E99">
            <v>0.22154155349509774</v>
          </cell>
          <cell r="F99">
            <v>0.22601132692079595</v>
          </cell>
          <cell r="G99">
            <v>0.22198874109284783</v>
          </cell>
          <cell r="H99">
            <v>0.21958152752787674</v>
          </cell>
          <cell r="I99">
            <v>0.21460069407095195</v>
          </cell>
          <cell r="J99">
            <v>0.21105541501089453</v>
          </cell>
          <cell r="K99">
            <v>0.20840324841475266</v>
          </cell>
          <cell r="L99">
            <v>0.2063444683340494</v>
          </cell>
          <cell r="M99">
            <v>0.20469997001667317</v>
          </cell>
          <cell r="N99">
            <v>0.20056613689391467</v>
          </cell>
          <cell r="O99">
            <v>0.19713211373106532</v>
          </cell>
          <cell r="Q99">
            <v>0.19175562618453323</v>
          </cell>
          <cell r="R99">
            <v>0.18961179828565422</v>
          </cell>
          <cell r="S99">
            <v>0.18644876074829364</v>
          </cell>
          <cell r="T99">
            <v>0.18366483020552038</v>
          </cell>
          <cell r="W99">
            <v>0.17701001961301666</v>
          </cell>
          <cell r="X99">
            <v>0.17522069604866597</v>
          </cell>
          <cell r="AA99">
            <v>0.17075927887995013</v>
          </cell>
          <cell r="AB99">
            <v>0.16951311988121565</v>
          </cell>
        </row>
        <row r="100">
          <cell r="C100" t="str">
            <v>N/A</v>
          </cell>
          <cell r="D100">
            <v>0.2462869965979495</v>
          </cell>
          <cell r="E100">
            <v>0.21430435747779275</v>
          </cell>
          <cell r="F100">
            <v>0.20523002989947203</v>
          </cell>
          <cell r="G100">
            <v>0.20683684988355577</v>
          </cell>
          <cell r="H100">
            <v>0.20746881769222036</v>
          </cell>
          <cell r="I100">
            <v>0.20453964083874521</v>
          </cell>
          <cell r="J100">
            <v>0.20245172317627369</v>
          </cell>
          <cell r="K100">
            <v>0.20088816033470347</v>
          </cell>
          <cell r="L100">
            <v>0.19967346165170463</v>
          </cell>
          <cell r="M100">
            <v>0.19870258740595959</v>
          </cell>
          <cell r="N100">
            <v>0.19513144780869851</v>
          </cell>
          <cell r="O100">
            <v>0.19216362653072827</v>
          </cell>
          <cell r="Q100">
            <v>0.18751479047975361</v>
          </cell>
          <cell r="R100">
            <v>0.18566033589578601</v>
          </cell>
          <cell r="S100">
            <v>0.18275373061508082</v>
          </cell>
          <cell r="T100">
            <v>0.18019499678835671</v>
          </cell>
          <cell r="W100">
            <v>0.17407659759821814</v>
          </cell>
          <cell r="X100">
            <v>0.17243104223943662</v>
          </cell>
          <cell r="AA100">
            <v>0.16832723713157716</v>
          </cell>
          <cell r="AB100">
            <v>0.16718074795954818</v>
          </cell>
        </row>
        <row r="101">
          <cell r="C101" t="str">
            <v>N/A</v>
          </cell>
          <cell r="D101">
            <v>0.17543686683151116</v>
          </cell>
          <cell r="E101">
            <v>0.15814710059118076</v>
          </cell>
          <cell r="F101">
            <v>0.1465358931965639</v>
          </cell>
          <cell r="G101">
            <v>0.16648791022548526</v>
          </cell>
          <cell r="H101">
            <v>0.17506331417265786</v>
          </cell>
          <cell r="I101">
            <v>0.17693083169439894</v>
          </cell>
          <cell r="J101">
            <v>0.17878903107669397</v>
          </cell>
          <cell r="K101">
            <v>0.18018460568056427</v>
          </cell>
          <cell r="L101">
            <v>0.18127119477576992</v>
          </cell>
          <cell r="M101">
            <v>0.18214118630743759</v>
          </cell>
          <cell r="N101">
            <v>0.1794285974747023</v>
          </cell>
          <cell r="O101">
            <v>0.17779719352399881</v>
          </cell>
          <cell r="Q101">
            <v>0.17523811676220347</v>
          </cell>
          <cell r="R101">
            <v>0.1742160436110447</v>
          </cell>
          <cell r="S101">
            <v>0.16961458882559088</v>
          </cell>
          <cell r="T101">
            <v>0.16785145084090169</v>
          </cell>
          <cell r="W101">
            <v>0.16363075606229471</v>
          </cell>
          <cell r="X101">
            <v>0.16249445413935848</v>
          </cell>
          <cell r="AA101">
            <v>0.15965855152735076</v>
          </cell>
          <cell r="AB101">
            <v>0.15886573926009984</v>
          </cell>
        </row>
        <row r="102">
          <cell r="C102" t="str">
            <v>N/A</v>
          </cell>
          <cell r="D102">
            <v>4.2300536007880973E-2</v>
          </cell>
          <cell r="E102">
            <v>0.1210754906049738</v>
          </cell>
          <cell r="F102">
            <v>0.14719858618144044</v>
          </cell>
          <cell r="G102">
            <v>0.1498626349061587</v>
          </cell>
          <cell r="H102">
            <v>0.16337114540289144</v>
          </cell>
          <cell r="I102">
            <v>0.16972819958907692</v>
          </cell>
          <cell r="J102">
            <v>0.17234560371200591</v>
          </cell>
          <cell r="K102">
            <v>0.17453799950361804</v>
          </cell>
          <cell r="L102">
            <v>0.17624603039547515</v>
          </cell>
          <cell r="M102">
            <v>0.1776142433035619</v>
          </cell>
          <cell r="N102">
            <v>0.17775552048614962</v>
          </cell>
          <cell r="O102">
            <v>0.17595478482515969</v>
          </cell>
          <cell r="Q102">
            <v>0.1736621643794376</v>
          </cell>
          <cell r="R102">
            <v>0.17274636819203582</v>
          </cell>
          <cell r="S102">
            <v>0.17266658735038276</v>
          </cell>
          <cell r="T102">
            <v>0.16960120717856841</v>
          </cell>
          <cell r="W102">
            <v>0.16511250734354332</v>
          </cell>
          <cell r="X102">
            <v>0.16390422506234903</v>
          </cell>
          <cell r="AA102">
            <v>0.16088899861779349</v>
          </cell>
          <cell r="AB102">
            <v>0.16004613586731797</v>
          </cell>
        </row>
        <row r="105">
          <cell r="C105" t="str">
            <v>N/A</v>
          </cell>
          <cell r="D105">
            <v>0.14578089173706665</v>
          </cell>
          <cell r="E105">
            <v>2.2692107152985308E-2</v>
          </cell>
          <cell r="F105">
            <v>4.9012342021208966E-2</v>
          </cell>
          <cell r="G105">
            <v>2.7616392272913126E-2</v>
          </cell>
          <cell r="H105">
            <v>-6.7964256330721451E-3</v>
          </cell>
          <cell r="I105">
            <v>-5.8737973963723933E-3</v>
          </cell>
          <cell r="J105">
            <v>1.419141478128827E-3</v>
          </cell>
          <cell r="K105">
            <v>0</v>
          </cell>
          <cell r="L105">
            <v>0</v>
          </cell>
          <cell r="M105">
            <v>-2.2204460492503131E-16</v>
          </cell>
          <cell r="N105">
            <v>-8.2934293340199972E-3</v>
          </cell>
          <cell r="O105">
            <v>2.9550827423168169E-3</v>
          </cell>
          <cell r="Q105">
            <v>-2.2204460492503131E-16</v>
          </cell>
          <cell r="R105">
            <v>2.2204460492503131E-16</v>
          </cell>
          <cell r="S105">
            <v>9.5310440347200487E-3</v>
          </cell>
          <cell r="T105">
            <v>1.5798892973409417E-2</v>
          </cell>
          <cell r="W105">
            <v>0</v>
          </cell>
          <cell r="X105">
            <v>0</v>
          </cell>
          <cell r="AA105">
            <v>2.2204460492503131E-16</v>
          </cell>
          <cell r="AB105">
            <v>0</v>
          </cell>
        </row>
        <row r="106">
          <cell r="C106" t="str">
            <v>N/A</v>
          </cell>
          <cell r="D106" t="str">
            <v>N/A</v>
          </cell>
          <cell r="E106" t="str">
            <v>N/A</v>
          </cell>
          <cell r="F106" t="str">
            <v>N/A</v>
          </cell>
          <cell r="G106" t="str">
            <v>N/A</v>
          </cell>
          <cell r="H106">
            <v>4.6403719973358459E-2</v>
          </cell>
          <cell r="I106">
            <v>1.7108453838055704E-2</v>
          </cell>
          <cell r="J106">
            <v>1.2841437307074877E-2</v>
          </cell>
          <cell r="K106">
            <v>3.1949592496003376E-3</v>
          </cell>
          <cell r="L106">
            <v>-2.2559728719027117E-3</v>
          </cell>
          <cell r="M106">
            <v>-8.941960774673241E-4</v>
          </cell>
          <cell r="N106">
            <v>-1.3810206530004976E-3</v>
          </cell>
          <cell r="O106">
            <v>-1.0748791201453667E-3</v>
          </cell>
          <cell r="Q106">
            <v>-1.0748791201453667E-3</v>
          </cell>
          <cell r="R106">
            <v>-1.0748791201452557E-3</v>
          </cell>
          <cell r="S106">
            <v>2.4904230158366847E-3</v>
          </cell>
          <cell r="T106">
            <v>5.0449430393475492E-3</v>
          </cell>
          <cell r="W106">
            <v>5.0449430393475492E-3</v>
          </cell>
          <cell r="X106">
            <v>3.1399974117825025E-3</v>
          </cell>
          <cell r="AA106">
            <v>0</v>
          </cell>
          <cell r="AB106">
            <v>0</v>
          </cell>
        </row>
        <row r="107">
          <cell r="C107" t="str">
            <v>N/A</v>
          </cell>
          <cell r="D107" t="str">
            <v>N/A</v>
          </cell>
          <cell r="E107" t="str">
            <v>N/A</v>
          </cell>
          <cell r="F107" t="str">
            <v>N/A</v>
          </cell>
          <cell r="G107" t="str">
            <v>N/A</v>
          </cell>
          <cell r="H107" t="str">
            <v>N/A</v>
          </cell>
          <cell r="I107" t="str">
            <v>N/A</v>
          </cell>
          <cell r="J107" t="str">
            <v>N/A</v>
          </cell>
          <cell r="K107" t="str">
            <v>N/A</v>
          </cell>
          <cell r="L107" t="str">
            <v>N/A</v>
          </cell>
          <cell r="M107">
            <v>2.2481310279807154E-2</v>
          </cell>
          <cell r="N107">
            <v>7.821316532332423E-3</v>
          </cell>
          <cell r="O107">
            <v>5.8592124120033784E-3</v>
          </cell>
          <cell r="Q107">
            <v>-1.6656006597350892E-3</v>
          </cell>
          <cell r="R107">
            <v>-9.8454168362316352E-4</v>
          </cell>
          <cell r="S107">
            <v>5.5282870881767643E-4</v>
          </cell>
          <cell r="T107">
            <v>1.9803596953720248E-3</v>
          </cell>
          <cell r="W107">
            <v>1.9803596953720248E-3</v>
          </cell>
          <cell r="X107">
            <v>2.8151576185131422E-3</v>
          </cell>
          <cell r="AA107">
            <v>2.5192980882451366E-3</v>
          </cell>
          <cell r="AB107">
            <v>2.5192980882451366E-3</v>
          </cell>
        </row>
        <row r="110">
          <cell r="C110">
            <v>0</v>
          </cell>
          <cell r="D110">
            <v>0.75</v>
          </cell>
          <cell r="E110">
            <v>1.75</v>
          </cell>
          <cell r="F110">
            <v>2.75</v>
          </cell>
          <cell r="G110">
            <v>3.75</v>
          </cell>
          <cell r="H110">
            <v>4.75</v>
          </cell>
          <cell r="I110">
            <v>5.75</v>
          </cell>
          <cell r="J110">
            <v>6.75</v>
          </cell>
          <cell r="K110">
            <v>7.75</v>
          </cell>
          <cell r="L110">
            <v>8.75</v>
          </cell>
          <cell r="M110">
            <v>9.75</v>
          </cell>
          <cell r="N110">
            <v>10.75</v>
          </cell>
          <cell r="O110">
            <v>11.75</v>
          </cell>
          <cell r="Q110">
            <v>13.75</v>
          </cell>
          <cell r="R110">
            <v>14.75</v>
          </cell>
          <cell r="S110">
            <v>15.75</v>
          </cell>
          <cell r="T110">
            <v>16.75</v>
          </cell>
          <cell r="W110">
            <v>19.75</v>
          </cell>
          <cell r="X110">
            <v>20.75</v>
          </cell>
          <cell r="AA110">
            <v>23.75</v>
          </cell>
          <cell r="AB110">
            <v>24.75</v>
          </cell>
          <cell r="AC110">
            <v>25.75</v>
          </cell>
        </row>
        <row r="114">
          <cell r="D114" t="str">
            <v>1999E</v>
          </cell>
          <cell r="E114" t="str">
            <v>2000E</v>
          </cell>
          <cell r="F114" t="str">
            <v>2001E</v>
          </cell>
          <cell r="G114" t="str">
            <v>2002E</v>
          </cell>
          <cell r="H114" t="str">
            <v>2003E</v>
          </cell>
          <cell r="I114" t="str">
            <v>2004E</v>
          </cell>
          <cell r="J114" t="str">
            <v>2005E</v>
          </cell>
          <cell r="K114" t="str">
            <v>2006E</v>
          </cell>
          <cell r="L114" t="str">
            <v>2007E</v>
          </cell>
          <cell r="M114" t="str">
            <v>2008E</v>
          </cell>
          <cell r="N114" t="str">
            <v>2009E</v>
          </cell>
          <cell r="O114" t="str">
            <v>2010E</v>
          </cell>
          <cell r="Q114" t="str">
            <v>2012E</v>
          </cell>
          <cell r="R114" t="str">
            <v>2013E</v>
          </cell>
          <cell r="S114" t="str">
            <v>2014E</v>
          </cell>
          <cell r="T114" t="str">
            <v>2015E</v>
          </cell>
          <cell r="W114" t="str">
            <v>2018E</v>
          </cell>
          <cell r="X114" t="str">
            <v>2019E</v>
          </cell>
          <cell r="AA114" t="str">
            <v>2022E</v>
          </cell>
        </row>
        <row r="116">
          <cell r="D116">
            <v>4738.9993000000013</v>
          </cell>
          <cell r="E116">
            <v>7475.881768166666</v>
          </cell>
          <cell r="F116">
            <v>8875.9970636858325</v>
          </cell>
          <cell r="G116">
            <v>10754.780911875001</v>
          </cell>
          <cell r="H116">
            <v>13013.284903368751</v>
          </cell>
          <cell r="I116">
            <v>15485.809035008813</v>
          </cell>
          <cell r="J116">
            <v>18428.112751660487</v>
          </cell>
          <cell r="K116">
            <v>21929.454174475981</v>
          </cell>
          <cell r="L116">
            <v>26096.050467626417</v>
          </cell>
          <cell r="M116">
            <v>31054.300056475433</v>
          </cell>
          <cell r="N116">
            <v>36022.988065511498</v>
          </cell>
          <cell r="O116">
            <v>41786.666155993335</v>
          </cell>
          <cell r="Q116">
            <v>56228.13797950463</v>
          </cell>
          <cell r="R116">
            <v>65224.640056225369</v>
          </cell>
          <cell r="S116">
            <v>74356.089664096929</v>
          </cell>
          <cell r="T116">
            <v>84765.942217070507</v>
          </cell>
          <cell r="W116">
            <v>125584.47309604756</v>
          </cell>
          <cell r="X116">
            <v>143166.29932949424</v>
          </cell>
          <cell r="AA116">
            <v>212107.17177381626</v>
          </cell>
          <cell r="AB116">
            <v>241802.17582215057</v>
          </cell>
          <cell r="AC116">
            <v>275654.48043725168</v>
          </cell>
        </row>
        <row r="117">
          <cell r="D117">
            <v>412.49944187492702</v>
          </cell>
          <cell r="E117">
            <v>520.00010084092901</v>
          </cell>
          <cell r="F117">
            <v>520.00000186176749</v>
          </cell>
          <cell r="G117">
            <v>1079.439115926436</v>
          </cell>
          <cell r="H117">
            <v>1218.9376796370962</v>
          </cell>
          <cell r="I117">
            <v>1308.5514898617339</v>
          </cell>
          <cell r="J117">
            <v>1583.0713190192928</v>
          </cell>
          <cell r="K117">
            <v>1883.8548696329635</v>
          </cell>
          <cell r="L117">
            <v>2241.7872948632212</v>
          </cell>
          <cell r="M117">
            <v>2667.7268808872359</v>
          </cell>
          <cell r="N117">
            <v>2550.4145783027634</v>
          </cell>
          <cell r="O117">
            <v>3081.4094805333298</v>
          </cell>
          <cell r="Q117">
            <v>4146.3445970056528</v>
          </cell>
          <cell r="R117">
            <v>4809.7597325265524</v>
          </cell>
          <cell r="S117">
            <v>3581.8380446167284</v>
          </cell>
          <cell r="T117">
            <v>5383.3634547608017</v>
          </cell>
          <cell r="W117">
            <v>7975.6898262201503</v>
          </cell>
          <cell r="X117">
            <v>9092.2864018909604</v>
          </cell>
          <cell r="AA117">
            <v>13470.622365003161</v>
          </cell>
          <cell r="AB117">
            <v>15356.509496103608</v>
          </cell>
          <cell r="AC117">
            <v>0</v>
          </cell>
        </row>
        <row r="118">
          <cell r="D118">
            <v>5768.6664775000991</v>
          </cell>
          <cell r="E118">
            <v>6955.881667325737</v>
          </cell>
          <cell r="F118">
            <v>8355.9970618240659</v>
          </cell>
          <cell r="G118">
            <v>9675.341795948565</v>
          </cell>
          <cell r="H118">
            <v>11794.347223731655</v>
          </cell>
          <cell r="I118">
            <v>14177.25754514708</v>
          </cell>
          <cell r="J118">
            <v>16845.041432641192</v>
          </cell>
          <cell r="K118">
            <v>20045.599304843017</v>
          </cell>
          <cell r="L118">
            <v>23854.263172763196</v>
          </cell>
          <cell r="M118">
            <v>28386.573175588197</v>
          </cell>
          <cell r="N118">
            <v>33472.573487208734</v>
          </cell>
          <cell r="O118">
            <v>38705.256675460005</v>
          </cell>
          <cell r="Q118">
            <v>52081.793382498974</v>
          </cell>
          <cell r="R118">
            <v>60414.880323698817</v>
          </cell>
          <cell r="S118">
            <v>70774.251619480201</v>
          </cell>
          <cell r="T118">
            <v>79382.578762309713</v>
          </cell>
          <cell r="W118">
            <v>117608.7832698274</v>
          </cell>
          <cell r="X118">
            <v>134074.01292760327</v>
          </cell>
          <cell r="AA118">
            <v>198636.54940881309</v>
          </cell>
          <cell r="AB118">
            <v>226445.66632604698</v>
          </cell>
          <cell r="AC118">
            <v>275654.48043725168</v>
          </cell>
        </row>
        <row r="120">
          <cell r="D120">
            <v>5298.8677664348606</v>
          </cell>
          <cell r="E120">
            <v>5705.1890298769104</v>
          </cell>
          <cell r="F120">
            <v>6119.6464681047219</v>
          </cell>
          <cell r="G120">
            <v>6327.0981708727559</v>
          </cell>
          <cell r="H120">
            <v>6886.8776571685521</v>
          </cell>
          <cell r="I120">
            <v>7391.8116048865113</v>
          </cell>
          <cell r="J120">
            <v>7842.2547512008232</v>
          </cell>
          <cell r="K120">
            <v>8332.9372077819153</v>
          </cell>
          <cell r="L120">
            <v>8854.3212012085987</v>
          </cell>
          <cell r="M120">
            <v>9408.3276975802964</v>
          </cell>
          <cell r="N120">
            <v>9906.0102626710013</v>
          </cell>
          <cell r="O120">
            <v>10227.97890347541</v>
          </cell>
          <cell r="Q120">
            <v>10973.020883058714</v>
          </cell>
          <cell r="R120">
            <v>11365.653108507089</v>
          </cell>
          <cell r="S120">
            <v>11888.743708826983</v>
          </cell>
          <cell r="T120">
            <v>11906.828105688259</v>
          </cell>
          <cell r="W120">
            <v>12558.600445399001</v>
          </cell>
          <cell r="X120">
            <v>12783.691944557375</v>
          </cell>
          <cell r="AA120">
            <v>13483.463263576006</v>
          </cell>
          <cell r="AB120">
            <v>13725.131351755137</v>
          </cell>
          <cell r="AC120">
            <v>14918.589134337726</v>
          </cell>
        </row>
        <row r="121">
          <cell r="D121">
            <v>5298.8677664348606</v>
          </cell>
          <cell r="E121">
            <v>11004.056796311772</v>
          </cell>
          <cell r="F121">
            <v>17123.703264416494</v>
          </cell>
          <cell r="G121">
            <v>23450.80143528925</v>
          </cell>
          <cell r="H121">
            <v>30337.679092457802</v>
          </cell>
          <cell r="I121">
            <v>37729.490697344314</v>
          </cell>
          <cell r="J121">
            <v>45571.745448545138</v>
          </cell>
          <cell r="K121">
            <v>53904.682656327052</v>
          </cell>
          <cell r="L121">
            <v>62759.003857535652</v>
          </cell>
          <cell r="M121">
            <v>72167.331555115947</v>
          </cell>
          <cell r="N121">
            <v>82073.341817786946</v>
          </cell>
          <cell r="O121">
            <v>92301.320721262353</v>
          </cell>
          <cell r="Q121">
            <v>113868.29394040979</v>
          </cell>
          <cell r="R121">
            <v>125233.94704891687</v>
          </cell>
          <cell r="S121">
            <v>137122.69075774387</v>
          </cell>
          <cell r="T121">
            <v>149029.51886343214</v>
          </cell>
          <cell r="W121">
            <v>186045.8292971871</v>
          </cell>
          <cell r="X121">
            <v>198829.52124174449</v>
          </cell>
          <cell r="AA121">
            <v>238571.85272658081</v>
          </cell>
          <cell r="AB121">
            <v>252296.98407833595</v>
          </cell>
          <cell r="AC121">
            <v>267215.57321267365</v>
          </cell>
        </row>
        <row r="123">
          <cell r="D123">
            <v>62336.824987497377</v>
          </cell>
          <cell r="E123">
            <v>74011.533716940015</v>
          </cell>
          <cell r="F123">
            <v>89677.567980965847</v>
          </cell>
          <cell r="G123">
            <v>108509.85725696868</v>
          </cell>
          <cell r="H123">
            <v>129126.73013579272</v>
          </cell>
          <cell r="I123">
            <v>153660.80886159334</v>
          </cell>
          <cell r="J123">
            <v>182856.36254529608</v>
          </cell>
          <cell r="K123">
            <v>217599.07142890233</v>
          </cell>
          <cell r="L123">
            <v>258942.89500039374</v>
          </cell>
          <cell r="M123">
            <v>300373.75820045674</v>
          </cell>
          <cell r="N123">
            <v>348433.55951252976</v>
          </cell>
          <cell r="O123">
            <v>404182.92903453455</v>
          </cell>
          <cell r="Q123">
            <v>543868.54930886964</v>
          </cell>
          <cell r="R123">
            <v>620010.14621211146</v>
          </cell>
          <cell r="S123">
            <v>706811.56668180716</v>
          </cell>
          <cell r="T123">
            <v>805765.18601726019</v>
          </cell>
          <cell r="W123">
            <v>1193776.5767527563</v>
          </cell>
          <cell r="X123">
            <v>1360905.2974981423</v>
          </cell>
          <cell r="AA123">
            <v>2016241.0780765882</v>
          </cell>
          <cell r="AB123">
            <v>2298514.8290073108</v>
          </cell>
        </row>
        <row r="124">
          <cell r="D124">
            <v>57260.130027708874</v>
          </cell>
          <cell r="E124">
            <v>60703.992741812937</v>
          </cell>
          <cell r="F124">
            <v>65676.783764107735</v>
          </cell>
          <cell r="G124">
            <v>70958.993888951416</v>
          </cell>
          <cell r="H124">
            <v>75398.830969304094</v>
          </cell>
          <cell r="I124">
            <v>80116.464453181397</v>
          </cell>
          <cell r="J124">
            <v>85129.275798599556</v>
          </cell>
          <cell r="K124">
            <v>90455.734004950224</v>
          </cell>
          <cell r="L124">
            <v>96115.463659434943</v>
          </cell>
          <cell r="M124">
            <v>99554.628571156733</v>
          </cell>
          <cell r="N124">
            <v>103116.85230026016</v>
          </cell>
          <cell r="O124">
            <v>106806.5380879169</v>
          </cell>
          <cell r="Q124">
            <v>114586.70221618097</v>
          </cell>
          <cell r="R124">
            <v>116640.47347019866</v>
          </cell>
          <cell r="S124">
            <v>118731.05507203376</v>
          </cell>
          <cell r="T124">
            <v>120859.10678440514</v>
          </cell>
          <cell r="W124">
            <v>127474.85886422147</v>
          </cell>
          <cell r="X124">
            <v>129759.62835039952</v>
          </cell>
          <cell r="AA124">
            <v>136862.58942611484</v>
          </cell>
          <cell r="AB124">
            <v>139315.61797547896</v>
          </cell>
        </row>
        <row r="126">
          <cell r="D126">
            <v>62558.997794143732</v>
          </cell>
          <cell r="E126">
            <v>71708.049538124702</v>
          </cell>
          <cell r="F126">
            <v>82800.487028524221</v>
          </cell>
          <cell r="G126">
            <v>94409.795324240666</v>
          </cell>
          <cell r="H126">
            <v>105736.51006176189</v>
          </cell>
          <cell r="I126">
            <v>117845.95515052571</v>
          </cell>
          <cell r="J126">
            <v>130701.0212471447</v>
          </cell>
          <cell r="K126">
            <v>144360.41666127727</v>
          </cell>
          <cell r="L126">
            <v>158874.46751697059</v>
          </cell>
          <cell r="M126">
            <v>171721.96012627269</v>
          </cell>
          <cell r="N126">
            <v>185190.1941180471</v>
          </cell>
          <cell r="O126">
            <v>199107.85880917925</v>
          </cell>
          <cell r="Q126">
            <v>228454.99615659076</v>
          </cell>
          <cell r="R126">
            <v>241874.42051911552</v>
          </cell>
          <cell r="S126">
            <v>255853.74582977762</v>
          </cell>
          <cell r="T126">
            <v>269888.6256478373</v>
          </cell>
          <cell r="W126">
            <v>313520.68816140859</v>
          </cell>
          <cell r="X126">
            <v>328589.14959214401</v>
          </cell>
          <cell r="AA126">
            <v>375434.44215269561</v>
          </cell>
          <cell r="AB126">
            <v>391612.60205381492</v>
          </cell>
        </row>
        <row r="128">
          <cell r="D128">
            <v>62558.997794143732</v>
          </cell>
          <cell r="E128">
            <v>71708.049538124702</v>
          </cell>
          <cell r="F128">
            <v>82800.487028524221</v>
          </cell>
          <cell r="G128">
            <v>94409.795324240666</v>
          </cell>
          <cell r="H128">
            <v>105736.51006176189</v>
          </cell>
          <cell r="I128">
            <v>117845.95515052571</v>
          </cell>
          <cell r="J128">
            <v>130701.0212471447</v>
          </cell>
          <cell r="K128">
            <v>144360.41666127727</v>
          </cell>
          <cell r="L128">
            <v>158874.46751697059</v>
          </cell>
          <cell r="M128">
            <v>171721.96012627269</v>
          </cell>
          <cell r="N128">
            <v>185190.1941180471</v>
          </cell>
          <cell r="O128">
            <v>199107.85880917925</v>
          </cell>
          <cell r="Q128">
            <v>228454.99615659076</v>
          </cell>
          <cell r="R128">
            <v>241874.42051911552</v>
          </cell>
          <cell r="S128">
            <v>255853.74582977762</v>
          </cell>
          <cell r="T128">
            <v>269888.6256478373</v>
          </cell>
          <cell r="W128">
            <v>313520.68816140859</v>
          </cell>
          <cell r="X128">
            <v>328589.14959214401</v>
          </cell>
          <cell r="AA128">
            <v>375434.44215269561</v>
          </cell>
          <cell r="AB128">
            <v>391612.60205381492</v>
          </cell>
        </row>
        <row r="130">
          <cell r="D130">
            <v>16451.400000000001</v>
          </cell>
          <cell r="E130">
            <v>16451.400000000001</v>
          </cell>
          <cell r="F130">
            <v>16451.400000000001</v>
          </cell>
          <cell r="G130">
            <v>16451.400000000001</v>
          </cell>
          <cell r="H130">
            <v>16451.400000000001</v>
          </cell>
          <cell r="I130">
            <v>16451.400000000001</v>
          </cell>
          <cell r="J130">
            <v>16451.400000000001</v>
          </cell>
          <cell r="K130">
            <v>16451.400000000001</v>
          </cell>
          <cell r="L130">
            <v>16451.400000000001</v>
          </cell>
          <cell r="M130">
            <v>16451.400000000001</v>
          </cell>
          <cell r="N130">
            <v>16451.400000000001</v>
          </cell>
          <cell r="O130">
            <v>16451.400000000001</v>
          </cell>
          <cell r="Q130">
            <v>16451.400000000001</v>
          </cell>
          <cell r="R130">
            <v>16451.400000000001</v>
          </cell>
          <cell r="S130">
            <v>16451.400000000001</v>
          </cell>
          <cell r="T130">
            <v>16451.400000000001</v>
          </cell>
          <cell r="W130">
            <v>16451.400000000001</v>
          </cell>
          <cell r="X130">
            <v>16451.400000000001</v>
          </cell>
          <cell r="AA130">
            <v>16451.400000000001</v>
          </cell>
          <cell r="AB130">
            <v>16451.400000000001</v>
          </cell>
        </row>
        <row r="131">
          <cell r="D131">
            <v>0</v>
          </cell>
          <cell r="E131">
            <v>0</v>
          </cell>
          <cell r="F131">
            <v>0</v>
          </cell>
          <cell r="G131">
            <v>0</v>
          </cell>
          <cell r="H131">
            <v>0</v>
          </cell>
          <cell r="I131">
            <v>0</v>
          </cell>
          <cell r="J131">
            <v>0</v>
          </cell>
          <cell r="K131">
            <v>0</v>
          </cell>
          <cell r="L131">
            <v>0</v>
          </cell>
          <cell r="M131">
            <v>0</v>
          </cell>
          <cell r="N131">
            <v>0</v>
          </cell>
          <cell r="O131">
            <v>0</v>
          </cell>
          <cell r="Q131">
            <v>0</v>
          </cell>
          <cell r="R131">
            <v>0</v>
          </cell>
          <cell r="S131">
            <v>0</v>
          </cell>
          <cell r="T131">
            <v>0</v>
          </cell>
          <cell r="W131">
            <v>0</v>
          </cell>
          <cell r="X131">
            <v>0</v>
          </cell>
          <cell r="AA131">
            <v>0</v>
          </cell>
          <cell r="AB131">
            <v>0</v>
          </cell>
        </row>
        <row r="132">
          <cell r="D132">
            <v>980</v>
          </cell>
          <cell r="E132">
            <v>980</v>
          </cell>
          <cell r="F132">
            <v>980</v>
          </cell>
          <cell r="G132">
            <v>980</v>
          </cell>
          <cell r="H132">
            <v>980</v>
          </cell>
          <cell r="I132">
            <v>980</v>
          </cell>
          <cell r="J132">
            <v>980</v>
          </cell>
          <cell r="K132">
            <v>980</v>
          </cell>
          <cell r="L132">
            <v>980</v>
          </cell>
          <cell r="M132">
            <v>980</v>
          </cell>
          <cell r="N132">
            <v>980</v>
          </cell>
          <cell r="O132">
            <v>980</v>
          </cell>
          <cell r="Q132">
            <v>980</v>
          </cell>
          <cell r="R132">
            <v>980</v>
          </cell>
          <cell r="S132">
            <v>980</v>
          </cell>
          <cell r="T132">
            <v>980</v>
          </cell>
          <cell r="W132">
            <v>980</v>
          </cell>
          <cell r="X132">
            <v>980</v>
          </cell>
          <cell r="AA132">
            <v>980</v>
          </cell>
          <cell r="AB132">
            <v>980</v>
          </cell>
        </row>
        <row r="134">
          <cell r="D134">
            <v>78030.397794143733</v>
          </cell>
          <cell r="E134">
            <v>87179.449538124696</v>
          </cell>
          <cell r="F134">
            <v>98271.887028524216</v>
          </cell>
          <cell r="G134">
            <v>109881.19532424066</v>
          </cell>
          <cell r="H134">
            <v>121207.91006176188</v>
          </cell>
          <cell r="I134">
            <v>133317.35515052572</v>
          </cell>
          <cell r="J134">
            <v>146172.4212471447</v>
          </cell>
          <cell r="K134">
            <v>159831.81666127726</v>
          </cell>
          <cell r="L134">
            <v>174345.86751697058</v>
          </cell>
          <cell r="M134">
            <v>187193.36012627269</v>
          </cell>
          <cell r="N134">
            <v>200661.5941180471</v>
          </cell>
          <cell r="O134">
            <v>214579.25880917924</v>
          </cell>
          <cell r="Q134">
            <v>243926.39615659075</v>
          </cell>
          <cell r="R134">
            <v>257345.82051911551</v>
          </cell>
          <cell r="S134">
            <v>271325.14582977764</v>
          </cell>
          <cell r="T134">
            <v>285360.02564783732</v>
          </cell>
          <cell r="W134">
            <v>328992.08816140861</v>
          </cell>
          <cell r="X134">
            <v>344060.54959214403</v>
          </cell>
          <cell r="AA134">
            <v>390905.84215269564</v>
          </cell>
          <cell r="AB134">
            <v>407084.00205381494</v>
          </cell>
        </row>
        <row r="136">
          <cell r="D136">
            <v>2470</v>
          </cell>
          <cell r="E136">
            <v>2470</v>
          </cell>
          <cell r="F136">
            <v>2470</v>
          </cell>
          <cell r="G136">
            <v>2470</v>
          </cell>
          <cell r="H136">
            <v>2470</v>
          </cell>
          <cell r="I136">
            <v>2470</v>
          </cell>
          <cell r="J136">
            <v>2470</v>
          </cell>
          <cell r="K136">
            <v>2470</v>
          </cell>
          <cell r="L136">
            <v>2470</v>
          </cell>
          <cell r="M136">
            <v>2470</v>
          </cell>
          <cell r="N136">
            <v>2470</v>
          </cell>
          <cell r="O136">
            <v>2470</v>
          </cell>
          <cell r="Q136">
            <v>2470</v>
          </cell>
          <cell r="R136">
            <v>2470</v>
          </cell>
          <cell r="S136">
            <v>2470</v>
          </cell>
          <cell r="T136">
            <v>2470</v>
          </cell>
          <cell r="W136">
            <v>2470</v>
          </cell>
          <cell r="X136">
            <v>2470</v>
          </cell>
          <cell r="AA136">
            <v>2470</v>
          </cell>
          <cell r="AB136">
            <v>2470</v>
          </cell>
        </row>
        <row r="138">
          <cell r="D138">
            <v>31.591254167669529</v>
          </cell>
          <cell r="E138">
            <v>35.295323699645628</v>
          </cell>
          <cell r="F138">
            <v>39.786189080374179</v>
          </cell>
          <cell r="G138">
            <v>44.486313896453709</v>
          </cell>
          <cell r="H138">
            <v>49.072028365085785</v>
          </cell>
          <cell r="I138">
            <v>53.974637712763446</v>
          </cell>
          <cell r="J138">
            <v>59.179117913823767</v>
          </cell>
          <cell r="K138">
            <v>64.709237514687146</v>
          </cell>
          <cell r="L138">
            <v>70.585371464360563</v>
          </cell>
          <cell r="M138">
            <v>75.786785476223756</v>
          </cell>
          <cell r="N138">
            <v>81.239511788683032</v>
          </cell>
          <cell r="O138">
            <v>86.874193849870139</v>
          </cell>
          <cell r="Q138">
            <v>98.75562597432824</v>
          </cell>
          <cell r="R138">
            <v>104.18859130328563</v>
          </cell>
          <cell r="S138">
            <v>109.84823717804763</v>
          </cell>
          <cell r="T138">
            <v>115.53037475620944</v>
          </cell>
          <cell r="W138">
            <v>133.19517739328285</v>
          </cell>
          <cell r="X138">
            <v>139.29576906564535</v>
          </cell>
          <cell r="AA138">
            <v>158.26147455574721</v>
          </cell>
          <cell r="AB138">
            <v>164.81133686389268</v>
          </cell>
        </row>
        <row r="142">
          <cell r="C142">
            <v>0</v>
          </cell>
          <cell r="D142" t="str">
            <v>1999E</v>
          </cell>
          <cell r="E142" t="str">
            <v>2000E</v>
          </cell>
          <cell r="F142" t="str">
            <v>2001E</v>
          </cell>
          <cell r="G142" t="str">
            <v>2002E</v>
          </cell>
          <cell r="H142" t="str">
            <v>2003E</v>
          </cell>
          <cell r="I142" t="str">
            <v>2004E</v>
          </cell>
          <cell r="J142" t="str">
            <v>2005E</v>
          </cell>
          <cell r="K142" t="str">
            <v>2006E</v>
          </cell>
          <cell r="L142" t="str">
            <v>2007E</v>
          </cell>
          <cell r="M142" t="str">
            <v>2008E</v>
          </cell>
          <cell r="N142" t="str">
            <v>2009E</v>
          </cell>
          <cell r="O142" t="str">
            <v>2010E</v>
          </cell>
          <cell r="Q142" t="str">
            <v>2012E</v>
          </cell>
          <cell r="R142" t="str">
            <v>2013E</v>
          </cell>
          <cell r="S142" t="str">
            <v>2014E</v>
          </cell>
          <cell r="T142" t="str">
            <v>2015E</v>
          </cell>
          <cell r="W142" t="str">
            <v>2018E</v>
          </cell>
        </row>
        <row r="144">
          <cell r="W144" t="str">
            <v>2018E</v>
          </cell>
          <cell r="X144" t="str">
            <v>2019E</v>
          </cell>
          <cell r="AA144" t="str">
            <v>2022E</v>
          </cell>
        </row>
        <row r="145">
          <cell r="W145">
            <v>19.75</v>
          </cell>
          <cell r="X145">
            <v>20.75</v>
          </cell>
          <cell r="AA145">
            <v>23.75</v>
          </cell>
        </row>
        <row r="146">
          <cell r="D146">
            <v>4738.9993000000013</v>
          </cell>
          <cell r="E146">
            <v>7475.881768166666</v>
          </cell>
          <cell r="F146">
            <v>8875.9970636858325</v>
          </cell>
          <cell r="G146">
            <v>10754.780911875001</v>
          </cell>
          <cell r="H146">
            <v>13013.284903368751</v>
          </cell>
          <cell r="I146">
            <v>15485.809035008813</v>
          </cell>
          <cell r="J146">
            <v>18428.112751660487</v>
          </cell>
          <cell r="K146">
            <v>21929.454174475981</v>
          </cell>
          <cell r="L146">
            <v>26096.050467626417</v>
          </cell>
          <cell r="M146">
            <v>31054.300056475433</v>
          </cell>
          <cell r="N146">
            <v>36022.988065511498</v>
          </cell>
          <cell r="O146">
            <v>41786.666155993335</v>
          </cell>
          <cell r="Q146">
            <v>56228.13797950463</v>
          </cell>
          <cell r="R146">
            <v>65224.640056225369</v>
          </cell>
          <cell r="S146">
            <v>74356.089664096929</v>
          </cell>
          <cell r="T146">
            <v>84765.942217070507</v>
          </cell>
          <cell r="W146">
            <v>125584.47309604756</v>
          </cell>
          <cell r="X146">
            <v>143166.29932949424</v>
          </cell>
          <cell r="AA146">
            <v>212107.17177381626</v>
          </cell>
          <cell r="AB146">
            <v>241802.17582215057</v>
          </cell>
          <cell r="AC146">
            <v>275654.48043725168</v>
          </cell>
        </row>
        <row r="147">
          <cell r="D147">
            <v>875</v>
          </cell>
          <cell r="E147">
            <v>1080.625</v>
          </cell>
          <cell r="F147">
            <v>1334.5718750000003</v>
          </cell>
          <cell r="G147">
            <v>1614.8319687500002</v>
          </cell>
          <cell r="H147">
            <v>1953.9466821875003</v>
          </cell>
          <cell r="I147">
            <v>2325.1965518031252</v>
          </cell>
          <cell r="J147">
            <v>2766.9838966457191</v>
          </cell>
          <cell r="K147">
            <v>3292.7108370084056</v>
          </cell>
          <cell r="L147">
            <v>3918.3258960400026</v>
          </cell>
          <cell r="M147">
            <v>4662.8078162876027</v>
          </cell>
          <cell r="N147">
            <v>5408.857066893619</v>
          </cell>
          <cell r="O147">
            <v>6274.2741975965973</v>
          </cell>
          <cell r="Q147">
            <v>8442.6633602859802</v>
          </cell>
          <cell r="R147">
            <v>9793.4894979317378</v>
          </cell>
          <cell r="S147">
            <v>11164.578027642181</v>
          </cell>
          <cell r="T147">
            <v>12727.618951512088</v>
          </cell>
          <cell r="W147">
            <v>18856.527491899033</v>
          </cell>
          <cell r="X147">
            <v>21496.441340764901</v>
          </cell>
          <cell r="AA147">
            <v>31847.923689762203</v>
          </cell>
          <cell r="AB147">
            <v>36306.633006328913</v>
          </cell>
          <cell r="AC147">
            <v>41389.561627214971</v>
          </cell>
        </row>
        <row r="148">
          <cell r="D148">
            <v>3863.9993000000013</v>
          </cell>
          <cell r="E148">
            <v>6395.256768166666</v>
          </cell>
          <cell r="F148">
            <v>7541.4251886858319</v>
          </cell>
          <cell r="G148">
            <v>9139.9489431250004</v>
          </cell>
          <cell r="H148">
            <v>11059.33822118125</v>
          </cell>
          <cell r="I148">
            <v>13160.612483205688</v>
          </cell>
          <cell r="J148">
            <v>15661.128855014767</v>
          </cell>
          <cell r="K148">
            <v>18636.743337467575</v>
          </cell>
          <cell r="L148">
            <v>22177.724571586416</v>
          </cell>
          <cell r="M148">
            <v>26391.492240187828</v>
          </cell>
          <cell r="N148">
            <v>30614.130998617879</v>
          </cell>
          <cell r="O148">
            <v>35512.391958396736</v>
          </cell>
          <cell r="Q148">
            <v>47785.47461921865</v>
          </cell>
          <cell r="R148">
            <v>55431.15055829363</v>
          </cell>
          <cell r="S148">
            <v>63191.51163645475</v>
          </cell>
          <cell r="T148">
            <v>72038.323265558414</v>
          </cell>
          <cell r="W148">
            <v>106727.94560414852</v>
          </cell>
          <cell r="X148">
            <v>121669.85798872935</v>
          </cell>
          <cell r="AA148">
            <v>180259.24808405404</v>
          </cell>
          <cell r="AB148">
            <v>205495.54281582165</v>
          </cell>
          <cell r="AC148">
            <v>234264.9188100367</v>
          </cell>
        </row>
        <row r="149">
          <cell r="D149">
            <v>412.49944187492702</v>
          </cell>
          <cell r="E149">
            <v>520.00010084092901</v>
          </cell>
          <cell r="F149">
            <v>520.00000186176749</v>
          </cell>
          <cell r="G149">
            <v>1079.439115926436</v>
          </cell>
          <cell r="H149">
            <v>1218.9376796370962</v>
          </cell>
          <cell r="I149">
            <v>1308.5514898617339</v>
          </cell>
          <cell r="J149">
            <v>1583.0713190192928</v>
          </cell>
          <cell r="K149">
            <v>1883.8548696329635</v>
          </cell>
          <cell r="L149">
            <v>2241.7872948632212</v>
          </cell>
          <cell r="M149">
            <v>2667.7268808872359</v>
          </cell>
          <cell r="N149">
            <v>2550.4145783027634</v>
          </cell>
          <cell r="O149">
            <v>3081.4094805333298</v>
          </cell>
          <cell r="Q149">
            <v>4146.3445970056528</v>
          </cell>
          <cell r="R149">
            <v>4809.7597325265524</v>
          </cell>
          <cell r="S149">
            <v>3581.8380446167284</v>
          </cell>
          <cell r="T149">
            <v>5383.3634547608017</v>
          </cell>
          <cell r="W149">
            <v>7975.6898262201503</v>
          </cell>
          <cell r="X149">
            <v>9092.2864018909604</v>
          </cell>
          <cell r="AA149">
            <v>13470.622365003161</v>
          </cell>
          <cell r="AB149">
            <v>15356.509496103608</v>
          </cell>
          <cell r="AC149">
            <v>0</v>
          </cell>
        </row>
        <row r="150">
          <cell r="D150">
            <v>4893.6664775000991</v>
          </cell>
          <cell r="E150">
            <v>5875.256667325737</v>
          </cell>
          <cell r="F150">
            <v>7021.4251868240653</v>
          </cell>
          <cell r="G150">
            <v>8060.5098271985644</v>
          </cell>
          <cell r="H150">
            <v>9840.4005415441534</v>
          </cell>
          <cell r="I150">
            <v>11852.060993343955</v>
          </cell>
          <cell r="J150">
            <v>14078.057535995473</v>
          </cell>
          <cell r="K150">
            <v>16752.888467834611</v>
          </cell>
          <cell r="L150">
            <v>19935.937276723194</v>
          </cell>
          <cell r="M150">
            <v>23723.765359300596</v>
          </cell>
          <cell r="N150">
            <v>28063.716420315115</v>
          </cell>
          <cell r="O150">
            <v>32430.982477863407</v>
          </cell>
          <cell r="Q150">
            <v>43639.130022212994</v>
          </cell>
          <cell r="R150">
            <v>50621.390825767077</v>
          </cell>
          <cell r="S150">
            <v>59609.673591838022</v>
          </cell>
          <cell r="T150">
            <v>66654.95981079762</v>
          </cell>
          <cell r="W150">
            <v>98752.255777928367</v>
          </cell>
          <cell r="X150">
            <v>112577.57158683837</v>
          </cell>
          <cell r="AA150">
            <v>166788.62571905088</v>
          </cell>
          <cell r="AB150">
            <v>190139.03331971806</v>
          </cell>
          <cell r="AC150">
            <v>234264.9188100367</v>
          </cell>
        </row>
        <row r="152">
          <cell r="D152">
            <v>4495.1275409053414</v>
          </cell>
          <cell r="E152">
            <v>4818.8643063884783</v>
          </cell>
          <cell r="F152">
            <v>5142.2516699915668</v>
          </cell>
          <cell r="G152">
            <v>5271.0940925441419</v>
          </cell>
          <cell r="H152">
            <v>5745.9419619925247</v>
          </cell>
          <cell r="I152">
            <v>6179.4886432327785</v>
          </cell>
          <cell r="J152">
            <v>6554.0778893785409</v>
          </cell>
          <cell r="K152">
            <v>6964.1603390581622</v>
          </cell>
          <cell r="L152">
            <v>7399.9012594446704</v>
          </cell>
          <cell r="M152">
            <v>7862.9060767627807</v>
          </cell>
          <cell r="N152">
            <v>8305.290986202941</v>
          </cell>
          <cell r="O152">
            <v>8569.9833328550176</v>
          </cell>
          <cell r="Q152">
            <v>9194.2510799400879</v>
          </cell>
          <cell r="R152">
            <v>9523.2360788132246</v>
          </cell>
          <cell r="S152">
            <v>10013.304495403991</v>
          </cell>
          <cell r="T152">
            <v>9997.7748421993256</v>
          </cell>
          <cell r="W152">
            <v>10545.046797665653</v>
          </cell>
          <cell r="X152">
            <v>10734.04878102371</v>
          </cell>
          <cell r="AA152">
            <v>11321.623912408601</v>
          </cell>
          <cell r="AB152">
            <v>11524.544716397151</v>
          </cell>
          <cell r="AC152">
            <v>12678.560735788516</v>
          </cell>
        </row>
        <row r="153">
          <cell r="D153">
            <v>4495.1275409053414</v>
          </cell>
          <cell r="E153">
            <v>9313.9918472938189</v>
          </cell>
          <cell r="F153">
            <v>14456.243517285386</v>
          </cell>
          <cell r="G153">
            <v>19727.337609829527</v>
          </cell>
          <cell r="H153">
            <v>25473.279571822051</v>
          </cell>
          <cell r="I153">
            <v>31652.768215054828</v>
          </cell>
          <cell r="J153">
            <v>38206.846104433367</v>
          </cell>
          <cell r="K153">
            <v>45171.006443491526</v>
          </cell>
          <cell r="L153">
            <v>52570.907702936194</v>
          </cell>
          <cell r="M153">
            <v>60433.813779698976</v>
          </cell>
          <cell r="N153">
            <v>68739.104765901924</v>
          </cell>
          <cell r="O153">
            <v>77309.08809875694</v>
          </cell>
          <cell r="Q153">
            <v>95379.970212663175</v>
          </cell>
          <cell r="R153">
            <v>104903.2062914764</v>
          </cell>
          <cell r="S153">
            <v>114916.51078688039</v>
          </cell>
          <cell r="T153">
            <v>124914.28562907972</v>
          </cell>
          <cell r="W153">
            <v>155995.67304147015</v>
          </cell>
          <cell r="X153">
            <v>166729.72182249386</v>
          </cell>
          <cell r="AA153">
            <v>200100.06011599986</v>
          </cell>
          <cell r="AB153">
            <v>211624.60483239702</v>
          </cell>
          <cell r="AC153">
            <v>224303.16556818553</v>
          </cell>
        </row>
        <row r="155">
          <cell r="D155">
            <v>53326.151251463438</v>
          </cell>
          <cell r="E155">
            <v>62883.351652938094</v>
          </cell>
          <cell r="F155">
            <v>76212.46768352353</v>
          </cell>
          <cell r="G155">
            <v>92217.085897063458</v>
          </cell>
          <cell r="H155">
            <v>109738.33221750554</v>
          </cell>
          <cell r="I155">
            <v>130588.61533883157</v>
          </cell>
          <cell r="J155">
            <v>155400.45225320957</v>
          </cell>
          <cell r="K155">
            <v>184926.5381813194</v>
          </cell>
          <cell r="L155">
            <v>220062.58043577004</v>
          </cell>
          <cell r="M155">
            <v>255272.59330549324</v>
          </cell>
          <cell r="N155">
            <v>296116.20823437214</v>
          </cell>
          <cell r="O155">
            <v>343494.8015518717</v>
          </cell>
          <cell r="Q155">
            <v>462206.60496819852</v>
          </cell>
          <cell r="R155">
            <v>526915.52966374636</v>
          </cell>
          <cell r="S155">
            <v>600683.70381667092</v>
          </cell>
          <cell r="T155">
            <v>684779.42235100491</v>
          </cell>
          <cell r="W155">
            <v>1014530.8445075977</v>
          </cell>
          <cell r="X155">
            <v>1156565.1627386615</v>
          </cell>
          <cell r="AA155">
            <v>1713502.177464488</v>
          </cell>
          <cell r="AB155">
            <v>1953392.4823095163</v>
          </cell>
        </row>
        <row r="156">
          <cell r="D156">
            <v>48983.283238254218</v>
          </cell>
          <cell r="E156">
            <v>51576.697990344641</v>
          </cell>
          <cell r="F156">
            <v>55815.404820548021</v>
          </cell>
          <cell r="G156">
            <v>60304.490302021761</v>
          </cell>
          <cell r="H156">
            <v>64077.685178117295</v>
          </cell>
          <cell r="I156">
            <v>68086.965286037041</v>
          </cell>
          <cell r="J156">
            <v>72347.102255266276</v>
          </cell>
          <cell r="K156">
            <v>76873.791962164905</v>
          </cell>
          <cell r="L156">
            <v>81683.712359219484</v>
          </cell>
          <cell r="M156">
            <v>84606.48614305511</v>
          </cell>
          <cell r="N156">
            <v>87633.841444365244</v>
          </cell>
          <cell r="O156">
            <v>90769.520356998444</v>
          </cell>
          <cell r="Q156">
            <v>97381.491673210854</v>
          </cell>
          <cell r="R156">
            <v>99126.888865063724</v>
          </cell>
          <cell r="S156">
            <v>100903.56932548214</v>
          </cell>
          <cell r="T156">
            <v>102712.09375371369</v>
          </cell>
          <cell r="W156">
            <v>108334.48966538942</v>
          </cell>
          <cell r="X156">
            <v>110276.20067015935</v>
          </cell>
          <cell r="AA156">
            <v>116312.65107384535</v>
          </cell>
          <cell r="AB156">
            <v>118397.35701819982</v>
          </cell>
        </row>
        <row r="158">
          <cell r="D158">
            <v>53478.41077915956</v>
          </cell>
          <cell r="E158">
            <v>60890.689837638463</v>
          </cell>
          <cell r="F158">
            <v>70271.648337833409</v>
          </cell>
          <cell r="G158">
            <v>80031.827911851287</v>
          </cell>
          <cell r="H158">
            <v>89550.964749939347</v>
          </cell>
          <cell r="I158">
            <v>99739.733501091861</v>
          </cell>
          <cell r="J158">
            <v>110553.94835969964</v>
          </cell>
          <cell r="K158">
            <v>122044.79840565643</v>
          </cell>
          <cell r="L158">
            <v>134254.62006215568</v>
          </cell>
          <cell r="M158">
            <v>145040.29992275409</v>
          </cell>
          <cell r="N158">
            <v>156372.94621026717</v>
          </cell>
          <cell r="O158">
            <v>168078.6084557554</v>
          </cell>
          <cell r="Q158">
            <v>192761.46188587404</v>
          </cell>
          <cell r="R158">
            <v>204030.0951565401</v>
          </cell>
          <cell r="S158">
            <v>215820.08011236251</v>
          </cell>
          <cell r="T158">
            <v>227626.37938279341</v>
          </cell>
          <cell r="W158">
            <v>264330.16270685958</v>
          </cell>
          <cell r="X158">
            <v>277005.92249265319</v>
          </cell>
          <cell r="AA158">
            <v>316412.71118984523</v>
          </cell>
          <cell r="AB158">
            <v>330021.96185059682</v>
          </cell>
        </row>
        <row r="159">
          <cell r="D159">
            <v>17242</v>
          </cell>
        </row>
        <row r="160">
          <cell r="D160">
            <v>3953</v>
          </cell>
        </row>
        <row r="161">
          <cell r="D161">
            <v>15812</v>
          </cell>
        </row>
        <row r="162">
          <cell r="D162">
            <v>790.6</v>
          </cell>
        </row>
        <row r="163">
          <cell r="D163">
            <v>16451.400000000001</v>
          </cell>
          <cell r="E163">
            <v>16451.400000000001</v>
          </cell>
          <cell r="F163">
            <v>16451.400000000001</v>
          </cell>
          <cell r="G163">
            <v>16451.400000000001</v>
          </cell>
          <cell r="H163">
            <v>16451.400000000001</v>
          </cell>
          <cell r="I163">
            <v>16451.400000000001</v>
          </cell>
          <cell r="J163">
            <v>16451.400000000001</v>
          </cell>
          <cell r="K163">
            <v>16451.400000000001</v>
          </cell>
          <cell r="L163">
            <v>16451.400000000001</v>
          </cell>
          <cell r="M163">
            <v>16451.400000000001</v>
          </cell>
          <cell r="N163">
            <v>16451.400000000001</v>
          </cell>
          <cell r="O163">
            <v>16451.400000000001</v>
          </cell>
          <cell r="Q163">
            <v>16451.400000000001</v>
          </cell>
          <cell r="R163">
            <v>16451.400000000001</v>
          </cell>
          <cell r="S163">
            <v>16451.400000000001</v>
          </cell>
          <cell r="T163">
            <v>16451.400000000001</v>
          </cell>
          <cell r="W163">
            <v>16451.400000000001</v>
          </cell>
          <cell r="X163">
            <v>16451.400000000001</v>
          </cell>
          <cell r="AA163">
            <v>16451.400000000001</v>
          </cell>
          <cell r="AB163">
            <v>16451.400000000001</v>
          </cell>
        </row>
        <row r="164">
          <cell r="D164">
            <v>0</v>
          </cell>
          <cell r="E164">
            <v>0</v>
          </cell>
          <cell r="F164">
            <v>0</v>
          </cell>
          <cell r="G164">
            <v>0</v>
          </cell>
          <cell r="H164">
            <v>0</v>
          </cell>
          <cell r="I164">
            <v>0</v>
          </cell>
          <cell r="J164">
            <v>0</v>
          </cell>
          <cell r="K164">
            <v>0</v>
          </cell>
          <cell r="L164">
            <v>0</v>
          </cell>
          <cell r="M164">
            <v>0</v>
          </cell>
          <cell r="N164">
            <v>0</v>
          </cell>
          <cell r="O164">
            <v>0</v>
          </cell>
          <cell r="Q164">
            <v>0</v>
          </cell>
          <cell r="R164">
            <v>0</v>
          </cell>
          <cell r="S164">
            <v>0</v>
          </cell>
          <cell r="T164">
            <v>0</v>
          </cell>
          <cell r="W164">
            <v>0</v>
          </cell>
          <cell r="X164">
            <v>0</v>
          </cell>
          <cell r="AA164">
            <v>0</v>
          </cell>
          <cell r="AB164">
            <v>0</v>
          </cell>
        </row>
        <row r="165">
          <cell r="D165">
            <v>980</v>
          </cell>
          <cell r="E165">
            <v>980</v>
          </cell>
          <cell r="F165">
            <v>980</v>
          </cell>
          <cell r="G165">
            <v>980</v>
          </cell>
          <cell r="H165">
            <v>980</v>
          </cell>
          <cell r="I165">
            <v>980</v>
          </cell>
          <cell r="J165">
            <v>980</v>
          </cell>
          <cell r="K165">
            <v>980</v>
          </cell>
          <cell r="L165">
            <v>980</v>
          </cell>
          <cell r="M165">
            <v>980</v>
          </cell>
          <cell r="N165">
            <v>980</v>
          </cell>
          <cell r="O165">
            <v>980</v>
          </cell>
          <cell r="Q165">
            <v>980</v>
          </cell>
          <cell r="R165">
            <v>980</v>
          </cell>
          <cell r="S165">
            <v>980</v>
          </cell>
          <cell r="T165">
            <v>980</v>
          </cell>
          <cell r="W165">
            <v>980</v>
          </cell>
          <cell r="X165">
            <v>980</v>
          </cell>
          <cell r="AA165">
            <v>980</v>
          </cell>
          <cell r="AB165">
            <v>980</v>
          </cell>
        </row>
        <row r="166">
          <cell r="D166">
            <v>22059.334750878072</v>
          </cell>
          <cell r="E166">
            <v>22059.334750878072</v>
          </cell>
          <cell r="F166">
            <v>22059.334750878072</v>
          </cell>
          <cell r="G166">
            <v>22059.334750878072</v>
          </cell>
          <cell r="H166">
            <v>22059.334750878072</v>
          </cell>
          <cell r="I166">
            <v>22059.334750878072</v>
          </cell>
          <cell r="J166">
            <v>22059.334750878072</v>
          </cell>
          <cell r="K166">
            <v>22059.334750878072</v>
          </cell>
          <cell r="L166">
            <v>22059.334750878072</v>
          </cell>
          <cell r="M166">
            <v>22059.334750878072</v>
          </cell>
          <cell r="N166">
            <v>22059.334750878072</v>
          </cell>
          <cell r="O166">
            <v>22059.334750878072</v>
          </cell>
          <cell r="Q166">
            <v>22059.334750878072</v>
          </cell>
          <cell r="R166">
            <v>22059.334750878072</v>
          </cell>
          <cell r="S166">
            <v>22059.334750878072</v>
          </cell>
          <cell r="T166">
            <v>22059.334750878072</v>
          </cell>
          <cell r="W166">
            <v>22059.334750878072</v>
          </cell>
          <cell r="X166">
            <v>22059.334750878072</v>
          </cell>
          <cell r="AA166">
            <v>22059.334750878072</v>
          </cell>
          <cell r="AB166">
            <v>22059.334750878072</v>
          </cell>
        </row>
        <row r="167">
          <cell r="D167">
            <v>6587.9347508780702</v>
          </cell>
          <cell r="E167">
            <v>6587.9347508780702</v>
          </cell>
          <cell r="F167">
            <v>6587.9347508780702</v>
          </cell>
          <cell r="G167">
            <v>6587.9347508780702</v>
          </cell>
          <cell r="H167">
            <v>6587.9347508780702</v>
          </cell>
          <cell r="I167">
            <v>6587.9347508780702</v>
          </cell>
          <cell r="J167">
            <v>6587.9347508780702</v>
          </cell>
          <cell r="K167">
            <v>6587.9347508780702</v>
          </cell>
          <cell r="L167">
            <v>6587.9347508780702</v>
          </cell>
          <cell r="M167">
            <v>6587.9347508780702</v>
          </cell>
          <cell r="N167">
            <v>6587.9347508780702</v>
          </cell>
          <cell r="O167">
            <v>6587.9347508780702</v>
          </cell>
          <cell r="Q167">
            <v>6587.9347508780702</v>
          </cell>
          <cell r="R167">
            <v>6587.9347508780702</v>
          </cell>
          <cell r="S167">
            <v>6587.9347508780702</v>
          </cell>
          <cell r="T167">
            <v>6587.9347508780702</v>
          </cell>
          <cell r="W167">
            <v>6587.9347508780702</v>
          </cell>
          <cell r="X167">
            <v>6587.9347508780702</v>
          </cell>
          <cell r="AA167">
            <v>6587.9347508780702</v>
          </cell>
        </row>
        <row r="169">
          <cell r="C169">
            <v>0</v>
          </cell>
          <cell r="D169">
            <v>46890.47602828149</v>
          </cell>
          <cell r="E169">
            <v>54302.755086760393</v>
          </cell>
          <cell r="F169">
            <v>63683.713586955339</v>
          </cell>
          <cell r="G169">
            <v>73443.89316097321</v>
          </cell>
          <cell r="H169">
            <v>82963.029999061284</v>
          </cell>
          <cell r="I169">
            <v>93151.798750213784</v>
          </cell>
          <cell r="J169">
            <v>103966.01360882158</v>
          </cell>
          <cell r="K169">
            <v>115456.86365477837</v>
          </cell>
          <cell r="L169">
            <v>127666.6853112776</v>
          </cell>
          <cell r="M169">
            <v>138452.36517187601</v>
          </cell>
          <cell r="N169">
            <v>149785.01145938909</v>
          </cell>
          <cell r="O169">
            <v>161490.67370487732</v>
          </cell>
          <cell r="Q169">
            <v>186173.52713499597</v>
          </cell>
          <cell r="R169">
            <v>197442.16040566203</v>
          </cell>
          <cell r="S169">
            <v>209232.14536148444</v>
          </cell>
          <cell r="T169">
            <v>221038.44463191534</v>
          </cell>
          <cell r="W169">
            <v>257742.22795598151</v>
          </cell>
          <cell r="X169">
            <v>270417.98774177511</v>
          </cell>
          <cell r="AA169">
            <v>309824.77643896715</v>
          </cell>
          <cell r="AB169" t="e">
            <v>#REF!</v>
          </cell>
        </row>
        <row r="171">
          <cell r="D171">
            <v>2470</v>
          </cell>
          <cell r="E171">
            <v>2470</v>
          </cell>
          <cell r="F171">
            <v>2470</v>
          </cell>
          <cell r="G171">
            <v>2470</v>
          </cell>
          <cell r="H171">
            <v>2470</v>
          </cell>
          <cell r="I171">
            <v>2470</v>
          </cell>
          <cell r="J171">
            <v>2470</v>
          </cell>
          <cell r="K171">
            <v>2470</v>
          </cell>
          <cell r="L171">
            <v>2470</v>
          </cell>
          <cell r="M171">
            <v>2470</v>
          </cell>
          <cell r="N171">
            <v>2470</v>
          </cell>
          <cell r="O171">
            <v>2470</v>
          </cell>
          <cell r="Q171">
            <v>2470</v>
          </cell>
          <cell r="R171">
            <v>2470</v>
          </cell>
          <cell r="S171">
            <v>2470</v>
          </cell>
          <cell r="T171">
            <v>2470</v>
          </cell>
          <cell r="W171">
            <v>2470</v>
          </cell>
          <cell r="X171">
            <v>2470</v>
          </cell>
          <cell r="AA171">
            <v>2470</v>
          </cell>
          <cell r="AB171">
            <v>2470</v>
          </cell>
        </row>
        <row r="173">
          <cell r="D173">
            <v>18.983998392016797</v>
          </cell>
          <cell r="E173">
            <v>21.984921087757243</v>
          </cell>
          <cell r="F173">
            <v>25.782879994718762</v>
          </cell>
          <cell r="G173">
            <v>29.734369700798869</v>
          </cell>
          <cell r="H173">
            <v>33.588271254680684</v>
          </cell>
          <cell r="I173">
            <v>37.713278846240399</v>
          </cell>
          <cell r="J173">
            <v>42.091503485352867</v>
          </cell>
          <cell r="K173">
            <v>46.743669495861688</v>
          </cell>
          <cell r="L173">
            <v>51.686917130071905</v>
          </cell>
          <cell r="M173">
            <v>56.05358913841134</v>
          </cell>
          <cell r="N173">
            <v>60.641705044287079</v>
          </cell>
          <cell r="O173">
            <v>65.380839556630491</v>
          </cell>
          <cell r="Q173">
            <v>75.373897625504441</v>
          </cell>
          <cell r="R173">
            <v>79.93609733022754</v>
          </cell>
          <cell r="S173">
            <v>84.70937059169411</v>
          </cell>
          <cell r="T173">
            <v>89.489248838832125</v>
          </cell>
          <cell r="W173">
            <v>104.34908014412207</v>
          </cell>
          <cell r="X173">
            <v>109.48096669707495</v>
          </cell>
          <cell r="AA173">
            <v>125.43513216152516</v>
          </cell>
          <cell r="AB173" t="e">
            <v>#REF!</v>
          </cell>
        </row>
        <row r="176">
          <cell r="D176">
            <v>781.30077458477695</v>
          </cell>
          <cell r="E176">
            <v>861.57961366053041</v>
          </cell>
          <cell r="F176">
            <v>950.10712240741759</v>
          </cell>
          <cell r="G176">
            <v>1026.5217269911645</v>
          </cell>
          <cell r="H176">
            <v>1109.0821562466547</v>
          </cell>
          <cell r="I176">
            <v>1178.4763769449855</v>
          </cell>
          <cell r="J176">
            <v>1252.2125283462913</v>
          </cell>
          <cell r="K176">
            <v>1330.5622809447384</v>
          </cell>
          <cell r="L176">
            <v>1413.81430340016</v>
          </cell>
          <cell r="M176">
            <v>1502.2753260971913</v>
          </cell>
          <cell r="N176">
            <v>1556.0291383616313</v>
          </cell>
          <cell r="O176">
            <v>1611.7063479439701</v>
          </cell>
          <cell r="Q176">
            <v>1729.1087105525919</v>
          </cell>
          <cell r="R176">
            <v>1790.9789838621589</v>
          </cell>
          <cell r="S176">
            <v>1823.0792283274061</v>
          </cell>
          <cell r="T176">
            <v>1855.7548149401678</v>
          </cell>
          <cell r="W176">
            <v>1957.3376753734356</v>
          </cell>
          <cell r="X176">
            <v>1992.4196157237539</v>
          </cell>
          <cell r="AA176">
            <v>2101.4834220623602</v>
          </cell>
          <cell r="AB176">
            <v>2139.1489291373769</v>
          </cell>
        </row>
        <row r="177">
          <cell r="D177">
            <v>781.30077458477695</v>
          </cell>
          <cell r="E177">
            <v>1642.8803882453074</v>
          </cell>
          <cell r="F177">
            <v>2592.9875106527252</v>
          </cell>
          <cell r="G177">
            <v>3619.5092376438897</v>
          </cell>
          <cell r="H177">
            <v>4728.5913938905442</v>
          </cell>
          <cell r="I177">
            <v>5907.0677708355297</v>
          </cell>
          <cell r="J177">
            <v>7159.2802991818207</v>
          </cell>
          <cell r="K177">
            <v>8489.8425801265585</v>
          </cell>
          <cell r="L177">
            <v>9903.656883526719</v>
          </cell>
          <cell r="M177">
            <v>11405.93220962391</v>
          </cell>
          <cell r="N177">
            <v>12961.961347985542</v>
          </cell>
          <cell r="O177">
            <v>14573.667695929511</v>
          </cell>
          <cell r="Q177">
            <v>17972.152183556522</v>
          </cell>
          <cell r="R177">
            <v>19763.13116741868</v>
          </cell>
          <cell r="S177">
            <v>21586.210395746086</v>
          </cell>
          <cell r="T177">
            <v>23441.965210686252</v>
          </cell>
          <cell r="W177">
            <v>29211.192389328724</v>
          </cell>
          <cell r="X177">
            <v>31203.612005052477</v>
          </cell>
          <cell r="AA177">
            <v>37397.706885342188</v>
          </cell>
          <cell r="AB177">
            <v>39536.855814479568</v>
          </cell>
        </row>
        <row r="178">
          <cell r="D178">
            <v>9010.6737360339412</v>
          </cell>
          <cell r="E178">
            <v>11128.18206400192</v>
          </cell>
          <cell r="F178">
            <v>13465.100297442321</v>
          </cell>
          <cell r="G178">
            <v>16292.771359905208</v>
          </cell>
          <cell r="H178">
            <v>19388.397918287195</v>
          </cell>
          <cell r="I178">
            <v>23072.193522761765</v>
          </cell>
          <cell r="J178">
            <v>27455.910292086501</v>
          </cell>
          <cell r="K178">
            <v>32672.533247582935</v>
          </cell>
          <cell r="L178">
            <v>38880.314564623688</v>
          </cell>
          <cell r="M178">
            <v>45101.164894963476</v>
          </cell>
          <cell r="N178">
            <v>52317.351278157628</v>
          </cell>
          <cell r="O178">
            <v>60688.127482662843</v>
          </cell>
          <cell r="Q178">
            <v>81661.944340671122</v>
          </cell>
          <cell r="R178">
            <v>93094.616548365084</v>
          </cell>
          <cell r="S178">
            <v>106127.86286513619</v>
          </cell>
          <cell r="T178">
            <v>120985.7636662553</v>
          </cell>
          <cell r="W178">
            <v>179245.73224515861</v>
          </cell>
          <cell r="X178">
            <v>204340.13475948083</v>
          </cell>
          <cell r="AA178">
            <v>302738.90061210032</v>
          </cell>
          <cell r="AB178">
            <v>345122.34669779445</v>
          </cell>
        </row>
        <row r="179">
          <cell r="D179">
            <v>8045.7672794217424</v>
          </cell>
          <cell r="E179">
            <v>8872.4717672151</v>
          </cell>
          <cell r="F179">
            <v>9586.0612202172942</v>
          </cell>
          <cell r="G179">
            <v>10357.04278680362</v>
          </cell>
          <cell r="H179">
            <v>11005.073150362789</v>
          </cell>
          <cell r="I179">
            <v>11693.65016036719</v>
          </cell>
          <cell r="J179">
            <v>12425.310782104869</v>
          </cell>
          <cell r="K179">
            <v>13202.750716380557</v>
          </cell>
          <cell r="L179">
            <v>14028.834331446673</v>
          </cell>
          <cell r="M179">
            <v>14530.808446205399</v>
          </cell>
          <cell r="N179">
            <v>15050.743997098771</v>
          </cell>
          <cell r="O179">
            <v>15589.283673019572</v>
          </cell>
          <cell r="Q179">
            <v>16724.861960542792</v>
          </cell>
          <cell r="R179">
            <v>17024.626593415924</v>
          </cell>
          <cell r="S179">
            <v>17329.763996200913</v>
          </cell>
          <cell r="T179">
            <v>17640.370466637258</v>
          </cell>
          <cell r="W179">
            <v>18605.993337006221</v>
          </cell>
          <cell r="X179">
            <v>18939.474042262013</v>
          </cell>
          <cell r="AA179">
            <v>19976.209031618149</v>
          </cell>
          <cell r="AB179">
            <v>20334.248516828087</v>
          </cell>
        </row>
        <row r="180">
          <cell r="D180">
            <v>8827.0680540065187</v>
          </cell>
          <cell r="E180">
            <v>10515.352155460407</v>
          </cell>
          <cell r="F180">
            <v>12179.048730870019</v>
          </cell>
          <cell r="G180">
            <v>13976.55202444751</v>
          </cell>
          <cell r="H180">
            <v>15733.664544253334</v>
          </cell>
          <cell r="I180">
            <v>17600.717931202718</v>
          </cell>
          <cell r="J180">
            <v>19584.59108128669</v>
          </cell>
          <cell r="K180">
            <v>21692.593296507115</v>
          </cell>
          <cell r="L180">
            <v>23932.491214973394</v>
          </cell>
          <cell r="M180">
            <v>25936.740655829308</v>
          </cell>
          <cell r="N180">
            <v>28012.705345084312</v>
          </cell>
          <cell r="O180">
            <v>30162.951368949085</v>
          </cell>
          <cell r="Q180">
            <v>34697.014144099317</v>
          </cell>
          <cell r="R180">
            <v>36787.757760834604</v>
          </cell>
          <cell r="S180">
            <v>38915.974391946998</v>
          </cell>
          <cell r="T180">
            <v>41082.335677323514</v>
          </cell>
          <cell r="W180">
            <v>47817.185726334945</v>
          </cell>
          <cell r="X180">
            <v>50143.086047314486</v>
          </cell>
          <cell r="AA180">
            <v>57373.915916960337</v>
          </cell>
          <cell r="AB180">
            <v>59871.104331307652</v>
          </cell>
        </row>
        <row r="182">
          <cell r="D182">
            <v>22059.334750878072</v>
          </cell>
        </row>
        <row r="183">
          <cell r="D183">
            <v>52510.674165626115</v>
          </cell>
        </row>
        <row r="184">
          <cell r="D184">
            <v>74570.008916504186</v>
          </cell>
        </row>
        <row r="186">
          <cell r="D186">
            <v>105.4375</v>
          </cell>
        </row>
        <row r="187">
          <cell r="D187">
            <v>2470</v>
          </cell>
        </row>
        <row r="188">
          <cell r="D188">
            <v>260430.625</v>
          </cell>
        </row>
        <row r="190">
          <cell r="D190">
            <v>980</v>
          </cell>
        </row>
        <row r="192">
          <cell r="D192">
            <v>283469.95975087804</v>
          </cell>
        </row>
        <row r="194">
          <cell r="D194">
            <v>7.7818950446334703E-2</v>
          </cell>
        </row>
        <row r="196">
          <cell r="D196">
            <v>0.26306141568594626</v>
          </cell>
        </row>
      </sheetData>
      <sheetData sheetId="10" refreshError="1"/>
      <sheetData sheetId="11" refreshError="1"/>
      <sheetData sheetId="12" refreshError="1"/>
      <sheetData sheetId="13" refreshError="1"/>
      <sheetData sheetId="14" refreshError="1"/>
      <sheetData sheetId="15" refreshError="1">
        <row r="1">
          <cell r="F1" t="str">
            <v>Capitalization of Material Operating Leases</v>
          </cell>
        </row>
        <row r="10">
          <cell r="C10">
            <v>0</v>
          </cell>
          <cell r="E10">
            <v>0</v>
          </cell>
          <cell r="G10">
            <v>0</v>
          </cell>
          <cell r="I10">
            <v>0</v>
          </cell>
          <cell r="K10">
            <v>0</v>
          </cell>
          <cell r="M10">
            <v>0</v>
          </cell>
          <cell r="O10">
            <v>0</v>
          </cell>
          <cell r="Q10">
            <v>75.519000000000005</v>
          </cell>
          <cell r="S10">
            <v>70.558999999999997</v>
          </cell>
          <cell r="U10">
            <v>55</v>
          </cell>
          <cell r="W10">
            <v>22</v>
          </cell>
          <cell r="Y10">
            <v>20.5</v>
          </cell>
          <cell r="AA10">
            <v>19</v>
          </cell>
          <cell r="AC10">
            <v>19</v>
          </cell>
          <cell r="AE10">
            <v>17</v>
          </cell>
        </row>
        <row r="16">
          <cell r="C16" t="str">
            <v xml:space="preserve"> </v>
          </cell>
          <cell r="E16" t="str">
            <v xml:space="preserve"> </v>
          </cell>
          <cell r="G16" t="str">
            <v xml:space="preserve"> </v>
          </cell>
          <cell r="I16" t="str">
            <v xml:space="preserve"> </v>
          </cell>
          <cell r="K16" t="str">
            <v xml:space="preserve"> </v>
          </cell>
          <cell r="M16" t="str">
            <v xml:space="preserve"> </v>
          </cell>
          <cell r="O16" t="str">
            <v xml:space="preserve"> </v>
          </cell>
          <cell r="Q16">
            <v>18.879750000000001</v>
          </cell>
          <cell r="S16">
            <v>17.639749999999999</v>
          </cell>
          <cell r="U16">
            <v>27.5</v>
          </cell>
          <cell r="W16">
            <v>22</v>
          </cell>
          <cell r="Y16">
            <v>20.5</v>
          </cell>
          <cell r="AA16">
            <v>19</v>
          </cell>
          <cell r="AC16">
            <v>19</v>
          </cell>
          <cell r="AE16">
            <v>17</v>
          </cell>
        </row>
        <row r="19">
          <cell r="J19" t="str">
            <v>PV of Operating Leases</v>
          </cell>
          <cell r="L19" t="str">
            <v>PV of Operating Leases</v>
          </cell>
          <cell r="AD19" t="str">
            <v>PV of Operating Leases</v>
          </cell>
          <cell r="AF19" t="str">
            <v>PV of Operating Leases</v>
          </cell>
        </row>
        <row r="21">
          <cell r="J21">
            <v>0</v>
          </cell>
          <cell r="L21">
            <v>0</v>
          </cell>
          <cell r="AD21">
            <v>83.458364591147784</v>
          </cell>
          <cell r="AF21">
            <v>79.707426856714179</v>
          </cell>
        </row>
        <row r="22">
          <cell r="J22">
            <v>0</v>
          </cell>
          <cell r="L22">
            <v>0</v>
          </cell>
          <cell r="AD22">
            <v>66.830285966090173</v>
          </cell>
          <cell r="AF22">
            <v>63.312902494190695</v>
          </cell>
        </row>
        <row r="23">
          <cell r="J23">
            <v>0</v>
          </cell>
          <cell r="L23">
            <v>0</v>
          </cell>
          <cell r="AD23">
            <v>47.82638816817564</v>
          </cell>
          <cell r="AF23">
            <v>42.878830771467818</v>
          </cell>
        </row>
        <row r="24">
          <cell r="J24">
            <v>0</v>
          </cell>
          <cell r="L24">
            <v>0</v>
          </cell>
          <cell r="AD24">
            <v>21.650976354685408</v>
          </cell>
          <cell r="AF24">
            <v>19.331228888111969</v>
          </cell>
        </row>
        <row r="25">
          <cell r="J25">
            <v>0</v>
          </cell>
          <cell r="L25">
            <v>0</v>
          </cell>
          <cell r="AD25">
            <v>17.402456613454138</v>
          </cell>
          <cell r="AF25">
            <v>12.32674010119668</v>
          </cell>
        </row>
        <row r="26">
          <cell r="J26">
            <v>0</v>
          </cell>
          <cell r="L26">
            <v>0</v>
          </cell>
          <cell r="AD26">
            <v>12.919115546684663</v>
          </cell>
          <cell r="AF26">
            <v>11.559208647033646</v>
          </cell>
        </row>
        <row r="27">
          <cell r="J27">
            <v>0</v>
          </cell>
          <cell r="L27">
            <v>0</v>
          </cell>
          <cell r="AD27">
            <v>0</v>
          </cell>
          <cell r="AF27">
            <v>0</v>
          </cell>
        </row>
        <row r="28">
          <cell r="J28">
            <v>0</v>
          </cell>
          <cell r="L28">
            <v>0</v>
          </cell>
          <cell r="AD28">
            <v>0</v>
          </cell>
          <cell r="AF28">
            <v>0</v>
          </cell>
        </row>
        <row r="29">
          <cell r="J29">
            <v>0</v>
          </cell>
          <cell r="L29">
            <v>0</v>
          </cell>
          <cell r="AD29">
            <v>0</v>
          </cell>
          <cell r="AF29">
            <v>0</v>
          </cell>
        </row>
        <row r="30">
          <cell r="J30">
            <v>0</v>
          </cell>
          <cell r="L30">
            <v>0</v>
          </cell>
          <cell r="AD30">
            <v>0</v>
          </cell>
          <cell r="AF30">
            <v>0</v>
          </cell>
        </row>
        <row r="31">
          <cell r="J31">
            <v>0</v>
          </cell>
          <cell r="L31">
            <v>0</v>
          </cell>
          <cell r="AD31">
            <v>0</v>
          </cell>
          <cell r="AF31">
            <v>0</v>
          </cell>
        </row>
        <row r="32">
          <cell r="J32">
            <v>0</v>
          </cell>
          <cell r="L32">
            <v>0</v>
          </cell>
          <cell r="AD32">
            <v>0</v>
          </cell>
          <cell r="AF32">
            <v>0</v>
          </cell>
        </row>
        <row r="33">
          <cell r="J33">
            <v>0</v>
          </cell>
          <cell r="L33">
            <v>0</v>
          </cell>
          <cell r="AD33">
            <v>0</v>
          </cell>
          <cell r="AF33">
            <v>0</v>
          </cell>
        </row>
        <row r="34">
          <cell r="J34">
            <v>0</v>
          </cell>
          <cell r="L34">
            <v>0</v>
          </cell>
          <cell r="AD34">
            <v>0</v>
          </cell>
          <cell r="AF34">
            <v>0</v>
          </cell>
        </row>
        <row r="35">
          <cell r="J35">
            <v>0</v>
          </cell>
          <cell r="L35">
            <v>0</v>
          </cell>
          <cell r="AD35">
            <v>0</v>
          </cell>
          <cell r="AF35">
            <v>0</v>
          </cell>
        </row>
        <row r="36">
          <cell r="J36">
            <v>0</v>
          </cell>
          <cell r="L36">
            <v>0</v>
          </cell>
          <cell r="AD36">
            <v>0</v>
          </cell>
          <cell r="AF36">
            <v>0</v>
          </cell>
        </row>
        <row r="37">
          <cell r="J37">
            <v>0</v>
          </cell>
          <cell r="L37">
            <v>0</v>
          </cell>
          <cell r="AD37">
            <v>0</v>
          </cell>
          <cell r="AF37">
            <v>0</v>
          </cell>
        </row>
        <row r="38">
          <cell r="J38">
            <v>0</v>
          </cell>
          <cell r="L38">
            <v>0</v>
          </cell>
          <cell r="AD38">
            <v>0</v>
          </cell>
          <cell r="AF38">
            <v>0</v>
          </cell>
        </row>
        <row r="39">
          <cell r="J39">
            <v>0</v>
          </cell>
          <cell r="L39">
            <v>0</v>
          </cell>
          <cell r="AD39">
            <v>0</v>
          </cell>
          <cell r="AF39">
            <v>0</v>
          </cell>
        </row>
        <row r="40">
          <cell r="J40">
            <v>0</v>
          </cell>
          <cell r="L40">
            <v>0</v>
          </cell>
          <cell r="AD40">
            <v>0</v>
          </cell>
          <cell r="AF40">
            <v>0</v>
          </cell>
        </row>
        <row r="41">
          <cell r="J41">
            <v>0</v>
          </cell>
          <cell r="L41">
            <v>0</v>
          </cell>
          <cell r="AD41">
            <v>0</v>
          </cell>
          <cell r="AF41">
            <v>0</v>
          </cell>
        </row>
        <row r="42">
          <cell r="J42">
            <v>0</v>
          </cell>
          <cell r="L42">
            <v>0</v>
          </cell>
          <cell r="AD42">
            <v>0</v>
          </cell>
          <cell r="AF42">
            <v>0</v>
          </cell>
        </row>
        <row r="43">
          <cell r="J43">
            <v>0</v>
          </cell>
          <cell r="L43">
            <v>0</v>
          </cell>
          <cell r="AD43">
            <v>0</v>
          </cell>
          <cell r="AF43">
            <v>0</v>
          </cell>
        </row>
        <row r="44">
          <cell r="J44">
            <v>0</v>
          </cell>
          <cell r="L44">
            <v>0</v>
          </cell>
          <cell r="AD44">
            <v>0</v>
          </cell>
          <cell r="AF44">
            <v>0</v>
          </cell>
        </row>
        <row r="45">
          <cell r="J45">
            <v>0</v>
          </cell>
          <cell r="L45">
            <v>0</v>
          </cell>
          <cell r="AD45">
            <v>0</v>
          </cell>
          <cell r="AF45">
            <v>0</v>
          </cell>
        </row>
        <row r="46">
          <cell r="J46">
            <v>0</v>
          </cell>
          <cell r="L46">
            <v>0</v>
          </cell>
          <cell r="AD46">
            <v>0</v>
          </cell>
          <cell r="AF46">
            <v>0</v>
          </cell>
        </row>
        <row r="47">
          <cell r="J47">
            <v>0</v>
          </cell>
          <cell r="L47">
            <v>0</v>
          </cell>
          <cell r="AD47">
            <v>0</v>
          </cell>
          <cell r="AF47">
            <v>0</v>
          </cell>
        </row>
        <row r="48">
          <cell r="J48">
            <v>0</v>
          </cell>
          <cell r="L48">
            <v>0</v>
          </cell>
          <cell r="AD48">
            <v>0</v>
          </cell>
          <cell r="AF48">
            <v>0</v>
          </cell>
        </row>
        <row r="49">
          <cell r="J49">
            <v>0</v>
          </cell>
          <cell r="L49">
            <v>0</v>
          </cell>
          <cell r="AD49">
            <v>0</v>
          </cell>
          <cell r="AF49">
            <v>0</v>
          </cell>
        </row>
        <row r="50">
          <cell r="J50">
            <v>0</v>
          </cell>
          <cell r="L50">
            <v>0</v>
          </cell>
          <cell r="AD50">
            <v>0</v>
          </cell>
          <cell r="AF50">
            <v>0</v>
          </cell>
        </row>
        <row r="51">
          <cell r="J51">
            <v>0</v>
          </cell>
          <cell r="L51">
            <v>0</v>
          </cell>
          <cell r="AD51">
            <v>0</v>
          </cell>
          <cell r="AF51">
            <v>0</v>
          </cell>
        </row>
        <row r="52">
          <cell r="J52">
            <v>0</v>
          </cell>
          <cell r="L52">
            <v>0</v>
          </cell>
          <cell r="AD52">
            <v>0</v>
          </cell>
          <cell r="AF52">
            <v>0</v>
          </cell>
        </row>
        <row r="53">
          <cell r="J53">
            <v>0</v>
          </cell>
          <cell r="L53">
            <v>0</v>
          </cell>
          <cell r="AD53">
            <v>0</v>
          </cell>
          <cell r="AF53">
            <v>0</v>
          </cell>
        </row>
        <row r="54">
          <cell r="J54">
            <v>0</v>
          </cell>
          <cell r="L54">
            <v>0</v>
          </cell>
          <cell r="AD54">
            <v>0</v>
          </cell>
          <cell r="AF54">
            <v>0</v>
          </cell>
        </row>
        <row r="55">
          <cell r="J55">
            <v>0</v>
          </cell>
          <cell r="L55">
            <v>0</v>
          </cell>
          <cell r="AD55">
            <v>0</v>
          </cell>
          <cell r="AF55">
            <v>0</v>
          </cell>
        </row>
        <row r="56">
          <cell r="J56">
            <v>0</v>
          </cell>
          <cell r="L56">
            <v>0</v>
          </cell>
          <cell r="AD56">
            <v>0</v>
          </cell>
          <cell r="AF56">
            <v>0</v>
          </cell>
        </row>
        <row r="57">
          <cell r="J57">
            <v>0</v>
          </cell>
          <cell r="L57">
            <v>0</v>
          </cell>
          <cell r="AD57">
            <v>0</v>
          </cell>
          <cell r="AF57">
            <v>0</v>
          </cell>
        </row>
        <row r="58">
          <cell r="J58">
            <v>0</v>
          </cell>
          <cell r="L58">
            <v>0</v>
          </cell>
          <cell r="AD58">
            <v>0</v>
          </cell>
          <cell r="AF58">
            <v>0</v>
          </cell>
        </row>
        <row r="59">
          <cell r="J59">
            <v>0</v>
          </cell>
          <cell r="L59">
            <v>0</v>
          </cell>
          <cell r="AD59">
            <v>0</v>
          </cell>
          <cell r="AF59">
            <v>0</v>
          </cell>
        </row>
        <row r="60">
          <cell r="J60">
            <v>0</v>
          </cell>
          <cell r="L60">
            <v>0</v>
          </cell>
          <cell r="AD60">
            <v>0</v>
          </cell>
          <cell r="AF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D63">
            <v>0</v>
          </cell>
          <cell r="F63">
            <v>0</v>
          </cell>
          <cell r="H63">
            <v>0</v>
          </cell>
          <cell r="J63">
            <v>0</v>
          </cell>
          <cell r="L63">
            <v>0</v>
          </cell>
          <cell r="N63">
            <v>0</v>
          </cell>
          <cell r="P63">
            <v>0</v>
          </cell>
          <cell r="R63">
            <v>0</v>
          </cell>
          <cell r="T63">
            <v>0</v>
          </cell>
          <cell r="V63">
            <v>0</v>
          </cell>
          <cell r="X63">
            <v>0</v>
          </cell>
          <cell r="Z63">
            <v>0</v>
          </cell>
          <cell r="AB63">
            <v>0</v>
          </cell>
          <cell r="AD63">
            <v>0</v>
          </cell>
          <cell r="AF63">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refreshError="1">
        <row r="1">
          <cell r="I1" t="str">
            <v>Expected Trend in</v>
          </cell>
        </row>
        <row r="2">
          <cell r="G2" t="str">
            <v>Summary</v>
          </cell>
          <cell r="I2" t="str">
            <v>Economic Profit</v>
          </cell>
        </row>
        <row r="3">
          <cell r="I3" t="str">
            <v>POSITIVE</v>
          </cell>
        </row>
        <row r="5">
          <cell r="B5" t="str">
            <v>MICROSOFT CORPORATION</v>
          </cell>
        </row>
        <row r="7">
          <cell r="C7" t="str">
            <v>Price to</v>
          </cell>
          <cell r="D7" t="str">
            <v>PVGO as % of</v>
          </cell>
          <cell r="E7" t="str">
            <v>Acceleration</v>
          </cell>
          <cell r="F7" t="str">
            <v>Enterprise</v>
          </cell>
          <cell r="I7" t="str">
            <v>52-week</v>
          </cell>
        </row>
        <row r="8">
          <cell r="C8" t="str">
            <v>EBV</v>
          </cell>
          <cell r="D8" t="str">
            <v xml:space="preserve"> Stock Price</v>
          </cell>
          <cell r="E8" t="str">
            <v>Ratio</v>
          </cell>
          <cell r="F8" t="str">
            <v xml:space="preserve"> Value</v>
          </cell>
          <cell r="G8" t="str">
            <v>Dividend</v>
          </cell>
          <cell r="H8" t="str">
            <v>Yield</v>
          </cell>
          <cell r="I8" t="str">
            <v>Range</v>
          </cell>
        </row>
        <row r="9">
          <cell r="B9">
            <v>105.4375</v>
          </cell>
          <cell r="C9">
            <v>4.2299388190431468</v>
          </cell>
          <cell r="D9">
            <v>0.7635899612783974</v>
          </cell>
          <cell r="E9">
            <v>0.56044765690804332</v>
          </cell>
          <cell r="F9">
            <v>236822.86</v>
          </cell>
          <cell r="G9">
            <v>0</v>
          </cell>
          <cell r="H9">
            <v>0</v>
          </cell>
          <cell r="I9" t="str">
            <v>59.00-119.63</v>
          </cell>
        </row>
        <row r="10">
          <cell r="C10">
            <v>80.511016542291031</v>
          </cell>
        </row>
        <row r="11">
          <cell r="C11" t="str">
            <v>Economic Book Value(EBV)</v>
          </cell>
          <cell r="E11" t="str">
            <v>ERI</v>
          </cell>
          <cell r="F11" t="str">
            <v>Free Cash Yield</v>
          </cell>
          <cell r="H11" t="str">
            <v>Fiscal year</v>
          </cell>
          <cell r="I11" t="str">
            <v>S&amp;P 500</v>
          </cell>
        </row>
        <row r="12">
          <cell r="C12">
            <v>24.926483457708969</v>
          </cell>
          <cell r="E12">
            <v>0.42795220463698136</v>
          </cell>
          <cell r="F12">
            <v>2.3370007282682584E-2</v>
          </cell>
          <cell r="H12" t="str">
            <v>Jun</v>
          </cell>
          <cell r="I12">
            <v>984.56</v>
          </cell>
        </row>
        <row r="14">
          <cell r="C14" t="str">
            <v>MSFT makes, sells and licenses software products, including operating systems, server applications,</v>
          </cell>
        </row>
        <row r="15">
          <cell r="C15" t="str">
            <v xml:space="preserve">business and consumer products, Internet software technologies and development tools.  The </v>
          </cell>
        </row>
        <row r="16">
          <cell r="C16" t="str">
            <v xml:space="preserve">company also markets personal computer books and input devices. </v>
          </cell>
        </row>
        <row r="18">
          <cell r="C18" t="str">
            <v>Q1</v>
          </cell>
          <cell r="D18" t="str">
            <v>Q2</v>
          </cell>
          <cell r="E18" t="str">
            <v>Q3</v>
          </cell>
          <cell r="F18" t="str">
            <v>Q4</v>
          </cell>
          <cell r="G18" t="str">
            <v>Year</v>
          </cell>
          <cell r="H18" t="str">
            <v>Growth</v>
          </cell>
          <cell r="I18" t="str">
            <v>P/E multiple</v>
          </cell>
        </row>
        <row r="19">
          <cell r="C19">
            <v>0.48003094629629633</v>
          </cell>
          <cell r="D19">
            <v>0.49172786764705884</v>
          </cell>
          <cell r="E19">
            <v>0.56034176666666657</v>
          </cell>
          <cell r="F19">
            <v>0.56357523809523802</v>
          </cell>
          <cell r="G19">
            <v>2.5999571428571424</v>
          </cell>
          <cell r="H19">
            <v>0.1684557821187336</v>
          </cell>
          <cell r="I19">
            <v>40.553553080545292</v>
          </cell>
        </row>
        <row r="20">
          <cell r="C20">
            <v>0.35971492873218303</v>
          </cell>
          <cell r="D20">
            <v>0.42458770614692659</v>
          </cell>
          <cell r="E20">
            <v>0.49797020484171328</v>
          </cell>
          <cell r="F20">
            <v>0.46925538033395181</v>
          </cell>
          <cell r="G20">
            <v>2.2251224074074081</v>
          </cell>
          <cell r="H20">
            <v>0.33240862719006475</v>
          </cell>
          <cell r="I20">
            <v>47.385033582422125</v>
          </cell>
        </row>
        <row r="21">
          <cell r="C21">
            <v>0.23724884080370942</v>
          </cell>
          <cell r="D21">
            <v>0.28412576687116564</v>
          </cell>
          <cell r="E21">
            <v>0.39408093797276855</v>
          </cell>
          <cell r="F21">
            <v>0.39822908816880187</v>
          </cell>
          <cell r="G21">
            <v>1.67</v>
          </cell>
          <cell r="H21">
            <v>0.27423088107007848</v>
          </cell>
          <cell r="I21">
            <v>63.136227544910184</v>
          </cell>
        </row>
        <row r="24">
          <cell r="C24" t="str">
            <v>P-4</v>
          </cell>
          <cell r="D24" t="str">
            <v>P-3</v>
          </cell>
          <cell r="E24" t="str">
            <v>P-2</v>
          </cell>
          <cell r="F24" t="str">
            <v>P-1</v>
          </cell>
          <cell r="G24" t="str">
            <v>P</v>
          </cell>
          <cell r="H24" t="str">
            <v>EY 1</v>
          </cell>
          <cell r="I24" t="str">
            <v>EY 2</v>
          </cell>
        </row>
        <row r="25">
          <cell r="C25">
            <v>1994</v>
          </cell>
          <cell r="D25">
            <v>1995</v>
          </cell>
          <cell r="E25">
            <v>1996</v>
          </cell>
          <cell r="F25">
            <v>1997</v>
          </cell>
          <cell r="G25">
            <v>1998</v>
          </cell>
          <cell r="H25" t="str">
            <v>1999E</v>
          </cell>
          <cell r="I25" t="str">
            <v>2000E</v>
          </cell>
        </row>
        <row r="26">
          <cell r="C26">
            <v>13.462314733472448</v>
          </cell>
          <cell r="D26">
            <v>17.527913438058803</v>
          </cell>
          <cell r="E26">
            <v>19.831992625770013</v>
          </cell>
          <cell r="F26">
            <v>50.534801922013301</v>
          </cell>
          <cell r="G26">
            <v>77.797220225665313</v>
          </cell>
          <cell r="H26">
            <v>69.448983538979007</v>
          </cell>
          <cell r="I26">
            <v>60.0307479914228</v>
          </cell>
        </row>
        <row r="27">
          <cell r="C27">
            <v>11.968005216873594</v>
          </cell>
          <cell r="D27">
            <v>18.076619868985002</v>
          </cell>
          <cell r="E27">
            <v>14.992742900997698</v>
          </cell>
          <cell r="F27">
            <v>23.742508247475005</v>
          </cell>
          <cell r="G27">
            <v>26.919137632905336</v>
          </cell>
          <cell r="H27">
            <v>21.630160566519105</v>
          </cell>
          <cell r="I27">
            <v>18.433132360063279</v>
          </cell>
        </row>
        <row r="28">
          <cell r="C28">
            <v>0.97639875822281641</v>
          </cell>
          <cell r="D28">
            <v>1.1548767955389909</v>
          </cell>
          <cell r="E28">
            <v>1.8365667055686166</v>
          </cell>
          <cell r="F28">
            <v>2.5029217479674797</v>
          </cell>
          <cell r="G28">
            <v>3.391025698490961</v>
          </cell>
          <cell r="H28">
            <v>4.0550864197530876</v>
          </cell>
          <cell r="I28">
            <v>4.7061073870573864</v>
          </cell>
        </row>
        <row r="30">
          <cell r="C30">
            <v>1320.0209651567945</v>
          </cell>
          <cell r="D30">
            <v>1623.052405937548</v>
          </cell>
          <cell r="E30">
            <v>2509.623162671402</v>
          </cell>
          <cell r="F30">
            <v>3956.8687743068626</v>
          </cell>
          <cell r="G30">
            <v>5069.9925062057982</v>
          </cell>
          <cell r="H30">
            <v>6318.6657333333351</v>
          </cell>
          <cell r="I30">
            <v>7475.881768166666</v>
          </cell>
        </row>
        <row r="31">
          <cell r="D31">
            <v>-210.48000000000002</v>
          </cell>
          <cell r="E31">
            <v>-939.63999999999987</v>
          </cell>
          <cell r="F31">
            <v>-569.52000000000021</v>
          </cell>
          <cell r="G31">
            <v>-1439.9599999999998</v>
          </cell>
        </row>
        <row r="32">
          <cell r="D32">
            <v>921.61566666666658</v>
          </cell>
          <cell r="E32">
            <v>1449.333333333333</v>
          </cell>
          <cell r="F32">
            <v>371.66666666666606</v>
          </cell>
          <cell r="G32">
            <v>1489.333333333333</v>
          </cell>
        </row>
        <row r="33">
          <cell r="D33">
            <v>0</v>
          </cell>
          <cell r="E33">
            <v>0</v>
          </cell>
          <cell r="F33">
            <v>0</v>
          </cell>
          <cell r="G33">
            <v>0</v>
          </cell>
        </row>
        <row r="34">
          <cell r="C34">
            <v>91.19894425087125</v>
          </cell>
          <cell r="D34">
            <v>585.06848346408196</v>
          </cell>
          <cell r="E34">
            <v>234.51290519877716</v>
          </cell>
          <cell r="F34">
            <v>-533.05468824488821</v>
          </cell>
          <cell r="G34">
            <v>-464.55945669992002</v>
          </cell>
          <cell r="H34">
            <v>36.228255833235153</v>
          </cell>
          <cell r="I34">
            <v>192.98000084092848</v>
          </cell>
        </row>
        <row r="35">
          <cell r="C35">
            <v>1228.8220209059232</v>
          </cell>
          <cell r="D35">
            <v>1037.983922473466</v>
          </cell>
          <cell r="E35">
            <v>2275.1102574726247</v>
          </cell>
          <cell r="F35">
            <v>4489.9234625517502</v>
          </cell>
          <cell r="G35">
            <v>5534.551962905718</v>
          </cell>
          <cell r="H35">
            <v>6282.4374775000997</v>
          </cell>
          <cell r="I35">
            <v>7282.9017673257376</v>
          </cell>
        </row>
        <row r="37">
          <cell r="C37">
            <v>0.2839365379988803</v>
          </cell>
          <cell r="D37">
            <v>0.27337921609188948</v>
          </cell>
          <cell r="E37">
            <v>0.28942718979026666</v>
          </cell>
          <cell r="F37">
            <v>0.34837724725364172</v>
          </cell>
          <cell r="G37">
            <v>0.35004090763641249</v>
          </cell>
          <cell r="H37">
            <v>0.36106661333333345</v>
          </cell>
          <cell r="I37">
            <v>0.34590546064391747</v>
          </cell>
        </row>
        <row r="38">
          <cell r="C38">
            <v>2.3550996130135848</v>
          </cell>
          <cell r="D38">
            <v>2.1403747428329716</v>
          </cell>
          <cell r="E38">
            <v>2.6407742941489385</v>
          </cell>
          <cell r="F38">
            <v>3.6809060425884974</v>
          </cell>
          <cell r="G38">
            <v>4.6200563950545899</v>
          </cell>
          <cell r="H38">
            <v>5.1319252369983737</v>
          </cell>
          <cell r="I38">
            <v>5.4784176703407148</v>
          </cell>
        </row>
        <row r="39">
          <cell r="C39">
            <v>0.66869883076157999</v>
          </cell>
          <cell r="D39">
            <v>0.58513396933855732</v>
          </cell>
          <cell r="E39">
            <v>0.76431188282590234</v>
          </cell>
          <cell r="F39">
            <v>1.2823439145162767</v>
          </cell>
          <cell r="G39">
            <v>1.6172087338563206</v>
          </cell>
          <cell r="H39">
            <v>1.8529668652028675</v>
          </cell>
          <cell r="I39">
            <v>1.8950145878589821</v>
          </cell>
        </row>
        <row r="40">
          <cell r="C40">
            <v>2.1023184674312634E-2</v>
          </cell>
          <cell r="D40">
            <v>-8.3564861423022663E-2</v>
          </cell>
          <cell r="E40">
            <v>0.17917791348734502</v>
          </cell>
          <cell r="F40">
            <v>0.51803203169037437</v>
          </cell>
          <cell r="G40">
            <v>0.33486481934004386</v>
          </cell>
          <cell r="H40">
            <v>0.23575813134654688</v>
          </cell>
          <cell r="I40">
            <v>4.2047722656114672E-2</v>
          </cell>
        </row>
        <row r="42">
          <cell r="C42">
            <v>0.12936500000000001</v>
          </cell>
          <cell r="D42">
            <v>0.12174499999999999</v>
          </cell>
          <cell r="E42">
            <v>0.12668499999999999</v>
          </cell>
          <cell r="F42">
            <v>0.12051815905168733</v>
          </cell>
          <cell r="G42">
            <v>0.12079368108815906</v>
          </cell>
          <cell r="H42">
            <v>0.11992721428571428</v>
          </cell>
          <cell r="I42">
            <v>0.11992721428571428</v>
          </cell>
        </row>
        <row r="44">
          <cell r="C44">
            <v>0.56538777747845093</v>
          </cell>
          <cell r="D44">
            <v>1.7088849457823854</v>
          </cell>
          <cell r="E44">
            <v>1.2466970766485552</v>
          </cell>
          <cell r="F44">
            <v>2.8394438714170476</v>
          </cell>
          <cell r="G44" t="str">
            <v>NM</v>
          </cell>
          <cell r="H44">
            <v>25.290438032558981</v>
          </cell>
          <cell r="I44">
            <v>2.1040320010618481</v>
          </cell>
        </row>
        <row r="46">
          <cell r="C46">
            <v>0.53933383076158004</v>
          </cell>
          <cell r="D46">
            <v>0.46338896933855733</v>
          </cell>
          <cell r="E46">
            <v>0.63762688282590241</v>
          </cell>
          <cell r="F46">
            <v>1.1618257554645894</v>
          </cell>
          <cell r="G46">
            <v>1.4964150527681614</v>
          </cell>
          <cell r="H46">
            <v>1.7330396509171533</v>
          </cell>
          <cell r="I46">
            <v>1.775087373573268</v>
          </cell>
        </row>
        <row r="47">
          <cell r="C47">
            <v>1974.0141666666664</v>
          </cell>
          <cell r="D47">
            <v>2773.8133333333326</v>
          </cell>
          <cell r="E47">
            <v>3283.5066666666662</v>
          </cell>
          <cell r="F47">
            <v>3085.6533333333318</v>
          </cell>
          <cell r="G47">
            <v>3135.0266666666648</v>
          </cell>
          <cell r="H47">
            <v>3410.0262945832828</v>
          </cell>
          <cell r="I47">
            <v>3945.0259729203653</v>
          </cell>
        </row>
        <row r="48">
          <cell r="C48">
            <v>1064.6526224859613</v>
          </cell>
          <cell r="D48">
            <v>1285.3545016708813</v>
          </cell>
          <cell r="E48">
            <v>2093.6521206047355</v>
          </cell>
          <cell r="F48">
            <v>3584.9915151018267</v>
          </cell>
          <cell r="G48">
            <v>4691.3010948295905</v>
          </cell>
          <cell r="H48">
            <v>5909.7107791829258</v>
          </cell>
          <cell r="I48">
            <v>7002.7657929495372</v>
          </cell>
        </row>
        <row r="49">
          <cell r="C49">
            <v>193.25460581370885</v>
          </cell>
          <cell r="D49">
            <v>220.70187918492002</v>
          </cell>
          <cell r="E49">
            <v>808.29761893385421</v>
          </cell>
          <cell r="F49">
            <v>1491.3393944970912</v>
          </cell>
          <cell r="G49">
            <v>1106.3095797277638</v>
          </cell>
          <cell r="H49">
            <v>1218.4096843533353</v>
          </cell>
          <cell r="I49">
            <v>1093.0550137666114</v>
          </cell>
        </row>
        <row r="51">
          <cell r="C51">
            <v>0.5456467019930924</v>
          </cell>
          <cell r="D51">
            <v>0.66415341243980996</v>
          </cell>
          <cell r="E51">
            <v>0.63181559907232943</v>
          </cell>
          <cell r="F51">
            <v>0.75065630595476074</v>
          </cell>
          <cell r="G51">
            <v>0.7880192814947361</v>
          </cell>
        </row>
        <row r="52">
          <cell r="C52">
            <v>7.0442989227308228</v>
          </cell>
          <cell r="D52">
            <v>15.003225587015306</v>
          </cell>
          <cell r="E52">
            <v>18.973422440142052</v>
          </cell>
          <cell r="F52">
            <v>47.433971973281331</v>
          </cell>
          <cell r="G52">
            <v>85.401589631992024</v>
          </cell>
        </row>
        <row r="53">
          <cell r="C53">
            <v>5.8657010772691773</v>
          </cell>
          <cell r="D53">
            <v>7.5867744129846937</v>
          </cell>
          <cell r="E53">
            <v>11.056577559857947</v>
          </cell>
          <cell r="F53">
            <v>15.756028026718671</v>
          </cell>
          <cell r="G53">
            <v>22.973410368007972</v>
          </cell>
        </row>
        <row r="54">
          <cell r="C54">
            <v>12.91</v>
          </cell>
          <cell r="D54">
            <v>22.59</v>
          </cell>
          <cell r="E54">
            <v>30.03</v>
          </cell>
          <cell r="F54">
            <v>63.19</v>
          </cell>
          <cell r="G54">
            <v>108.375</v>
          </cell>
        </row>
        <row r="58">
          <cell r="C58">
            <v>15</v>
          </cell>
          <cell r="D58" t="str">
            <v>Target Price Implied CAP</v>
          </cell>
          <cell r="F58" t="str">
            <v>N/A</v>
          </cell>
        </row>
        <row r="60">
          <cell r="C60" t="str">
            <v>Years</v>
          </cell>
        </row>
        <row r="61">
          <cell r="C61">
            <v>10</v>
          </cell>
          <cell r="D61">
            <v>12</v>
          </cell>
          <cell r="E61">
            <v>14</v>
          </cell>
          <cell r="F61">
            <v>15</v>
          </cell>
          <cell r="G61">
            <v>16</v>
          </cell>
          <cell r="H61">
            <v>18</v>
          </cell>
          <cell r="I61">
            <v>20</v>
          </cell>
        </row>
        <row r="62">
          <cell r="C62">
            <v>1.9894560154833445</v>
          </cell>
          <cell r="D62">
            <v>1.9922136768572662</v>
          </cell>
          <cell r="E62">
            <v>1.9946061259864956</v>
          </cell>
          <cell r="F62">
            <v>1.9955639099107756</v>
          </cell>
          <cell r="G62">
            <v>1.9975863048785347</v>
          </cell>
          <cell r="H62">
            <v>2.0044496501887092</v>
          </cell>
          <cell r="I62">
            <v>2.0099573010254677</v>
          </cell>
        </row>
        <row r="63">
          <cell r="C63">
            <v>0.33693797165422684</v>
          </cell>
          <cell r="D63">
            <v>0.33627842383510254</v>
          </cell>
          <cell r="E63">
            <v>0.33580810883543616</v>
          </cell>
          <cell r="F63">
            <v>0.33562016706466469</v>
          </cell>
          <cell r="G63">
            <v>0.33545580430214778</v>
          </cell>
          <cell r="H63">
            <v>0.33518204521877448</v>
          </cell>
          <cell r="I63">
            <v>0.3349631988157169</v>
          </cell>
        </row>
        <row r="64">
          <cell r="C64">
            <v>5.9045171006281496</v>
          </cell>
          <cell r="D64">
            <v>5.9242982470804266</v>
          </cell>
          <cell r="E64">
            <v>5.939719957637946</v>
          </cell>
          <cell r="F64">
            <v>5.9458998765300235</v>
          </cell>
          <cell r="G64">
            <v>5.9548419769755787</v>
          </cell>
          <cell r="H64">
            <v>5.9801820496691533</v>
          </cell>
          <cell r="I64">
            <v>6.0005317244753931</v>
          </cell>
        </row>
        <row r="65">
          <cell r="C65">
            <v>0.11992721428571428</v>
          </cell>
          <cell r="D65">
            <v>0.11992721428571428</v>
          </cell>
          <cell r="E65">
            <v>0.11992721428571428</v>
          </cell>
          <cell r="F65">
            <v>0.11992721428571428</v>
          </cell>
          <cell r="G65">
            <v>0.11992721428571428</v>
          </cell>
          <cell r="H65">
            <v>0.11992721428571428</v>
          </cell>
          <cell r="I65">
            <v>0.11992721428571428</v>
          </cell>
        </row>
        <row r="66">
          <cell r="C66">
            <v>0.20469997001667317</v>
          </cell>
          <cell r="D66">
            <v>0.19713211373106532</v>
          </cell>
          <cell r="E66">
            <v>0.19175562618453323</v>
          </cell>
          <cell r="F66">
            <v>0.18961179828565422</v>
          </cell>
          <cell r="G66">
            <v>0.18644876074829364</v>
          </cell>
          <cell r="H66">
            <v>0.18119570968292265</v>
          </cell>
          <cell r="I66">
            <v>0.17701001961301666</v>
          </cell>
        </row>
        <row r="67">
          <cell r="C67">
            <v>0.19870258740595959</v>
          </cell>
          <cell r="D67">
            <v>0.19216362653072827</v>
          </cell>
          <cell r="E67">
            <v>0.18751479047975361</v>
          </cell>
          <cell r="F67">
            <v>0.18566033589578601</v>
          </cell>
          <cell r="G67">
            <v>0.18275373061508082</v>
          </cell>
          <cell r="H67">
            <v>0.17792521416886964</v>
          </cell>
          <cell r="I67">
            <v>0.17407659759821814</v>
          </cell>
        </row>
        <row r="68">
          <cell r="C68">
            <v>0.18214118630743759</v>
          </cell>
          <cell r="D68">
            <v>0.17779719352399881</v>
          </cell>
          <cell r="E68">
            <v>0.17523811676220347</v>
          </cell>
          <cell r="F68">
            <v>0.1742160436110447</v>
          </cell>
          <cell r="G68">
            <v>0.16961458882559088</v>
          </cell>
          <cell r="H68">
            <v>0.16628644847955432</v>
          </cell>
          <cell r="I68">
            <v>0.16363075606229471</v>
          </cell>
        </row>
        <row r="69">
          <cell r="C69">
            <v>0.1776142433035619</v>
          </cell>
          <cell r="D69">
            <v>0.17595478482515969</v>
          </cell>
          <cell r="E69">
            <v>0.1736621643794376</v>
          </cell>
          <cell r="F69">
            <v>0.17274636819203582</v>
          </cell>
          <cell r="G69">
            <v>0.17274636819203582</v>
          </cell>
          <cell r="H69">
            <v>0.16793671295435897</v>
          </cell>
          <cell r="I69">
            <v>0.16511250734354332</v>
          </cell>
        </row>
        <row r="70">
          <cell r="C70">
            <v>72.985964193484094</v>
          </cell>
          <cell r="D70">
            <v>83.763825591127343</v>
          </cell>
          <cell r="E70">
            <v>95.313542560810902</v>
          </cell>
          <cell r="F70">
            <v>100.59482609618468</v>
          </cell>
          <cell r="G70">
            <v>106.0964615318304</v>
          </cell>
          <cell r="H70">
            <v>117.24245923277371</v>
          </cell>
          <cell r="I70">
            <v>128.79158353139223</v>
          </cell>
        </row>
      </sheetData>
      <sheetData sheetId="2" refreshError="1">
        <row r="90">
          <cell r="C90">
            <v>15</v>
          </cell>
        </row>
      </sheetData>
      <sheetData sheetId="3" refreshError="1">
        <row r="2">
          <cell r="E2" t="str">
            <v>Explicit Forecasts</v>
          </cell>
        </row>
        <row r="3">
          <cell r="E3" t="str">
            <v>1st Year</v>
          </cell>
          <cell r="F3" t="str">
            <v>2nd Year</v>
          </cell>
          <cell r="G3" t="str">
            <v>3rd Year</v>
          </cell>
        </row>
        <row r="4">
          <cell r="E4">
            <v>17500</v>
          </cell>
          <cell r="F4">
            <v>21612.5</v>
          </cell>
          <cell r="G4">
            <v>26691.437500000004</v>
          </cell>
          <cell r="K4">
            <v>0.11992721428571428</v>
          </cell>
        </row>
        <row r="5">
          <cell r="E5">
            <v>0</v>
          </cell>
          <cell r="F5">
            <v>0</v>
          </cell>
          <cell r="G5">
            <v>0</v>
          </cell>
          <cell r="K5">
            <v>0.04</v>
          </cell>
        </row>
        <row r="6">
          <cell r="E6">
            <v>0</v>
          </cell>
          <cell r="F6">
            <v>0</v>
          </cell>
          <cell r="G6">
            <v>0</v>
          </cell>
          <cell r="H6" t="str">
            <v xml:space="preserve">Capitalize Expense i.e. R&amp;D </v>
          </cell>
          <cell r="K6" t="str">
            <v>Yes</v>
          </cell>
        </row>
        <row r="7">
          <cell r="E7">
            <v>17500</v>
          </cell>
          <cell r="F7">
            <v>21612.5</v>
          </cell>
          <cell r="G7">
            <v>26691.437500000004</v>
          </cell>
          <cell r="K7" t="str">
            <v>No</v>
          </cell>
        </row>
        <row r="8">
          <cell r="E8">
            <v>788.95653134493159</v>
          </cell>
          <cell r="F8">
            <v>1473.8238162109906</v>
          </cell>
          <cell r="G8">
            <v>2417.8274130205755</v>
          </cell>
          <cell r="H8" t="str">
            <v>Current Excess Cash</v>
          </cell>
          <cell r="K8">
            <v>0</v>
          </cell>
        </row>
        <row r="9">
          <cell r="E9">
            <v>16711.043468655069</v>
          </cell>
          <cell r="F9">
            <v>20138.676183789008</v>
          </cell>
          <cell r="G9">
            <v>24273.610086979428</v>
          </cell>
          <cell r="H9" t="str">
            <v>Current Market Value of Unconsol. Subs.</v>
          </cell>
          <cell r="K9">
            <v>0</v>
          </cell>
        </row>
        <row r="10">
          <cell r="E10">
            <v>4645.6434686550683</v>
          </cell>
          <cell r="F10">
            <v>5737.3696837890093</v>
          </cell>
          <cell r="G10">
            <v>7085.6515594794273</v>
          </cell>
          <cell r="H10" t="str">
            <v>Current Total Debt</v>
          </cell>
          <cell r="K10">
            <v>0</v>
          </cell>
        </row>
        <row r="11">
          <cell r="E11">
            <v>2937.9</v>
          </cell>
          <cell r="F11">
            <v>3628.3065000000001</v>
          </cell>
          <cell r="G11">
            <v>4480.9585275000009</v>
          </cell>
          <cell r="H11" t="str">
            <v>Current Shares Outstanding</v>
          </cell>
          <cell r="K11">
            <v>0</v>
          </cell>
        </row>
        <row r="12">
          <cell r="E12">
            <v>0</v>
          </cell>
          <cell r="F12">
            <v>0</v>
          </cell>
          <cell r="G12">
            <v>0</v>
          </cell>
          <cell r="H12" t="str">
            <v>Fraction of Year to FYE</v>
          </cell>
          <cell r="K12">
            <v>1</v>
          </cell>
        </row>
        <row r="13">
          <cell r="E13">
            <v>9127.5000000000018</v>
          </cell>
          <cell r="F13">
            <v>10772.999999999998</v>
          </cell>
          <cell r="G13">
            <v>12706.999999999998</v>
          </cell>
        </row>
        <row r="14">
          <cell r="E14">
            <v>935</v>
          </cell>
          <cell r="F14">
            <v>1000</v>
          </cell>
          <cell r="G14">
            <v>1067</v>
          </cell>
        </row>
        <row r="15">
          <cell r="E15">
            <v>0</v>
          </cell>
          <cell r="F15">
            <v>0</v>
          </cell>
          <cell r="G15">
            <v>0</v>
          </cell>
        </row>
        <row r="16">
          <cell r="E16">
            <v>935</v>
          </cell>
          <cell r="F16">
            <v>1000</v>
          </cell>
          <cell r="G16">
            <v>1067</v>
          </cell>
        </row>
        <row r="17">
          <cell r="E17">
            <v>10062.500000000002</v>
          </cell>
          <cell r="F17">
            <v>11772.999999999998</v>
          </cell>
          <cell r="G17">
            <v>13773.999999999998</v>
          </cell>
        </row>
        <row r="18">
          <cell r="E18">
            <v>935</v>
          </cell>
          <cell r="F18">
            <v>1000</v>
          </cell>
          <cell r="G18">
            <v>1067</v>
          </cell>
        </row>
        <row r="19">
          <cell r="E19">
            <v>9127.5000000000018</v>
          </cell>
          <cell r="F19">
            <v>10772.999999999998</v>
          </cell>
          <cell r="G19">
            <v>12706.999999999998</v>
          </cell>
        </row>
        <row r="20">
          <cell r="E20">
            <v>2937.9</v>
          </cell>
          <cell r="F20">
            <v>3628.3065000000001</v>
          </cell>
          <cell r="G20">
            <v>4480.9585275000009</v>
          </cell>
        </row>
        <row r="21">
          <cell r="E21">
            <v>2051.6666666666665</v>
          </cell>
          <cell r="F21">
            <v>2553.6333333333332</v>
          </cell>
          <cell r="G21">
            <v>3121.4021666666667</v>
          </cell>
        </row>
        <row r="22">
          <cell r="E22">
            <v>0</v>
          </cell>
          <cell r="F22">
            <v>0</v>
          </cell>
          <cell r="G22">
            <v>0</v>
          </cell>
        </row>
        <row r="23">
          <cell r="E23">
            <v>886.23333333333358</v>
          </cell>
          <cell r="F23">
            <v>1074.6731666666669</v>
          </cell>
          <cell r="G23">
            <v>1359.5563608333341</v>
          </cell>
        </row>
        <row r="25">
          <cell r="E25">
            <v>10013.733333333335</v>
          </cell>
          <cell r="F25">
            <v>11847.673166666666</v>
          </cell>
          <cell r="G25">
            <v>14066.556360833332</v>
          </cell>
        </row>
        <row r="26">
          <cell r="B26">
            <v>0</v>
          </cell>
          <cell r="C26">
            <v>0</v>
          </cell>
          <cell r="E26">
            <v>0</v>
          </cell>
          <cell r="F26">
            <v>0</v>
          </cell>
          <cell r="G26">
            <v>0</v>
          </cell>
        </row>
        <row r="27">
          <cell r="E27">
            <v>10013.733333333335</v>
          </cell>
          <cell r="F27">
            <v>11847.673166666666</v>
          </cell>
          <cell r="G27">
            <v>14066.556360833332</v>
          </cell>
        </row>
        <row r="28">
          <cell r="E28">
            <v>3695.0676000000008</v>
          </cell>
          <cell r="F28">
            <v>4371.7913984999996</v>
          </cell>
          <cell r="G28">
            <v>5190.5592971474998</v>
          </cell>
        </row>
        <row r="29">
          <cell r="E29">
            <v>6318.6657333333351</v>
          </cell>
          <cell r="F29">
            <v>7475.881768166666</v>
          </cell>
          <cell r="G29">
            <v>8875.9970636858325</v>
          </cell>
        </row>
        <row r="31">
          <cell r="E31">
            <v>9127.5000000000018</v>
          </cell>
          <cell r="F31">
            <v>10772.999999999998</v>
          </cell>
          <cell r="G31">
            <v>12706.999999999998</v>
          </cell>
        </row>
        <row r="32">
          <cell r="E32">
            <v>0</v>
          </cell>
          <cell r="F32">
            <v>0</v>
          </cell>
          <cell r="G32">
            <v>0</v>
          </cell>
        </row>
        <row r="33">
          <cell r="E33">
            <v>0</v>
          </cell>
          <cell r="F33">
            <v>0</v>
          </cell>
          <cell r="G33">
            <v>0</v>
          </cell>
        </row>
        <row r="34">
          <cell r="E34">
            <v>438</v>
          </cell>
          <cell r="F34">
            <v>520</v>
          </cell>
          <cell r="G34">
            <v>520</v>
          </cell>
        </row>
        <row r="35">
          <cell r="E35">
            <v>0</v>
          </cell>
          <cell r="F35">
            <v>0</v>
          </cell>
          <cell r="G35">
            <v>0</v>
          </cell>
        </row>
        <row r="36">
          <cell r="E36">
            <v>9565.5000000000018</v>
          </cell>
          <cell r="F36">
            <v>11292.999999999998</v>
          </cell>
          <cell r="G36">
            <v>13226.999999999998</v>
          </cell>
        </row>
        <row r="37">
          <cell r="E37">
            <v>28</v>
          </cell>
          <cell r="F37">
            <v>28</v>
          </cell>
          <cell r="G37">
            <v>28</v>
          </cell>
        </row>
        <row r="38">
          <cell r="E38">
            <v>0</v>
          </cell>
          <cell r="F38">
            <v>0</v>
          </cell>
          <cell r="G38">
            <v>0</v>
          </cell>
        </row>
        <row r="39">
          <cell r="E39">
            <v>3529.6695000000004</v>
          </cell>
          <cell r="F39">
            <v>4167.1169999999993</v>
          </cell>
          <cell r="G39">
            <v>4880.762999999999</v>
          </cell>
        </row>
        <row r="40">
          <cell r="E40">
            <v>6007.8305000000018</v>
          </cell>
          <cell r="F40">
            <v>7097.8829999999989</v>
          </cell>
          <cell r="G40">
            <v>8318.2369999999992</v>
          </cell>
        </row>
        <row r="41">
          <cell r="E41">
            <v>2700</v>
          </cell>
          <cell r="F41">
            <v>2730</v>
          </cell>
          <cell r="G41">
            <v>2730</v>
          </cell>
        </row>
        <row r="42">
          <cell r="E42">
            <v>2.2251224074074081</v>
          </cell>
          <cell r="F42">
            <v>2.5999571428571424</v>
          </cell>
          <cell r="G42">
            <v>3.0469732600732597</v>
          </cell>
        </row>
        <row r="43">
          <cell r="E43">
            <v>8511.7000000000007</v>
          </cell>
          <cell r="F43">
            <v>8511.7000000000007</v>
          </cell>
          <cell r="G43">
            <v>8511.7000000000007</v>
          </cell>
        </row>
        <row r="44">
          <cell r="E44">
            <v>0</v>
          </cell>
          <cell r="F44">
            <v>0</v>
          </cell>
          <cell r="G44">
            <v>0</v>
          </cell>
        </row>
        <row r="45">
          <cell r="E45">
            <v>0</v>
          </cell>
          <cell r="F45">
            <v>0</v>
          </cell>
          <cell r="G45">
            <v>0</v>
          </cell>
        </row>
        <row r="46">
          <cell r="E46">
            <v>0</v>
          </cell>
          <cell r="F46">
            <v>0</v>
          </cell>
          <cell r="G46">
            <v>0</v>
          </cell>
        </row>
        <row r="48">
          <cell r="E48" t="str">
            <v>Growth Rates and Margins based on Explicit Forecasts</v>
          </cell>
          <cell r="H48" t="str">
            <v xml:space="preserve">  Forecasted Growth Rates and Margins for DCF</v>
          </cell>
        </row>
        <row r="49">
          <cell r="E49" t="str">
            <v>1st Year</v>
          </cell>
          <cell r="F49" t="str">
            <v>2nd Year</v>
          </cell>
          <cell r="G49" t="str">
            <v>3rd Year</v>
          </cell>
          <cell r="H49" t="str">
            <v>Years           4-5</v>
          </cell>
          <cell r="I49" t="str">
            <v>Years           6-10</v>
          </cell>
          <cell r="J49" t="str">
            <v>Years           11-15</v>
          </cell>
          <cell r="K49" t="str">
            <v>Years           16-25</v>
          </cell>
        </row>
        <row r="50">
          <cell r="E50">
            <v>0.20822977078155205</v>
          </cell>
          <cell r="F50">
            <v>0.23499999999999999</v>
          </cell>
          <cell r="G50">
            <v>0.23500000000000018</v>
          </cell>
          <cell r="H50">
            <v>0.21</v>
          </cell>
          <cell r="I50">
            <v>0.19</v>
          </cell>
          <cell r="J50">
            <v>0.16</v>
          </cell>
          <cell r="K50">
            <v>0.14000000000000001</v>
          </cell>
        </row>
        <row r="51">
          <cell r="E51">
            <v>0</v>
          </cell>
          <cell r="F51">
            <v>0</v>
          </cell>
          <cell r="G51">
            <v>0</v>
          </cell>
          <cell r="H51">
            <v>0</v>
          </cell>
          <cell r="I51">
            <v>0</v>
          </cell>
          <cell r="J51">
            <v>0</v>
          </cell>
          <cell r="K51">
            <v>0</v>
          </cell>
        </row>
        <row r="52">
          <cell r="E52">
            <v>0</v>
          </cell>
          <cell r="F52">
            <v>0</v>
          </cell>
          <cell r="G52">
            <v>0</v>
          </cell>
          <cell r="H52">
            <v>0</v>
          </cell>
          <cell r="I52">
            <v>0</v>
          </cell>
          <cell r="J52">
            <v>0</v>
          </cell>
          <cell r="K52">
            <v>0</v>
          </cell>
        </row>
        <row r="53">
          <cell r="B53">
            <v>0.30988351977857226</v>
          </cell>
          <cell r="E53">
            <v>0.20822977078155205</v>
          </cell>
          <cell r="F53">
            <v>0.23499999999999999</v>
          </cell>
          <cell r="G53">
            <v>0.23500000000000018</v>
          </cell>
          <cell r="H53">
            <v>0.21</v>
          </cell>
          <cell r="I53">
            <v>0.18999999999999986</v>
          </cell>
          <cell r="J53">
            <v>0.15999999999999998</v>
          </cell>
          <cell r="K53">
            <v>0.14000000000000021</v>
          </cell>
        </row>
        <row r="54">
          <cell r="E54">
            <v>0.36106661333333345</v>
          </cell>
          <cell r="F54">
            <v>0.34590546064391747</v>
          </cell>
          <cell r="G54">
            <v>0.33254099048377711</v>
          </cell>
          <cell r="H54">
            <v>0.33300000000000002</v>
          </cell>
          <cell r="I54">
            <v>0.33300000000000002</v>
          </cell>
          <cell r="J54">
            <v>0.33300000000000002</v>
          </cell>
          <cell r="K54">
            <v>0.33300000000000002</v>
          </cell>
        </row>
        <row r="55">
          <cell r="E55">
            <v>-0.36230674486276215</v>
          </cell>
          <cell r="F55">
            <v>0</v>
          </cell>
          <cell r="G55">
            <v>0</v>
          </cell>
          <cell r="H55">
            <v>0</v>
          </cell>
          <cell r="I55">
            <v>0</v>
          </cell>
          <cell r="J55">
            <v>0</v>
          </cell>
          <cell r="K55">
            <v>0</v>
          </cell>
        </row>
        <row r="56">
          <cell r="E56" t="str">
            <v xml:space="preserve">--  </v>
          </cell>
          <cell r="F56" t="str">
            <v xml:space="preserve">--  </v>
          </cell>
          <cell r="G56" t="str">
            <v xml:space="preserve">--  </v>
          </cell>
          <cell r="H56">
            <v>0</v>
          </cell>
          <cell r="I56">
            <v>0</v>
          </cell>
          <cell r="J56">
            <v>0</v>
          </cell>
          <cell r="K56">
            <v>0</v>
          </cell>
        </row>
        <row r="57">
          <cell r="E57">
            <v>0.20822977078155205</v>
          </cell>
          <cell r="F57">
            <v>0.23499999999999999</v>
          </cell>
          <cell r="G57">
            <v>0.23500000000000018</v>
          </cell>
        </row>
        <row r="58">
          <cell r="E58">
            <v>0</v>
          </cell>
          <cell r="F58">
            <v>0</v>
          </cell>
          <cell r="G58">
            <v>0</v>
          </cell>
          <cell r="H58">
            <v>0</v>
          </cell>
          <cell r="I58">
            <v>0</v>
          </cell>
          <cell r="J58">
            <v>0</v>
          </cell>
          <cell r="K58">
            <v>0</v>
          </cell>
        </row>
        <row r="59">
          <cell r="E59">
            <v>9.3117408906882596E-2</v>
          </cell>
          <cell r="F59">
            <v>1.1111111111111112E-2</v>
          </cell>
          <cell r="G59">
            <v>0</v>
          </cell>
          <cell r="H59">
            <v>0</v>
          </cell>
          <cell r="I59">
            <v>0</v>
          </cell>
          <cell r="J59">
            <v>0</v>
          </cell>
          <cell r="K59">
            <v>0</v>
          </cell>
        </row>
        <row r="60">
          <cell r="E60">
            <v>0.20822977078155222</v>
          </cell>
          <cell r="F60">
            <v>0.23499999999999999</v>
          </cell>
          <cell r="G60" t="str">
            <v xml:space="preserve">--   </v>
          </cell>
        </row>
        <row r="61">
          <cell r="E61">
            <v>0.95491676963743255</v>
          </cell>
          <cell r="F61">
            <v>0.93180687952754226</v>
          </cell>
          <cell r="G61">
            <v>0.90941561641179591</v>
          </cell>
        </row>
        <row r="62">
          <cell r="E62">
            <v>0.57500000000000007</v>
          </cell>
          <cell r="F62">
            <v>0.54473105841526881</v>
          </cell>
          <cell r="G62">
            <v>0.51604564197788139</v>
          </cell>
        </row>
        <row r="63">
          <cell r="E63">
            <v>0.52157142857142869</v>
          </cell>
          <cell r="F63">
            <v>0.4984615384615384</v>
          </cell>
          <cell r="G63">
            <v>0.47607027534579194</v>
          </cell>
        </row>
        <row r="64">
          <cell r="E64">
            <v>0.52157142857142869</v>
          </cell>
          <cell r="F64">
            <v>0.4984615384615384</v>
          </cell>
          <cell r="G64">
            <v>0.47607027534579194</v>
          </cell>
        </row>
        <row r="65">
          <cell r="E65">
            <v>0.52157142857142869</v>
          </cell>
          <cell r="F65">
            <v>0.4984615384615384</v>
          </cell>
          <cell r="G65">
            <v>0.47607027534579194</v>
          </cell>
        </row>
        <row r="66">
          <cell r="E66">
            <v>0.34330460000000013</v>
          </cell>
          <cell r="F66">
            <v>0.32841563909774429</v>
          </cell>
          <cell r="G66">
            <v>0.31164439906992636</v>
          </cell>
        </row>
        <row r="67">
          <cell r="E67">
            <v>0.36899999999999999</v>
          </cell>
          <cell r="F67">
            <v>0.36899999999999999</v>
          </cell>
          <cell r="G67">
            <v>0.36899999999999999</v>
          </cell>
        </row>
        <row r="68">
          <cell r="E68">
            <v>0.36899999999999999</v>
          </cell>
          <cell r="F68">
            <v>0.36899999999999999</v>
          </cell>
          <cell r="G68">
            <v>0.36899999999999999</v>
          </cell>
        </row>
        <row r="70">
          <cell r="E70" t="str">
            <v xml:space="preserve">Targets for Total debt/ Total adjusted market capital </v>
          </cell>
          <cell r="H70" t="str">
            <v xml:space="preserve">Targets for Total debt/ Total adjusted market capital </v>
          </cell>
        </row>
        <row r="71">
          <cell r="E71" t="str">
            <v>1st Year</v>
          </cell>
          <cell r="F71" t="str">
            <v>2nd Year</v>
          </cell>
          <cell r="G71" t="str">
            <v>3rd Year</v>
          </cell>
          <cell r="H71" t="str">
            <v>Years           4-5</v>
          </cell>
          <cell r="I71" t="str">
            <v>Years           6-10</v>
          </cell>
          <cell r="J71" t="str">
            <v>Years           11-15</v>
          </cell>
          <cell r="K71" t="str">
            <v>Years           16-25</v>
          </cell>
        </row>
        <row r="72">
          <cell r="E72">
            <v>0.17</v>
          </cell>
          <cell r="F72">
            <v>0.17</v>
          </cell>
          <cell r="G72">
            <v>0.17</v>
          </cell>
          <cell r="H72">
            <v>0.17</v>
          </cell>
          <cell r="I72">
            <v>0.17</v>
          </cell>
          <cell r="J72">
            <v>0.17</v>
          </cell>
          <cell r="K72">
            <v>0.17</v>
          </cell>
        </row>
        <row r="73">
          <cell r="E73" t="e">
            <v>#REF!</v>
          </cell>
          <cell r="F73" t="e">
            <v>#REF!</v>
          </cell>
          <cell r="G73" t="e">
            <v>#REF!</v>
          </cell>
          <cell r="H73" t="e">
            <v>#REF!</v>
          </cell>
          <cell r="I73" t="e">
            <v>#REF!</v>
          </cell>
          <cell r="J73" t="e">
            <v>#REF!</v>
          </cell>
          <cell r="K73" t="e">
            <v>#REF!</v>
          </cell>
        </row>
        <row r="75">
          <cell r="E75" t="str">
            <v>Explicit Forecasts for Capital Turns</v>
          </cell>
          <cell r="H75" t="str">
            <v xml:space="preserve">  Forecasted Capital Turns for DCF</v>
          </cell>
        </row>
        <row r="76">
          <cell r="E76" t="str">
            <v>1st Year</v>
          </cell>
          <cell r="F76" t="str">
            <v>2nd Year</v>
          </cell>
          <cell r="G76" t="str">
            <v>3rd Year</v>
          </cell>
          <cell r="H76" t="str">
            <v>Years           4-5</v>
          </cell>
          <cell r="I76" t="str">
            <v>Years           6-10</v>
          </cell>
          <cell r="J76" t="str">
            <v>Years           11-15</v>
          </cell>
          <cell r="K76" t="str">
            <v>Years           16-25</v>
          </cell>
        </row>
        <row r="77">
          <cell r="E77">
            <v>-5</v>
          </cell>
          <cell r="F77">
            <v>-5.5</v>
          </cell>
          <cell r="G77">
            <v>-6</v>
          </cell>
          <cell r="H77">
            <v>-7</v>
          </cell>
          <cell r="I77">
            <v>-7.5</v>
          </cell>
          <cell r="J77">
            <v>-8</v>
          </cell>
          <cell r="K77">
            <v>-8.5</v>
          </cell>
        </row>
        <row r="78">
          <cell r="B78">
            <v>2.3494449424257056</v>
          </cell>
          <cell r="C78">
            <v>2.2904433082072644</v>
          </cell>
          <cell r="E78">
            <v>2.4356209968844746</v>
          </cell>
          <cell r="F78">
            <v>2.6568701324652775</v>
          </cell>
          <cell r="G78">
            <v>2.909592807483385</v>
          </cell>
          <cell r="H78">
            <v>3.1</v>
          </cell>
          <cell r="I78">
            <v>3.2</v>
          </cell>
          <cell r="J78">
            <v>3.3</v>
          </cell>
          <cell r="K78">
            <v>3.45</v>
          </cell>
        </row>
        <row r="79">
          <cell r="B79" t="str">
            <v xml:space="preserve"> --</v>
          </cell>
          <cell r="C79" t="str">
            <v xml:space="preserve"> --</v>
          </cell>
          <cell r="E79">
            <v>0</v>
          </cell>
          <cell r="F79">
            <v>0</v>
          </cell>
          <cell r="G79">
            <v>0</v>
          </cell>
          <cell r="H79">
            <v>0</v>
          </cell>
          <cell r="I79">
            <v>0</v>
          </cell>
          <cell r="J79">
            <v>0</v>
          </cell>
          <cell r="K79">
            <v>0</v>
          </cell>
        </row>
        <row r="80">
          <cell r="E80">
            <v>4.7489489539677647</v>
          </cell>
          <cell r="F80">
            <v>5.1396828176652267</v>
          </cell>
          <cell r="G80">
            <v>5.6489503671793093</v>
          </cell>
          <cell r="H80">
            <v>5.5641025641025639</v>
          </cell>
          <cell r="I80">
            <v>5.5813953488372086</v>
          </cell>
          <cell r="J80">
            <v>5.6170212765957448</v>
          </cell>
          <cell r="K80">
            <v>5.8069306930693072</v>
          </cell>
        </row>
        <row r="82">
          <cell r="E82">
            <v>3685.0259224999008</v>
          </cell>
          <cell r="F82">
            <v>4205.0260233408299</v>
          </cell>
          <cell r="G82">
            <v>4725.0260252025973</v>
          </cell>
          <cell r="H82">
            <v>7023.4028207661295</v>
          </cell>
          <cell r="I82">
            <v>16708.394675030577</v>
          </cell>
          <cell r="J82">
            <v>34870.758060817549</v>
          </cell>
          <cell r="K82">
            <v>125045.86303970061</v>
          </cell>
        </row>
        <row r="83">
          <cell r="E83">
            <v>3410.0262945832828</v>
          </cell>
          <cell r="F83">
            <v>3945.0259729203653</v>
          </cell>
          <cell r="G83">
            <v>4465.026024271714</v>
          </cell>
          <cell r="H83">
            <v>6413.9339809475814</v>
          </cell>
          <cell r="I83">
            <v>15374.531234586959</v>
          </cell>
          <cell r="J83">
            <v>32465.878194554272</v>
          </cell>
          <cell r="K83">
            <v>117367.60829164879</v>
          </cell>
        </row>
        <row r="84">
          <cell r="E84">
            <v>549.99925583323602</v>
          </cell>
          <cell r="F84">
            <v>520.00010084092901</v>
          </cell>
          <cell r="G84">
            <v>520.00000186176749</v>
          </cell>
          <cell r="H84">
            <v>1149.1883977817661</v>
          </cell>
          <cell r="I84">
            <v>1936.9983708528896</v>
          </cell>
          <cell r="J84">
            <v>3632.4726771573942</v>
          </cell>
          <cell r="K84">
            <v>9017.5104978883064</v>
          </cell>
        </row>
        <row r="85">
          <cell r="E85">
            <v>0.17543686683151116</v>
          </cell>
          <cell r="F85">
            <v>0.14111165342580925</v>
          </cell>
          <cell r="G85">
            <v>0.12366154192040774</v>
          </cell>
          <cell r="H85">
            <v>0.21919082682578339</v>
          </cell>
          <cell r="I85">
            <v>0.18926169127174419</v>
          </cell>
          <cell r="J85">
            <v>0.15852479386878593</v>
          </cell>
          <cell r="K85">
            <v>0.13621572089454159</v>
          </cell>
        </row>
      </sheetData>
      <sheetData sheetId="4" refreshError="1"/>
      <sheetData sheetId="5" refreshError="1">
        <row r="2">
          <cell r="Q2" t="str">
            <v>Numbers in millions</v>
          </cell>
        </row>
        <row r="3">
          <cell r="D3" t="str">
            <v>P-14</v>
          </cell>
          <cell r="E3" t="str">
            <v>P-13</v>
          </cell>
          <cell r="F3" t="str">
            <v>P-12</v>
          </cell>
          <cell r="G3" t="str">
            <v>P-11</v>
          </cell>
          <cell r="H3" t="str">
            <v>P-10</v>
          </cell>
          <cell r="I3" t="str">
            <v>P-9</v>
          </cell>
          <cell r="J3" t="str">
            <v>P-8</v>
          </cell>
          <cell r="K3" t="str">
            <v>P-7</v>
          </cell>
          <cell r="L3" t="str">
            <v>P-6</v>
          </cell>
          <cell r="M3" t="str">
            <v>P-5</v>
          </cell>
          <cell r="N3" t="str">
            <v>P-4</v>
          </cell>
          <cell r="O3" t="str">
            <v>P-3</v>
          </cell>
          <cell r="P3" t="str">
            <v>P-2</v>
          </cell>
          <cell r="Q3" t="str">
            <v>P-1</v>
          </cell>
          <cell r="R3" t="str">
            <v>Present (P)</v>
          </cell>
        </row>
        <row r="4">
          <cell r="D4">
            <v>1984</v>
          </cell>
          <cell r="E4">
            <v>1985</v>
          </cell>
          <cell r="F4">
            <v>1986</v>
          </cell>
          <cell r="G4">
            <v>1987</v>
          </cell>
          <cell r="H4">
            <v>1988</v>
          </cell>
          <cell r="I4">
            <v>1989</v>
          </cell>
          <cell r="J4">
            <v>1990</v>
          </cell>
          <cell r="K4">
            <v>1991</v>
          </cell>
          <cell r="L4">
            <v>1992</v>
          </cell>
          <cell r="M4">
            <v>1993</v>
          </cell>
          <cell r="N4">
            <v>1994</v>
          </cell>
          <cell r="O4">
            <v>1995</v>
          </cell>
          <cell r="P4">
            <v>1996</v>
          </cell>
          <cell r="Q4">
            <v>1997</v>
          </cell>
          <cell r="R4">
            <v>1998</v>
          </cell>
        </row>
        <row r="5">
          <cell r="D5">
            <v>0</v>
          </cell>
          <cell r="E5">
            <v>0</v>
          </cell>
          <cell r="F5">
            <v>0</v>
          </cell>
          <cell r="G5">
            <v>0</v>
          </cell>
          <cell r="H5">
            <v>0</v>
          </cell>
          <cell r="I5">
            <v>0</v>
          </cell>
          <cell r="J5">
            <v>0</v>
          </cell>
          <cell r="K5">
            <v>1843.432</v>
          </cell>
          <cell r="L5">
            <v>2758.7249999999999</v>
          </cell>
          <cell r="M5">
            <v>3753</v>
          </cell>
          <cell r="N5">
            <v>4649</v>
          </cell>
          <cell r="O5">
            <v>5937</v>
          </cell>
          <cell r="P5">
            <v>8671</v>
          </cell>
          <cell r="Q5">
            <v>11358</v>
          </cell>
          <cell r="R5">
            <v>14484</v>
          </cell>
        </row>
        <row r="6">
          <cell r="D6">
            <v>0</v>
          </cell>
          <cell r="E6">
            <v>0</v>
          </cell>
          <cell r="F6">
            <v>0</v>
          </cell>
          <cell r="G6">
            <v>0</v>
          </cell>
          <cell r="H6">
            <v>0</v>
          </cell>
          <cell r="I6">
            <v>0</v>
          </cell>
          <cell r="J6">
            <v>0</v>
          </cell>
          <cell r="K6">
            <v>0</v>
          </cell>
          <cell r="L6">
            <v>0</v>
          </cell>
          <cell r="M6">
            <v>0</v>
          </cell>
          <cell r="N6">
            <v>0</v>
          </cell>
          <cell r="O6">
            <v>0</v>
          </cell>
          <cell r="P6">
            <v>0</v>
          </cell>
          <cell r="Q6">
            <v>0</v>
          </cell>
          <cell r="R6">
            <v>0</v>
          </cell>
        </row>
        <row r="7">
          <cell r="D7">
            <v>0</v>
          </cell>
          <cell r="E7">
            <v>0</v>
          </cell>
          <cell r="F7">
            <v>0</v>
          </cell>
          <cell r="G7">
            <v>0</v>
          </cell>
          <cell r="H7">
            <v>0</v>
          </cell>
          <cell r="I7">
            <v>0</v>
          </cell>
          <cell r="J7">
            <v>0</v>
          </cell>
          <cell r="K7">
            <v>0</v>
          </cell>
          <cell r="L7">
            <v>0</v>
          </cell>
          <cell r="M7">
            <v>0</v>
          </cell>
          <cell r="N7">
            <v>0</v>
          </cell>
          <cell r="O7">
            <v>0</v>
          </cell>
          <cell r="P7">
            <v>0</v>
          </cell>
          <cell r="Q7">
            <v>0</v>
          </cell>
          <cell r="R7">
            <v>0</v>
          </cell>
        </row>
        <row r="8">
          <cell r="D8">
            <v>0</v>
          </cell>
          <cell r="E8">
            <v>0</v>
          </cell>
          <cell r="F8">
            <v>0</v>
          </cell>
          <cell r="G8">
            <v>0</v>
          </cell>
          <cell r="H8">
            <v>0</v>
          </cell>
          <cell r="I8">
            <v>0</v>
          </cell>
          <cell r="J8">
            <v>0</v>
          </cell>
          <cell r="K8">
            <v>1843.432</v>
          </cell>
          <cell r="L8">
            <v>2758.7249999999999</v>
          </cell>
          <cell r="M8">
            <v>3753</v>
          </cell>
          <cell r="N8">
            <v>4649</v>
          </cell>
          <cell r="O8">
            <v>5937</v>
          </cell>
          <cell r="P8">
            <v>8671</v>
          </cell>
          <cell r="Q8">
            <v>11358</v>
          </cell>
          <cell r="R8">
            <v>14484</v>
          </cell>
        </row>
        <row r="9">
          <cell r="D9">
            <v>0</v>
          </cell>
          <cell r="E9">
            <v>0</v>
          </cell>
          <cell r="F9">
            <v>0</v>
          </cell>
          <cell r="G9">
            <v>0</v>
          </cell>
          <cell r="H9">
            <v>0</v>
          </cell>
          <cell r="I9">
            <v>0</v>
          </cell>
          <cell r="J9">
            <v>0</v>
          </cell>
          <cell r="K9">
            <v>362.589</v>
          </cell>
          <cell r="L9">
            <v>466.42399999999998</v>
          </cell>
          <cell r="M9">
            <v>633</v>
          </cell>
          <cell r="N9">
            <v>763</v>
          </cell>
          <cell r="O9">
            <v>877</v>
          </cell>
          <cell r="P9">
            <v>1188</v>
          </cell>
          <cell r="Q9">
            <v>1085</v>
          </cell>
          <cell r="R9">
            <v>1197</v>
          </cell>
        </row>
        <row r="10">
          <cell r="D10">
            <v>0</v>
          </cell>
          <cell r="E10">
            <v>0</v>
          </cell>
          <cell r="F10">
            <v>0</v>
          </cell>
          <cell r="G10">
            <v>0</v>
          </cell>
          <cell r="H10">
            <v>0</v>
          </cell>
          <cell r="I10">
            <v>0</v>
          </cell>
          <cell r="J10">
            <v>0</v>
          </cell>
          <cell r="K10">
            <v>1480.8430000000001</v>
          </cell>
          <cell r="L10">
            <v>2292.3009999999999</v>
          </cell>
          <cell r="M10">
            <v>3120</v>
          </cell>
          <cell r="N10">
            <v>3886</v>
          </cell>
          <cell r="O10">
            <v>5060</v>
          </cell>
          <cell r="P10">
            <v>7483</v>
          </cell>
          <cell r="Q10">
            <v>10273</v>
          </cell>
          <cell r="R10">
            <v>13287</v>
          </cell>
        </row>
        <row r="11">
          <cell r="D11">
            <v>0</v>
          </cell>
          <cell r="E11">
            <v>0</v>
          </cell>
          <cell r="F11">
            <v>0</v>
          </cell>
          <cell r="G11">
            <v>0</v>
          </cell>
          <cell r="H11">
            <v>0</v>
          </cell>
          <cell r="I11">
            <v>0</v>
          </cell>
          <cell r="J11">
            <v>0</v>
          </cell>
          <cell r="K11">
            <v>595.61500000000001</v>
          </cell>
          <cell r="L11">
            <v>944.1690000000001</v>
          </cell>
          <cell r="M11">
            <v>1324</v>
          </cell>
          <cell r="N11">
            <v>1550</v>
          </cell>
          <cell r="O11">
            <v>2162</v>
          </cell>
          <cell r="P11">
            <v>2973</v>
          </cell>
          <cell r="Q11">
            <v>3218</v>
          </cell>
          <cell r="R11">
            <v>3845</v>
          </cell>
        </row>
        <row r="12">
          <cell r="D12">
            <v>0</v>
          </cell>
          <cell r="E12">
            <v>0</v>
          </cell>
          <cell r="F12">
            <v>0</v>
          </cell>
          <cell r="G12">
            <v>0</v>
          </cell>
          <cell r="H12">
            <v>0</v>
          </cell>
          <cell r="I12">
            <v>0</v>
          </cell>
          <cell r="J12">
            <v>0</v>
          </cell>
          <cell r="K12">
            <v>235.386</v>
          </cell>
          <cell r="L12">
            <v>352.15300000000002</v>
          </cell>
          <cell r="M12">
            <v>470</v>
          </cell>
          <cell r="N12">
            <v>610</v>
          </cell>
          <cell r="O12">
            <v>860</v>
          </cell>
          <cell r="P12">
            <v>1432</v>
          </cell>
          <cell r="Q12">
            <v>1925</v>
          </cell>
          <cell r="R12">
            <v>2798</v>
          </cell>
        </row>
        <row r="13">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D14">
            <v>0</v>
          </cell>
          <cell r="E14">
            <v>0</v>
          </cell>
          <cell r="F14">
            <v>0</v>
          </cell>
          <cell r="G14">
            <v>0</v>
          </cell>
          <cell r="H14">
            <v>0</v>
          </cell>
          <cell r="I14">
            <v>0</v>
          </cell>
          <cell r="J14">
            <v>0</v>
          </cell>
          <cell r="K14">
            <v>649.8420000000001</v>
          </cell>
          <cell r="L14">
            <v>995.97899999999981</v>
          </cell>
          <cell r="M14">
            <v>1326</v>
          </cell>
          <cell r="N14">
            <v>1726</v>
          </cell>
          <cell r="O14">
            <v>2038</v>
          </cell>
          <cell r="P14">
            <v>3078</v>
          </cell>
          <cell r="Q14">
            <v>5130</v>
          </cell>
          <cell r="R14">
            <v>6644</v>
          </cell>
        </row>
        <row r="16">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row>
        <row r="17">
          <cell r="D17">
            <v>0</v>
          </cell>
          <cell r="E17">
            <v>0</v>
          </cell>
          <cell r="F17">
            <v>0</v>
          </cell>
          <cell r="G17">
            <v>0</v>
          </cell>
          <cell r="H17">
            <v>0</v>
          </cell>
          <cell r="I17">
            <v>0</v>
          </cell>
          <cell r="J17">
            <v>0</v>
          </cell>
          <cell r="K17">
            <v>0</v>
          </cell>
          <cell r="L17">
            <v>0</v>
          </cell>
          <cell r="M17">
            <v>0</v>
          </cell>
          <cell r="N17">
            <v>90</v>
          </cell>
          <cell r="O17">
            <v>46</v>
          </cell>
          <cell r="P17">
            <v>0</v>
          </cell>
          <cell r="Q17">
            <v>0</v>
          </cell>
          <cell r="R17">
            <v>0</v>
          </cell>
        </row>
        <row r="18">
          <cell r="D18">
            <v>0</v>
          </cell>
          <cell r="E18">
            <v>0</v>
          </cell>
          <cell r="F18">
            <v>0</v>
          </cell>
          <cell r="G18">
            <v>0</v>
          </cell>
          <cell r="H18">
            <v>0</v>
          </cell>
          <cell r="I18">
            <v>0</v>
          </cell>
          <cell r="J18">
            <v>0</v>
          </cell>
          <cell r="K18">
            <v>0</v>
          </cell>
          <cell r="L18">
            <v>0</v>
          </cell>
          <cell r="M18">
            <v>75</v>
          </cell>
          <cell r="N18">
            <v>102</v>
          </cell>
          <cell r="O18">
            <v>191</v>
          </cell>
          <cell r="P18">
            <v>320</v>
          </cell>
          <cell r="Q18">
            <v>443</v>
          </cell>
          <cell r="R18">
            <v>703</v>
          </cell>
        </row>
        <row r="19">
          <cell r="D19">
            <v>0</v>
          </cell>
          <cell r="E19">
            <v>0</v>
          </cell>
          <cell r="F19">
            <v>0</v>
          </cell>
          <cell r="G19">
            <v>0</v>
          </cell>
          <cell r="H19">
            <v>0</v>
          </cell>
          <cell r="I19">
            <v>0</v>
          </cell>
          <cell r="J19">
            <v>0</v>
          </cell>
          <cell r="K19">
            <v>16.463000000000001</v>
          </cell>
          <cell r="L19">
            <v>10.608000000000001</v>
          </cell>
          <cell r="M19">
            <v>0</v>
          </cell>
          <cell r="N19">
            <v>16</v>
          </cell>
          <cell r="O19">
            <v>16</v>
          </cell>
          <cell r="P19">
            <v>19</v>
          </cell>
          <cell r="Q19">
            <v>259</v>
          </cell>
          <cell r="R19">
            <v>230</v>
          </cell>
        </row>
        <row r="20">
          <cell r="D20">
            <v>0</v>
          </cell>
          <cell r="E20">
            <v>0</v>
          </cell>
          <cell r="F20">
            <v>0</v>
          </cell>
          <cell r="G20">
            <v>0</v>
          </cell>
          <cell r="H20">
            <v>0</v>
          </cell>
          <cell r="I20">
            <v>0</v>
          </cell>
          <cell r="J20">
            <v>0</v>
          </cell>
          <cell r="K20">
            <v>0</v>
          </cell>
          <cell r="L20">
            <v>0</v>
          </cell>
          <cell r="M20">
            <v>0</v>
          </cell>
          <cell r="N20">
            <v>0</v>
          </cell>
          <cell r="O20">
            <v>0</v>
          </cell>
          <cell r="P20">
            <v>0</v>
          </cell>
          <cell r="Q20">
            <v>15</v>
          </cell>
          <cell r="R20">
            <v>28</v>
          </cell>
        </row>
        <row r="21">
          <cell r="D21">
            <v>0</v>
          </cell>
          <cell r="E21">
            <v>0</v>
          </cell>
          <cell r="F21">
            <v>0</v>
          </cell>
          <cell r="G21">
            <v>0</v>
          </cell>
          <cell r="H21">
            <v>0</v>
          </cell>
          <cell r="I21">
            <v>0</v>
          </cell>
          <cell r="J21">
            <v>0</v>
          </cell>
          <cell r="K21">
            <v>-37.265000000000001</v>
          </cell>
          <cell r="L21">
            <v>-55.893999999999998</v>
          </cell>
          <cell r="M21">
            <v>0</v>
          </cell>
          <cell r="N21">
            <v>0</v>
          </cell>
          <cell r="O21">
            <v>0</v>
          </cell>
          <cell r="P21">
            <v>0</v>
          </cell>
          <cell r="Q21">
            <v>0</v>
          </cell>
          <cell r="R21">
            <v>0</v>
          </cell>
        </row>
        <row r="22">
          <cell r="D22">
            <v>0</v>
          </cell>
          <cell r="E22">
            <v>0</v>
          </cell>
          <cell r="F22">
            <v>0</v>
          </cell>
          <cell r="G22">
            <v>0</v>
          </cell>
          <cell r="H22">
            <v>0</v>
          </cell>
          <cell r="I22">
            <v>0</v>
          </cell>
          <cell r="J22">
            <v>0</v>
          </cell>
          <cell r="K22">
            <v>207.90100000000001</v>
          </cell>
          <cell r="L22">
            <v>333.20499999999998</v>
          </cell>
          <cell r="M22">
            <v>448</v>
          </cell>
          <cell r="N22">
            <v>576</v>
          </cell>
          <cell r="O22">
            <v>714</v>
          </cell>
          <cell r="P22">
            <v>1184</v>
          </cell>
          <cell r="Q22">
            <v>1860</v>
          </cell>
          <cell r="R22">
            <v>2627</v>
          </cell>
        </row>
        <row r="23">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D24">
            <v>0</v>
          </cell>
          <cell r="E24">
            <v>0</v>
          </cell>
          <cell r="F24">
            <v>0</v>
          </cell>
          <cell r="G24">
            <v>0</v>
          </cell>
          <cell r="H24">
            <v>0</v>
          </cell>
          <cell r="I24">
            <v>0</v>
          </cell>
          <cell r="J24">
            <v>0</v>
          </cell>
          <cell r="K24">
            <v>462.74300000000011</v>
          </cell>
          <cell r="L24">
            <v>708.06</v>
          </cell>
          <cell r="M24">
            <v>953</v>
          </cell>
          <cell r="N24">
            <v>1146</v>
          </cell>
          <cell r="O24">
            <v>1453</v>
          </cell>
          <cell r="P24">
            <v>2195</v>
          </cell>
          <cell r="Q24">
            <v>3439</v>
          </cell>
          <cell r="R24">
            <v>4462</v>
          </cell>
        </row>
        <row r="26">
          <cell r="D26">
            <v>0</v>
          </cell>
          <cell r="E26">
            <v>0</v>
          </cell>
          <cell r="F26">
            <v>0</v>
          </cell>
          <cell r="G26">
            <v>0</v>
          </cell>
          <cell r="H26">
            <v>0</v>
          </cell>
          <cell r="I26">
            <v>0</v>
          </cell>
          <cell r="J26">
            <v>0</v>
          </cell>
          <cell r="K26">
            <v>2063.2800000000002</v>
          </cell>
          <cell r="L26">
            <v>2123.1999999999998</v>
          </cell>
          <cell r="M26">
            <v>2215.64</v>
          </cell>
          <cell r="N26">
            <v>2274.16</v>
          </cell>
          <cell r="O26">
            <v>2328.92</v>
          </cell>
          <cell r="P26">
            <v>2364.92</v>
          </cell>
          <cell r="Q26">
            <v>2624</v>
          </cell>
          <cell r="R26">
            <v>2671.8562874251497</v>
          </cell>
        </row>
        <row r="27">
          <cell r="D27" t="e">
            <v>#DIV/0!</v>
          </cell>
          <cell r="E27" t="e">
            <v>#DIV/0!</v>
          </cell>
          <cell r="F27" t="e">
            <v>#DIV/0!</v>
          </cell>
          <cell r="G27" t="e">
            <v>#DIV/0!</v>
          </cell>
          <cell r="H27" t="e">
            <v>#DIV/0!</v>
          </cell>
          <cell r="I27" t="e">
            <v>#DIV/0!</v>
          </cell>
          <cell r="J27" t="e">
            <v>#DIV/0!</v>
          </cell>
          <cell r="K27">
            <v>0.22427542553603974</v>
          </cell>
          <cell r="L27">
            <v>0.33348718914845515</v>
          </cell>
          <cell r="M27">
            <v>0.43012402736906719</v>
          </cell>
          <cell r="N27">
            <v>0.50392232736482923</v>
          </cell>
          <cell r="O27">
            <v>0.62389433728938737</v>
          </cell>
          <cell r="P27">
            <v>0.92814978942205228</v>
          </cell>
          <cell r="Q27">
            <v>1.3105945121951219</v>
          </cell>
          <cell r="R27">
            <v>1.67</v>
          </cell>
        </row>
        <row r="30">
          <cell r="D30" t="str">
            <v>P-14</v>
          </cell>
          <cell r="E30" t="str">
            <v>P-13</v>
          </cell>
          <cell r="F30" t="str">
            <v>P-12</v>
          </cell>
          <cell r="G30" t="str">
            <v>P-11</v>
          </cell>
          <cell r="H30" t="str">
            <v>P-10</v>
          </cell>
          <cell r="I30" t="str">
            <v>P-9</v>
          </cell>
          <cell r="J30" t="str">
            <v>P-8</v>
          </cell>
          <cell r="K30" t="str">
            <v>P-7</v>
          </cell>
          <cell r="L30" t="str">
            <v>P-6</v>
          </cell>
          <cell r="M30" t="str">
            <v>P-5</v>
          </cell>
          <cell r="N30" t="str">
            <v>P-4</v>
          </cell>
          <cell r="O30" t="str">
            <v>P-3</v>
          </cell>
          <cell r="P30" t="str">
            <v>P-2</v>
          </cell>
          <cell r="Q30" t="str">
            <v>P-1</v>
          </cell>
          <cell r="R30" t="str">
            <v>Present (P)</v>
          </cell>
        </row>
        <row r="31">
          <cell r="D31">
            <v>1984</v>
          </cell>
          <cell r="E31">
            <v>1985</v>
          </cell>
          <cell r="F31">
            <v>1986</v>
          </cell>
          <cell r="G31">
            <v>1987</v>
          </cell>
          <cell r="H31">
            <v>1988</v>
          </cell>
          <cell r="I31">
            <v>1989</v>
          </cell>
          <cell r="J31">
            <v>1990</v>
          </cell>
          <cell r="K31">
            <v>1991</v>
          </cell>
          <cell r="L31">
            <v>1992</v>
          </cell>
          <cell r="M31">
            <v>1993</v>
          </cell>
          <cell r="N31">
            <v>1994</v>
          </cell>
          <cell r="O31">
            <v>1995</v>
          </cell>
          <cell r="P31">
            <v>1996</v>
          </cell>
          <cell r="Q31">
            <v>1997</v>
          </cell>
          <cell r="R31">
            <v>1998</v>
          </cell>
        </row>
        <row r="32">
          <cell r="D32">
            <v>0</v>
          </cell>
          <cell r="E32">
            <v>0</v>
          </cell>
          <cell r="F32">
            <v>0</v>
          </cell>
          <cell r="G32">
            <v>0</v>
          </cell>
          <cell r="H32">
            <v>0</v>
          </cell>
          <cell r="I32">
            <v>0</v>
          </cell>
          <cell r="J32">
            <v>0</v>
          </cell>
          <cell r="K32">
            <v>30.35</v>
          </cell>
          <cell r="L32">
            <v>46.93</v>
          </cell>
          <cell r="M32">
            <v>60</v>
          </cell>
          <cell r="N32">
            <v>67</v>
          </cell>
          <cell r="O32">
            <v>78</v>
          </cell>
          <cell r="P32">
            <v>89</v>
          </cell>
          <cell r="Q32">
            <v>89</v>
          </cell>
          <cell r="R32">
            <v>85</v>
          </cell>
        </row>
        <row r="33">
          <cell r="D33">
            <v>0</v>
          </cell>
          <cell r="E33">
            <v>0</v>
          </cell>
          <cell r="F33">
            <v>0</v>
          </cell>
          <cell r="G33">
            <v>0</v>
          </cell>
          <cell r="H33">
            <v>0</v>
          </cell>
          <cell r="I33">
            <v>0</v>
          </cell>
          <cell r="J33">
            <v>0</v>
          </cell>
          <cell r="K33">
            <v>30.346</v>
          </cell>
          <cell r="L33">
            <v>41.137999999999998</v>
          </cell>
          <cell r="M33">
            <v>52</v>
          </cell>
          <cell r="N33">
            <v>49</v>
          </cell>
          <cell r="O33">
            <v>62.5</v>
          </cell>
          <cell r="P33">
            <v>76</v>
          </cell>
          <cell r="Q33">
            <v>76</v>
          </cell>
          <cell r="R33">
            <v>72</v>
          </cell>
        </row>
        <row r="34">
          <cell r="D34">
            <v>0</v>
          </cell>
          <cell r="E34">
            <v>0</v>
          </cell>
          <cell r="F34">
            <v>0</v>
          </cell>
          <cell r="G34">
            <v>0</v>
          </cell>
          <cell r="H34">
            <v>0</v>
          </cell>
          <cell r="I34">
            <v>0</v>
          </cell>
          <cell r="J34">
            <v>0</v>
          </cell>
          <cell r="K34">
            <v>27.276</v>
          </cell>
          <cell r="L34">
            <v>35.174999999999997</v>
          </cell>
          <cell r="M34">
            <v>37</v>
          </cell>
          <cell r="N34">
            <v>38</v>
          </cell>
          <cell r="O34">
            <v>48</v>
          </cell>
          <cell r="P34">
            <v>58</v>
          </cell>
          <cell r="Q34">
            <v>58</v>
          </cell>
          <cell r="R34">
            <v>52</v>
          </cell>
        </row>
        <row r="35">
          <cell r="D35">
            <v>0</v>
          </cell>
          <cell r="E35">
            <v>0</v>
          </cell>
          <cell r="F35">
            <v>0</v>
          </cell>
          <cell r="G35">
            <v>0</v>
          </cell>
          <cell r="H35">
            <v>0</v>
          </cell>
          <cell r="I35">
            <v>0</v>
          </cell>
          <cell r="J35">
            <v>0</v>
          </cell>
          <cell r="K35">
            <v>22.753</v>
          </cell>
          <cell r="L35">
            <v>28.431999999999999</v>
          </cell>
          <cell r="M35">
            <v>28</v>
          </cell>
          <cell r="N35">
            <v>32</v>
          </cell>
          <cell r="O35">
            <v>30</v>
          </cell>
          <cell r="P35">
            <v>28</v>
          </cell>
          <cell r="Q35">
            <v>28</v>
          </cell>
          <cell r="R35">
            <v>25</v>
          </cell>
        </row>
        <row r="36">
          <cell r="D36">
            <v>0</v>
          </cell>
          <cell r="E36">
            <v>0</v>
          </cell>
          <cell r="F36">
            <v>0</v>
          </cell>
          <cell r="G36">
            <v>0</v>
          </cell>
          <cell r="H36">
            <v>0</v>
          </cell>
          <cell r="I36">
            <v>0</v>
          </cell>
          <cell r="J36">
            <v>0</v>
          </cell>
          <cell r="K36">
            <v>18.087</v>
          </cell>
          <cell r="L36">
            <v>20.033999999999999</v>
          </cell>
          <cell r="M36">
            <v>24</v>
          </cell>
          <cell r="N36">
            <v>24</v>
          </cell>
          <cell r="O36">
            <v>24</v>
          </cell>
          <cell r="P36">
            <v>24</v>
          </cell>
          <cell r="Q36">
            <v>24</v>
          </cell>
          <cell r="R36">
            <v>17</v>
          </cell>
        </row>
        <row r="37">
          <cell r="D37">
            <v>0</v>
          </cell>
          <cell r="E37">
            <v>0</v>
          </cell>
          <cell r="F37">
            <v>0</v>
          </cell>
          <cell r="G37">
            <v>0</v>
          </cell>
          <cell r="H37">
            <v>0</v>
          </cell>
          <cell r="I37">
            <v>0</v>
          </cell>
          <cell r="J37">
            <v>0</v>
          </cell>
          <cell r="K37">
            <v>75.519000000000005</v>
          </cell>
          <cell r="L37">
            <v>70.558999999999997</v>
          </cell>
          <cell r="M37">
            <v>55</v>
          </cell>
          <cell r="N37">
            <v>22</v>
          </cell>
          <cell r="O37">
            <v>20.5</v>
          </cell>
          <cell r="P37">
            <v>19</v>
          </cell>
          <cell r="Q37">
            <v>19</v>
          </cell>
          <cell r="R37">
            <v>17</v>
          </cell>
        </row>
        <row r="40">
          <cell r="D40" t="str">
            <v>P-14</v>
          </cell>
          <cell r="E40" t="str">
            <v>P-13</v>
          </cell>
          <cell r="F40" t="str">
            <v>P-12</v>
          </cell>
          <cell r="G40" t="str">
            <v>P-11</v>
          </cell>
          <cell r="H40" t="str">
            <v>P-10</v>
          </cell>
          <cell r="I40" t="str">
            <v>P-9</v>
          </cell>
          <cell r="J40" t="str">
            <v>P-8</v>
          </cell>
          <cell r="K40" t="str">
            <v>P-7</v>
          </cell>
          <cell r="L40" t="str">
            <v>P-6</v>
          </cell>
          <cell r="M40" t="str">
            <v>P-5</v>
          </cell>
          <cell r="N40" t="str">
            <v>P-4</v>
          </cell>
          <cell r="O40" t="str">
            <v>P-3</v>
          </cell>
          <cell r="P40" t="str">
            <v>P-2</v>
          </cell>
          <cell r="Q40" t="str">
            <v>P-1</v>
          </cell>
          <cell r="R40" t="str">
            <v>Present (P)</v>
          </cell>
        </row>
        <row r="41">
          <cell r="D41">
            <v>1984</v>
          </cell>
          <cell r="E41">
            <v>1985</v>
          </cell>
          <cell r="F41">
            <v>1986</v>
          </cell>
          <cell r="G41">
            <v>1987</v>
          </cell>
          <cell r="H41">
            <v>1988</v>
          </cell>
          <cell r="I41">
            <v>1989</v>
          </cell>
          <cell r="J41">
            <v>1990</v>
          </cell>
          <cell r="K41">
            <v>1991</v>
          </cell>
          <cell r="L41">
            <v>1992</v>
          </cell>
          <cell r="M41">
            <v>1993</v>
          </cell>
          <cell r="N41">
            <v>1994</v>
          </cell>
          <cell r="O41">
            <v>1995</v>
          </cell>
          <cell r="P41">
            <v>1996</v>
          </cell>
          <cell r="Q41">
            <v>1997</v>
          </cell>
          <cell r="R41">
            <v>1998</v>
          </cell>
        </row>
        <row r="42">
          <cell r="D42" t="e">
            <v>#DIV/0!</v>
          </cell>
          <cell r="E42" t="e">
            <v>#DIV/0!</v>
          </cell>
          <cell r="F42" t="e">
            <v>#DIV/0!</v>
          </cell>
          <cell r="G42" t="e">
            <v>#DIV/0!</v>
          </cell>
          <cell r="H42" t="e">
            <v>#DIV/0!</v>
          </cell>
          <cell r="I42" t="e">
            <v>#DIV/0!</v>
          </cell>
          <cell r="J42" t="e">
            <v>#DIV/0!</v>
          </cell>
          <cell r="K42">
            <v>1.6356177281592573E-3</v>
          </cell>
          <cell r="L42">
            <v>4.3676911746402743E-4</v>
          </cell>
          <cell r="M42">
            <v>0</v>
          </cell>
          <cell r="N42">
            <v>0</v>
          </cell>
          <cell r="O42">
            <v>0</v>
          </cell>
          <cell r="P42">
            <v>0</v>
          </cell>
          <cell r="Q42">
            <v>0</v>
          </cell>
          <cell r="R42">
            <v>0</v>
          </cell>
        </row>
        <row r="43">
          <cell r="D43">
            <v>0</v>
          </cell>
          <cell r="E43">
            <v>0</v>
          </cell>
          <cell r="F43">
            <v>0</v>
          </cell>
          <cell r="G43">
            <v>0</v>
          </cell>
          <cell r="H43">
            <v>0</v>
          </cell>
          <cell r="I43">
            <v>0</v>
          </cell>
          <cell r="J43">
            <v>0</v>
          </cell>
          <cell r="K43">
            <v>19.456</v>
          </cell>
          <cell r="L43">
            <v>8.3239999999999998</v>
          </cell>
          <cell r="M43">
            <v>0</v>
          </cell>
          <cell r="N43">
            <v>0</v>
          </cell>
          <cell r="O43">
            <v>0</v>
          </cell>
          <cell r="P43">
            <v>0</v>
          </cell>
          <cell r="Q43">
            <v>0</v>
          </cell>
          <cell r="R43">
            <v>0</v>
          </cell>
        </row>
        <row r="44">
          <cell r="D44" t="e">
            <v>#DIV/0!</v>
          </cell>
          <cell r="E44" t="e">
            <v>#DIV/0!</v>
          </cell>
          <cell r="F44" t="e">
            <v>#DIV/0!</v>
          </cell>
          <cell r="G44" t="e">
            <v>#DIV/0!</v>
          </cell>
          <cell r="H44" t="e">
            <v>#DIV/0!</v>
          </cell>
          <cell r="I44" t="e">
            <v>#DIV/0!</v>
          </cell>
          <cell r="J44" t="e">
            <v>#DIV/0!</v>
          </cell>
          <cell r="K44">
            <v>0.13252952829263989</v>
          </cell>
          <cell r="L44">
            <v>0.12751748602680577</v>
          </cell>
          <cell r="M44">
            <v>0.129165</v>
          </cell>
          <cell r="N44">
            <v>0.12936500000000001</v>
          </cell>
          <cell r="O44">
            <v>0.12174499999999999</v>
          </cell>
          <cell r="P44">
            <v>0.12668499999999999</v>
          </cell>
          <cell r="Q44">
            <v>0.12051815905168733</v>
          </cell>
          <cell r="R44">
            <v>0.12079368108815906</v>
          </cell>
          <cell r="S44">
            <v>0.11992721428571428</v>
          </cell>
        </row>
        <row r="46">
          <cell r="D46">
            <v>3.9800000000000002E-2</v>
          </cell>
          <cell r="E46">
            <v>3.0800000000000001E-2</v>
          </cell>
          <cell r="F46">
            <v>3.790000000000001E-2</v>
          </cell>
          <cell r="G46">
            <v>4.4600000000000008E-2</v>
          </cell>
          <cell r="H46">
            <v>3.32E-2</v>
          </cell>
          <cell r="I46">
            <v>3.6699999999999997E-2</v>
          </cell>
          <cell r="J46">
            <v>3.8699999999999991E-2</v>
          </cell>
          <cell r="K46">
            <v>4.0999999999999995E-2</v>
          </cell>
          <cell r="L46">
            <v>4.2999999999999997E-2</v>
          </cell>
          <cell r="M46">
            <v>5.1100000000000007E-2</v>
          </cell>
          <cell r="N46">
            <v>6.1099999999999995E-2</v>
          </cell>
          <cell r="O46">
            <v>4.4299999999999999E-2</v>
          </cell>
          <cell r="P46">
            <v>5.3899999999999997E-2</v>
          </cell>
          <cell r="Q46">
            <v>4.7600000000000003E-2</v>
          </cell>
          <cell r="R46">
            <v>4.7600000000000003E-2</v>
          </cell>
        </row>
        <row r="47">
          <cell r="D47">
            <v>0.111</v>
          </cell>
          <cell r="E47">
            <v>0.1244</v>
          </cell>
          <cell r="F47">
            <v>0.10539999999999999</v>
          </cell>
          <cell r="G47">
            <v>7.5899999999999995E-2</v>
          </cell>
          <cell r="H47">
            <v>8.3699999999999997E-2</v>
          </cell>
          <cell r="I47">
            <v>8.8800000000000004E-2</v>
          </cell>
          <cell r="J47">
            <v>8.5000000000000006E-2</v>
          </cell>
          <cell r="K47">
            <v>8.5500000000000007E-2</v>
          </cell>
          <cell r="L47">
            <v>7.8100000000000003E-2</v>
          </cell>
          <cell r="M47">
            <v>7.0400000000000004E-2</v>
          </cell>
          <cell r="N47">
            <v>5.91E-2</v>
          </cell>
          <cell r="O47">
            <v>7.0800000000000002E-2</v>
          </cell>
          <cell r="P47">
            <v>6.4699999999999994E-2</v>
          </cell>
          <cell r="Q47">
            <v>6.6400000000000001E-2</v>
          </cell>
          <cell r="R47">
            <v>6.6400000000000001E-2</v>
          </cell>
          <cell r="S47">
            <v>5.2999999999999999E-2</v>
          </cell>
        </row>
        <row r="48">
          <cell r="D48" t="str">
            <v>BBB</v>
          </cell>
          <cell r="E48" t="str">
            <v>BBB</v>
          </cell>
          <cell r="F48" t="str">
            <v>BBB</v>
          </cell>
          <cell r="G48" t="str">
            <v>BBB</v>
          </cell>
          <cell r="H48" t="str">
            <v>BBB</v>
          </cell>
          <cell r="I48" t="str">
            <v>BBB</v>
          </cell>
          <cell r="J48" t="str">
            <v>BBB</v>
          </cell>
          <cell r="K48" t="str">
            <v>NA</v>
          </cell>
          <cell r="L48" t="str">
            <v>NA</v>
          </cell>
          <cell r="M48" t="str">
            <v>NA</v>
          </cell>
          <cell r="N48" t="str">
            <v>NA</v>
          </cell>
          <cell r="O48" t="str">
            <v>NA</v>
          </cell>
          <cell r="P48" t="str">
            <v>NA</v>
          </cell>
          <cell r="Q48" t="str">
            <v>NA</v>
          </cell>
          <cell r="R48" t="str">
            <v>NA</v>
          </cell>
        </row>
        <row r="49">
          <cell r="D49">
            <v>4.8999999999999998E-3</v>
          </cell>
          <cell r="E49">
            <v>4.8999999999999998E-3</v>
          </cell>
          <cell r="F49">
            <v>4.8999999999999998E-3</v>
          </cell>
          <cell r="G49">
            <v>4.8999999999999998E-3</v>
          </cell>
          <cell r="H49">
            <v>4.8999999999999998E-3</v>
          </cell>
          <cell r="I49">
            <v>4.8999999999999998E-3</v>
          </cell>
          <cell r="J49">
            <v>4.8999999999999998E-3</v>
          </cell>
          <cell r="K49">
            <v>0</v>
          </cell>
          <cell r="L49">
            <v>0</v>
          </cell>
          <cell r="M49">
            <v>0</v>
          </cell>
          <cell r="N49">
            <v>0</v>
          </cell>
          <cell r="O49">
            <v>0</v>
          </cell>
          <cell r="P49">
            <v>0</v>
          </cell>
          <cell r="Q49">
            <v>0</v>
          </cell>
          <cell r="R49">
            <v>0</v>
          </cell>
          <cell r="S49">
            <v>1.04E-2</v>
          </cell>
        </row>
        <row r="50">
          <cell r="D50">
            <v>0</v>
          </cell>
          <cell r="E50">
            <v>0</v>
          </cell>
          <cell r="F50">
            <v>0</v>
          </cell>
          <cell r="G50">
            <v>0</v>
          </cell>
          <cell r="H50">
            <v>0</v>
          </cell>
          <cell r="I50">
            <v>0</v>
          </cell>
          <cell r="J50">
            <v>0</v>
          </cell>
          <cell r="K50">
            <v>0.31000202790153936</v>
          </cell>
          <cell r="L50">
            <v>0.32000019207406377</v>
          </cell>
          <cell r="M50">
            <v>0.31977159172019987</v>
          </cell>
          <cell r="N50">
            <v>0.33449477351916379</v>
          </cell>
          <cell r="O50">
            <v>0.32948777111213662</v>
          </cell>
          <cell r="P50">
            <v>0.35039952648712636</v>
          </cell>
          <cell r="Q50">
            <v>0.35001881821603315</v>
          </cell>
          <cell r="R50">
            <v>0.36911620064633976</v>
          </cell>
        </row>
        <row r="51">
          <cell r="D51">
            <v>1.25</v>
          </cell>
          <cell r="E51">
            <v>1.25</v>
          </cell>
          <cell r="F51">
            <v>1.25</v>
          </cell>
          <cell r="G51">
            <v>1.25</v>
          </cell>
          <cell r="H51">
            <v>1.25</v>
          </cell>
          <cell r="I51">
            <v>1.25</v>
          </cell>
          <cell r="J51">
            <v>1.25</v>
          </cell>
          <cell r="K51">
            <v>1.1499999999999999</v>
          </cell>
          <cell r="L51">
            <v>1.1499999999999999</v>
          </cell>
          <cell r="M51">
            <v>1.1499999999999999</v>
          </cell>
          <cell r="N51">
            <v>1.1499999999999999</v>
          </cell>
          <cell r="O51">
            <v>1.1499999999999999</v>
          </cell>
          <cell r="P51">
            <v>1.1499999999999999</v>
          </cell>
          <cell r="Q51">
            <v>1.1499999999999999</v>
          </cell>
          <cell r="R51">
            <v>1.1499999999999999</v>
          </cell>
        </row>
        <row r="53">
          <cell r="D53">
            <v>0</v>
          </cell>
          <cell r="E53">
            <v>0</v>
          </cell>
          <cell r="F53">
            <v>0</v>
          </cell>
          <cell r="G53">
            <v>0</v>
          </cell>
          <cell r="H53">
            <v>0</v>
          </cell>
          <cell r="I53">
            <v>0</v>
          </cell>
          <cell r="J53">
            <v>0</v>
          </cell>
          <cell r="K53">
            <v>0</v>
          </cell>
          <cell r="L53">
            <v>0</v>
          </cell>
          <cell r="M53">
            <v>0</v>
          </cell>
          <cell r="N53">
            <v>0</v>
          </cell>
          <cell r="O53">
            <v>0</v>
          </cell>
          <cell r="P53">
            <v>0</v>
          </cell>
          <cell r="Q53">
            <v>5.8756322899809199E-3</v>
          </cell>
          <cell r="R53">
            <v>3.7412148258998959E-3</v>
          </cell>
        </row>
        <row r="54">
          <cell r="D54">
            <v>0</v>
          </cell>
          <cell r="E54">
            <v>0</v>
          </cell>
          <cell r="F54">
            <v>0</v>
          </cell>
          <cell r="G54">
            <v>0</v>
          </cell>
          <cell r="H54">
            <v>0</v>
          </cell>
          <cell r="I54">
            <v>0</v>
          </cell>
          <cell r="J54">
            <v>0</v>
          </cell>
          <cell r="K54">
            <v>0</v>
          </cell>
          <cell r="L54">
            <v>0</v>
          </cell>
          <cell r="M54">
            <v>0</v>
          </cell>
          <cell r="N54">
            <v>0</v>
          </cell>
          <cell r="O54">
            <v>0</v>
          </cell>
          <cell r="P54">
            <v>0</v>
          </cell>
          <cell r="Q54">
            <v>1.5306122448979591E-2</v>
          </cell>
          <cell r="R54">
            <v>2.8571428571428571E-2</v>
          </cell>
        </row>
        <row r="55">
          <cell r="D55">
            <v>0</v>
          </cell>
          <cell r="E55">
            <v>0</v>
          </cell>
          <cell r="F55">
            <v>0</v>
          </cell>
          <cell r="G55">
            <v>0</v>
          </cell>
          <cell r="H55">
            <v>0</v>
          </cell>
          <cell r="I55">
            <v>0</v>
          </cell>
          <cell r="J55">
            <v>0</v>
          </cell>
          <cell r="K55">
            <v>0</v>
          </cell>
          <cell r="L55">
            <v>0</v>
          </cell>
          <cell r="M55">
            <v>0</v>
          </cell>
          <cell r="N55">
            <v>0</v>
          </cell>
          <cell r="O55">
            <v>0</v>
          </cell>
          <cell r="P55">
            <v>0</v>
          </cell>
          <cell r="Q55">
            <v>15</v>
          </cell>
          <cell r="R55">
            <v>28</v>
          </cell>
        </row>
        <row r="56">
          <cell r="D56">
            <v>0</v>
          </cell>
          <cell r="E56">
            <v>0</v>
          </cell>
          <cell r="F56">
            <v>0</v>
          </cell>
          <cell r="G56">
            <v>0</v>
          </cell>
          <cell r="H56">
            <v>0</v>
          </cell>
          <cell r="I56">
            <v>0</v>
          </cell>
          <cell r="J56">
            <v>0</v>
          </cell>
          <cell r="K56">
            <v>0</v>
          </cell>
          <cell r="L56">
            <v>0</v>
          </cell>
          <cell r="M56">
            <v>0</v>
          </cell>
          <cell r="N56">
            <v>0</v>
          </cell>
          <cell r="O56">
            <v>0</v>
          </cell>
          <cell r="P56">
            <v>0</v>
          </cell>
          <cell r="Q56">
            <v>980</v>
          </cell>
          <cell r="R56">
            <v>980</v>
          </cell>
        </row>
        <row r="58">
          <cell r="D58">
            <v>0</v>
          </cell>
          <cell r="E58">
            <v>0</v>
          </cell>
          <cell r="F58">
            <v>0</v>
          </cell>
          <cell r="G58">
            <v>0</v>
          </cell>
          <cell r="H58">
            <v>0</v>
          </cell>
          <cell r="I58">
            <v>0</v>
          </cell>
          <cell r="J58">
            <v>0</v>
          </cell>
          <cell r="K58">
            <v>6.53</v>
          </cell>
          <cell r="L58">
            <v>11.1</v>
          </cell>
          <cell r="M58">
            <v>12.25</v>
          </cell>
          <cell r="N58">
            <v>13.66</v>
          </cell>
          <cell r="O58">
            <v>23.09</v>
          </cell>
          <cell r="P58">
            <v>31.47</v>
          </cell>
          <cell r="Q58">
            <v>67.47</v>
          </cell>
          <cell r="R58">
            <v>108.5625</v>
          </cell>
        </row>
        <row r="59">
          <cell r="D59">
            <v>0</v>
          </cell>
          <cell r="E59">
            <v>0</v>
          </cell>
          <cell r="F59">
            <v>0</v>
          </cell>
          <cell r="G59">
            <v>0</v>
          </cell>
          <cell r="H59">
            <v>0</v>
          </cell>
          <cell r="I59">
            <v>0</v>
          </cell>
          <cell r="J59">
            <v>0</v>
          </cell>
          <cell r="K59">
            <v>2.82</v>
          </cell>
          <cell r="L59">
            <v>5.04</v>
          </cell>
          <cell r="M59">
            <v>8.19</v>
          </cell>
          <cell r="N59">
            <v>8.8000000000000007</v>
          </cell>
          <cell r="O59">
            <v>11.72</v>
          </cell>
          <cell r="P59">
            <v>19.97</v>
          </cell>
          <cell r="Q59">
            <v>26.88</v>
          </cell>
          <cell r="R59">
            <v>59</v>
          </cell>
        </row>
        <row r="60">
          <cell r="D60">
            <v>0</v>
          </cell>
          <cell r="E60">
            <v>0</v>
          </cell>
          <cell r="F60">
            <v>0</v>
          </cell>
          <cell r="G60">
            <v>0</v>
          </cell>
          <cell r="H60">
            <v>0</v>
          </cell>
          <cell r="I60">
            <v>0</v>
          </cell>
          <cell r="J60">
            <v>0</v>
          </cell>
          <cell r="K60">
            <v>5.68</v>
          </cell>
          <cell r="L60">
            <v>8.75</v>
          </cell>
          <cell r="M60">
            <v>11</v>
          </cell>
          <cell r="N60">
            <v>12.91</v>
          </cell>
          <cell r="O60">
            <v>22.59</v>
          </cell>
          <cell r="P60">
            <v>30.03</v>
          </cell>
          <cell r="Q60">
            <v>63.19</v>
          </cell>
          <cell r="R60">
            <v>108.375</v>
          </cell>
        </row>
        <row r="62">
          <cell r="S62">
            <v>0</v>
          </cell>
        </row>
      </sheetData>
      <sheetData sheetId="6" refreshError="1">
        <row r="7">
          <cell r="U7" t="e">
            <v>#DIV/0!</v>
          </cell>
        </row>
        <row r="8">
          <cell r="U8" t="e">
            <v>#DIV/0!</v>
          </cell>
        </row>
        <row r="9">
          <cell r="D9">
            <v>5.9000000000000004E-2</v>
          </cell>
          <cell r="U9" t="e">
            <v>#DIV/0!</v>
          </cell>
        </row>
        <row r="10">
          <cell r="U10" t="e">
            <v>#DIV/0!</v>
          </cell>
        </row>
        <row r="11">
          <cell r="D11">
            <v>0.12084999999999999</v>
          </cell>
          <cell r="U11" t="e">
            <v>#DIV/0!</v>
          </cell>
        </row>
        <row r="12">
          <cell r="U12" t="e">
            <v>#DIV/0!</v>
          </cell>
        </row>
        <row r="14">
          <cell r="U14">
            <v>5.8994826614418384E-2</v>
          </cell>
        </row>
        <row r="15">
          <cell r="U15">
            <v>5.3107984999015617E-2</v>
          </cell>
        </row>
        <row r="16">
          <cell r="U16" t="e">
            <v>#DIV/0!</v>
          </cell>
        </row>
        <row r="23">
          <cell r="U23">
            <v>0.12114</v>
          </cell>
        </row>
        <row r="27">
          <cell r="C27">
            <v>13.66</v>
          </cell>
          <cell r="D27">
            <v>23.09</v>
          </cell>
          <cell r="E27">
            <v>31.47</v>
          </cell>
          <cell r="F27">
            <v>67.47</v>
          </cell>
          <cell r="G27">
            <v>108.5625</v>
          </cell>
          <cell r="H27">
            <v>105.4375</v>
          </cell>
          <cell r="I27">
            <v>105.4375</v>
          </cell>
        </row>
        <row r="28">
          <cell r="C28">
            <v>8.8000000000000007</v>
          </cell>
          <cell r="D28">
            <v>11.72</v>
          </cell>
          <cell r="E28">
            <v>19.97</v>
          </cell>
          <cell r="F28">
            <v>26.88</v>
          </cell>
          <cell r="G28">
            <v>59</v>
          </cell>
        </row>
      </sheetData>
      <sheetData sheetId="7" refreshError="1">
        <row r="1">
          <cell r="P1" t="str">
            <v>Invested Capital</v>
          </cell>
        </row>
        <row r="2">
          <cell r="C2" t="str">
            <v>P-14</v>
          </cell>
          <cell r="D2" t="str">
            <v>P-13</v>
          </cell>
          <cell r="E2" t="str">
            <v>P-12</v>
          </cell>
          <cell r="F2" t="str">
            <v>P-11</v>
          </cell>
          <cell r="G2" t="str">
            <v>P-10</v>
          </cell>
          <cell r="H2" t="str">
            <v>P-9</v>
          </cell>
          <cell r="I2" t="str">
            <v>P-8</v>
          </cell>
          <cell r="J2" t="str">
            <v>P-7</v>
          </cell>
          <cell r="K2" t="str">
            <v>P-6</v>
          </cell>
          <cell r="L2" t="str">
            <v>P-5</v>
          </cell>
          <cell r="M2" t="str">
            <v>P-4</v>
          </cell>
          <cell r="N2" t="str">
            <v>P-3</v>
          </cell>
          <cell r="O2" t="str">
            <v>P-2</v>
          </cell>
          <cell r="P2" t="str">
            <v>P-1</v>
          </cell>
          <cell r="Q2" t="str">
            <v>Present (P)</v>
          </cell>
        </row>
        <row r="3">
          <cell r="C3">
            <v>1984</v>
          </cell>
          <cell r="D3">
            <v>1985</v>
          </cell>
          <cell r="E3">
            <v>1986</v>
          </cell>
          <cell r="F3">
            <v>1987</v>
          </cell>
          <cell r="G3">
            <v>1988</v>
          </cell>
          <cell r="H3">
            <v>1989</v>
          </cell>
          <cell r="I3">
            <v>1990</v>
          </cell>
          <cell r="J3">
            <v>1991</v>
          </cell>
          <cell r="K3">
            <v>1992</v>
          </cell>
          <cell r="L3">
            <v>1993</v>
          </cell>
          <cell r="M3">
            <v>1994</v>
          </cell>
          <cell r="N3">
            <v>1995</v>
          </cell>
          <cell r="O3">
            <v>1996</v>
          </cell>
          <cell r="P3">
            <v>1997</v>
          </cell>
          <cell r="Q3">
            <v>1998</v>
          </cell>
        </row>
        <row r="4">
          <cell r="C4">
            <v>0</v>
          </cell>
          <cell r="D4">
            <v>0</v>
          </cell>
          <cell r="E4">
            <v>0</v>
          </cell>
          <cell r="F4">
            <v>0</v>
          </cell>
          <cell r="G4">
            <v>0</v>
          </cell>
          <cell r="H4">
            <v>0</v>
          </cell>
          <cell r="I4">
            <v>0</v>
          </cell>
          <cell r="J4">
            <v>686.31399999999996</v>
          </cell>
          <cell r="K4">
            <v>1344.9010000000001</v>
          </cell>
          <cell r="L4">
            <v>2290</v>
          </cell>
          <cell r="M4">
            <v>3614</v>
          </cell>
          <cell r="N4">
            <v>4750</v>
          </cell>
          <cell r="O4">
            <v>6940</v>
          </cell>
          <cell r="P4">
            <v>8966</v>
          </cell>
          <cell r="Q4">
            <v>13927</v>
          </cell>
        </row>
        <row r="5">
          <cell r="C5">
            <v>0</v>
          </cell>
          <cell r="D5">
            <v>0</v>
          </cell>
          <cell r="E5">
            <v>0</v>
          </cell>
          <cell r="F5">
            <v>0</v>
          </cell>
          <cell r="G5">
            <v>0</v>
          </cell>
          <cell r="H5">
            <v>0</v>
          </cell>
          <cell r="I5">
            <v>0</v>
          </cell>
          <cell r="J5">
            <v>612.57672000000002</v>
          </cell>
          <cell r="K5">
            <v>1234.5520000000001</v>
          </cell>
          <cell r="L5">
            <v>2139.88</v>
          </cell>
          <cell r="M5">
            <v>3428.04</v>
          </cell>
          <cell r="N5">
            <v>4512.5200000000004</v>
          </cell>
          <cell r="O5">
            <v>6593.16</v>
          </cell>
          <cell r="P5">
            <v>8511.68</v>
          </cell>
          <cell r="Q5">
            <v>13347.64</v>
          </cell>
        </row>
        <row r="6">
          <cell r="C6">
            <v>0</v>
          </cell>
          <cell r="D6">
            <v>0</v>
          </cell>
          <cell r="E6">
            <v>0</v>
          </cell>
          <cell r="F6">
            <v>0</v>
          </cell>
          <cell r="G6">
            <v>0</v>
          </cell>
          <cell r="H6">
            <v>0</v>
          </cell>
          <cell r="I6">
            <v>0</v>
          </cell>
          <cell r="J6">
            <v>73.737279999999998</v>
          </cell>
          <cell r="K6">
            <v>110.349</v>
          </cell>
          <cell r="L6">
            <v>150.12</v>
          </cell>
          <cell r="M6">
            <v>185.96</v>
          </cell>
          <cell r="N6">
            <v>237.48000000000002</v>
          </cell>
          <cell r="O6">
            <v>346.84000000000003</v>
          </cell>
          <cell r="P6">
            <v>454.32</v>
          </cell>
          <cell r="Q6">
            <v>579.36</v>
          </cell>
        </row>
        <row r="7">
          <cell r="C7">
            <v>0</v>
          </cell>
          <cell r="D7">
            <v>0</v>
          </cell>
          <cell r="E7">
            <v>0</v>
          </cell>
          <cell r="F7">
            <v>0</v>
          </cell>
          <cell r="G7">
            <v>0</v>
          </cell>
          <cell r="H7">
            <v>0</v>
          </cell>
          <cell r="I7">
            <v>0</v>
          </cell>
          <cell r="J7">
            <v>243.304</v>
          </cell>
          <cell r="K7">
            <v>270.21499999999997</v>
          </cell>
          <cell r="L7">
            <v>338</v>
          </cell>
          <cell r="M7">
            <v>475</v>
          </cell>
          <cell r="N7">
            <v>581</v>
          </cell>
          <cell r="O7">
            <v>639</v>
          </cell>
          <cell r="P7">
            <v>980</v>
          </cell>
          <cell r="Q7">
            <v>1460</v>
          </cell>
        </row>
        <row r="8">
          <cell r="C8">
            <v>0</v>
          </cell>
          <cell r="D8">
            <v>0</v>
          </cell>
          <cell r="E8">
            <v>0</v>
          </cell>
          <cell r="F8">
            <v>0</v>
          </cell>
          <cell r="G8">
            <v>0</v>
          </cell>
          <cell r="H8">
            <v>0</v>
          </cell>
          <cell r="I8">
            <v>0</v>
          </cell>
          <cell r="J8">
            <v>47.106000000000002</v>
          </cell>
          <cell r="K8">
            <v>85.873000000000005</v>
          </cell>
          <cell r="L8">
            <v>127</v>
          </cell>
          <cell r="M8">
            <v>102</v>
          </cell>
          <cell r="N8">
            <v>88</v>
          </cell>
          <cell r="O8">
            <v>0</v>
          </cell>
          <cell r="P8">
            <v>0</v>
          </cell>
          <cell r="Q8">
            <v>0</v>
          </cell>
        </row>
        <row r="9">
          <cell r="A9">
            <v>0.04</v>
          </cell>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51.779000000000003</v>
          </cell>
          <cell r="K12">
            <v>68.715000000000003</v>
          </cell>
          <cell r="L12">
            <v>95</v>
          </cell>
          <cell r="M12">
            <v>121</v>
          </cell>
          <cell r="N12">
            <v>201</v>
          </cell>
          <cell r="O12">
            <v>260</v>
          </cell>
          <cell r="P12">
            <v>427</v>
          </cell>
          <cell r="Q12">
            <v>502</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0</v>
          </cell>
          <cell r="E15">
            <v>0</v>
          </cell>
          <cell r="F15">
            <v>0</v>
          </cell>
          <cell r="G15">
            <v>0</v>
          </cell>
          <cell r="H15">
            <v>0</v>
          </cell>
          <cell r="I15">
            <v>0</v>
          </cell>
          <cell r="J15">
            <v>415.92628000000002</v>
          </cell>
          <cell r="K15">
            <v>535.15199999999993</v>
          </cell>
          <cell r="L15">
            <v>710.12</v>
          </cell>
          <cell r="M15">
            <v>883.96</v>
          </cell>
          <cell r="N15">
            <v>1107.48</v>
          </cell>
          <cell r="O15">
            <v>1245.8400000000001</v>
          </cell>
          <cell r="P15">
            <v>1861.32</v>
          </cell>
          <cell r="Q15">
            <v>2541.36</v>
          </cell>
        </row>
        <row r="17">
          <cell r="C17">
            <v>0</v>
          </cell>
          <cell r="D17">
            <v>0</v>
          </cell>
          <cell r="E17">
            <v>0</v>
          </cell>
          <cell r="F17">
            <v>0</v>
          </cell>
          <cell r="G17">
            <v>0</v>
          </cell>
          <cell r="H17">
            <v>0</v>
          </cell>
          <cell r="I17">
            <v>0</v>
          </cell>
          <cell r="J17">
            <v>85.923000000000002</v>
          </cell>
          <cell r="K17">
            <v>187.51900000000001</v>
          </cell>
          <cell r="L17">
            <v>239</v>
          </cell>
          <cell r="M17">
            <v>324</v>
          </cell>
          <cell r="N17">
            <v>563</v>
          </cell>
          <cell r="O17">
            <v>808</v>
          </cell>
          <cell r="P17">
            <v>721</v>
          </cell>
          <cell r="Q17">
            <v>759</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0</v>
          </cell>
          <cell r="D19">
            <v>0</v>
          </cell>
          <cell r="E19">
            <v>0</v>
          </cell>
          <cell r="F19">
            <v>0</v>
          </cell>
          <cell r="G19">
            <v>0</v>
          </cell>
          <cell r="H19">
            <v>0</v>
          </cell>
          <cell r="I19">
            <v>0</v>
          </cell>
          <cell r="J19">
            <v>25.68</v>
          </cell>
          <cell r="K19">
            <v>14.217000000000001</v>
          </cell>
          <cell r="L19">
            <v>0</v>
          </cell>
          <cell r="M19">
            <v>0</v>
          </cell>
          <cell r="N19">
            <v>0</v>
          </cell>
          <cell r="O19">
            <v>0</v>
          </cell>
          <cell r="P19">
            <v>0</v>
          </cell>
          <cell r="Q19">
            <v>0</v>
          </cell>
        </row>
        <row r="20">
          <cell r="C20">
            <v>0</v>
          </cell>
          <cell r="D20">
            <v>0</v>
          </cell>
          <cell r="E20">
            <v>0</v>
          </cell>
          <cell r="F20">
            <v>0</v>
          </cell>
          <cell r="G20">
            <v>0</v>
          </cell>
          <cell r="H20">
            <v>0</v>
          </cell>
          <cell r="I20">
            <v>0</v>
          </cell>
          <cell r="J20">
            <v>41.643000000000001</v>
          </cell>
          <cell r="K20">
            <v>62.082999999999998</v>
          </cell>
          <cell r="L20">
            <v>86</v>
          </cell>
          <cell r="M20">
            <v>96</v>
          </cell>
          <cell r="N20">
            <v>130</v>
          </cell>
          <cell r="O20">
            <v>202</v>
          </cell>
          <cell r="P20">
            <v>336</v>
          </cell>
          <cell r="Q20">
            <v>359</v>
          </cell>
        </row>
        <row r="21">
          <cell r="C21">
            <v>0</v>
          </cell>
          <cell r="D21">
            <v>0</v>
          </cell>
          <cell r="E21">
            <v>0</v>
          </cell>
          <cell r="F21">
            <v>0</v>
          </cell>
          <cell r="G21">
            <v>0</v>
          </cell>
          <cell r="H21">
            <v>0</v>
          </cell>
          <cell r="I21">
            <v>0</v>
          </cell>
          <cell r="J21">
            <v>44.445</v>
          </cell>
          <cell r="K21">
            <v>73.033000000000001</v>
          </cell>
          <cell r="L21">
            <v>127</v>
          </cell>
          <cell r="M21">
            <v>305</v>
          </cell>
          <cell r="N21">
            <v>410</v>
          </cell>
          <cell r="O21">
            <v>484</v>
          </cell>
          <cell r="P21">
            <v>466</v>
          </cell>
          <cell r="Q21">
            <v>915</v>
          </cell>
        </row>
        <row r="22">
          <cell r="C22">
            <v>0</v>
          </cell>
          <cell r="D22">
            <v>0</v>
          </cell>
          <cell r="E22">
            <v>0</v>
          </cell>
          <cell r="F22">
            <v>0</v>
          </cell>
          <cell r="G22">
            <v>0</v>
          </cell>
          <cell r="H22">
            <v>0</v>
          </cell>
          <cell r="I22">
            <v>0</v>
          </cell>
          <cell r="J22">
            <v>76.206000000000003</v>
          </cell>
          <cell r="K22">
            <v>101.76900000000001</v>
          </cell>
          <cell r="L22">
            <v>111</v>
          </cell>
          <cell r="M22">
            <v>188</v>
          </cell>
          <cell r="N22">
            <v>244</v>
          </cell>
          <cell r="O22">
            <v>371</v>
          </cell>
          <cell r="P22">
            <v>669</v>
          </cell>
          <cell r="Q22">
            <v>809</v>
          </cell>
        </row>
        <row r="23">
          <cell r="C23">
            <v>0</v>
          </cell>
          <cell r="D23">
            <v>0</v>
          </cell>
          <cell r="E23">
            <v>0</v>
          </cell>
          <cell r="F23">
            <v>0</v>
          </cell>
          <cell r="G23">
            <v>0</v>
          </cell>
          <cell r="H23">
            <v>0</v>
          </cell>
          <cell r="I23">
            <v>0</v>
          </cell>
          <cell r="J23">
            <v>0</v>
          </cell>
          <cell r="K23">
            <v>0</v>
          </cell>
          <cell r="L23">
            <v>0</v>
          </cell>
          <cell r="M23">
            <v>0</v>
          </cell>
          <cell r="N23">
            <v>0</v>
          </cell>
          <cell r="O23">
            <v>560</v>
          </cell>
          <cell r="P23">
            <v>1418</v>
          </cell>
          <cell r="Q23">
            <v>2888</v>
          </cell>
        </row>
        <row r="24">
          <cell r="C24">
            <v>0</v>
          </cell>
          <cell r="D24">
            <v>0</v>
          </cell>
          <cell r="E24">
            <v>0</v>
          </cell>
          <cell r="F24">
            <v>0</v>
          </cell>
          <cell r="G24">
            <v>0</v>
          </cell>
          <cell r="H24">
            <v>0</v>
          </cell>
          <cell r="I24">
            <v>0</v>
          </cell>
          <cell r="J24">
            <v>273.89699999999999</v>
          </cell>
          <cell r="K24">
            <v>438.62100000000004</v>
          </cell>
          <cell r="L24">
            <v>563</v>
          </cell>
          <cell r="M24">
            <v>913</v>
          </cell>
          <cell r="N24">
            <v>1347</v>
          </cell>
          <cell r="O24">
            <v>2425</v>
          </cell>
          <cell r="P24">
            <v>3610</v>
          </cell>
          <cell r="Q24">
            <v>5730</v>
          </cell>
        </row>
        <row r="26">
          <cell r="C26">
            <v>0</v>
          </cell>
          <cell r="D26">
            <v>0</v>
          </cell>
          <cell r="E26">
            <v>0</v>
          </cell>
          <cell r="F26">
            <v>0</v>
          </cell>
          <cell r="G26">
            <v>0</v>
          </cell>
          <cell r="H26">
            <v>0</v>
          </cell>
          <cell r="I26">
            <v>0</v>
          </cell>
          <cell r="J26">
            <v>142.02928000000003</v>
          </cell>
          <cell r="K26">
            <v>96.530999999999892</v>
          </cell>
          <cell r="L26">
            <v>147.12</v>
          </cell>
          <cell r="M26">
            <v>-29.039999999999964</v>
          </cell>
          <cell r="N26">
            <v>-239.51999999999998</v>
          </cell>
          <cell r="O26">
            <v>-1179.1599999999999</v>
          </cell>
          <cell r="P26">
            <v>-1748.68</v>
          </cell>
          <cell r="Q26">
            <v>-3188.64</v>
          </cell>
        </row>
        <row r="28">
          <cell r="C28">
            <v>0</v>
          </cell>
          <cell r="D28">
            <v>0</v>
          </cell>
          <cell r="E28">
            <v>0</v>
          </cell>
          <cell r="F28">
            <v>0</v>
          </cell>
          <cell r="G28">
            <v>0</v>
          </cell>
          <cell r="H28">
            <v>0</v>
          </cell>
          <cell r="I28">
            <v>0</v>
          </cell>
          <cell r="J28">
            <v>235.386</v>
          </cell>
          <cell r="K28">
            <v>352.15300000000002</v>
          </cell>
          <cell r="L28">
            <v>470</v>
          </cell>
          <cell r="M28">
            <v>610</v>
          </cell>
          <cell r="N28">
            <v>860</v>
          </cell>
          <cell r="O28">
            <v>1432</v>
          </cell>
          <cell r="P28">
            <v>1925</v>
          </cell>
          <cell r="Q28">
            <v>2798</v>
          </cell>
          <cell r="R28">
            <v>2937.9</v>
          </cell>
          <cell r="S28">
            <v>3628.3065000000001</v>
          </cell>
          <cell r="T28">
            <v>4480.9585275000009</v>
          </cell>
        </row>
        <row r="29">
          <cell r="C29">
            <v>0</v>
          </cell>
          <cell r="D29">
            <v>0</v>
          </cell>
          <cell r="E29">
            <v>0</v>
          </cell>
          <cell r="F29">
            <v>0</v>
          </cell>
          <cell r="G29">
            <v>0</v>
          </cell>
          <cell r="H29">
            <v>0</v>
          </cell>
          <cell r="I29">
            <v>0</v>
          </cell>
          <cell r="J29">
            <v>0</v>
          </cell>
          <cell r="K29">
            <v>78.462000000000003</v>
          </cell>
          <cell r="L29">
            <v>117.38433333333334</v>
          </cell>
          <cell r="M29">
            <v>156.66666666666666</v>
          </cell>
          <cell r="N29">
            <v>203.33333333333334</v>
          </cell>
          <cell r="O29">
            <v>286.66666666666669</v>
          </cell>
          <cell r="P29">
            <v>477.33333333333331</v>
          </cell>
          <cell r="Q29">
            <v>641.66666666666663</v>
          </cell>
          <cell r="R29">
            <v>932.66666666666663</v>
          </cell>
          <cell r="S29">
            <v>979.30000000000007</v>
          </cell>
          <cell r="T29">
            <v>1209.4355</v>
          </cell>
        </row>
        <row r="30">
          <cell r="C30">
            <v>0</v>
          </cell>
          <cell r="D30">
            <v>0</v>
          </cell>
          <cell r="E30">
            <v>0</v>
          </cell>
          <cell r="F30">
            <v>0</v>
          </cell>
          <cell r="G30">
            <v>0</v>
          </cell>
          <cell r="H30">
            <v>0</v>
          </cell>
          <cell r="I30">
            <v>0</v>
          </cell>
          <cell r="J30">
            <v>235.386</v>
          </cell>
          <cell r="K30">
            <v>587.53899999999999</v>
          </cell>
          <cell r="L30">
            <v>979.077</v>
          </cell>
          <cell r="M30">
            <v>1393.2306666666666</v>
          </cell>
          <cell r="N30">
            <v>1900.7176666666667</v>
          </cell>
          <cell r="O30">
            <v>2855.333333333333</v>
          </cell>
          <cell r="P30">
            <v>4133.6666666666661</v>
          </cell>
          <cell r="Q30">
            <v>5964.3333333333321</v>
          </cell>
          <cell r="R30">
            <v>7496.5666666666657</v>
          </cell>
          <cell r="S30">
            <v>9073.2065000000002</v>
          </cell>
          <cell r="T30">
            <v>11000.531694166668</v>
          </cell>
        </row>
        <row r="31">
          <cell r="C31">
            <v>0</v>
          </cell>
          <cell r="D31">
            <v>0</v>
          </cell>
          <cell r="E31">
            <v>0</v>
          </cell>
          <cell r="F31">
            <v>0</v>
          </cell>
          <cell r="G31">
            <v>0</v>
          </cell>
          <cell r="H31">
            <v>0</v>
          </cell>
          <cell r="I31">
            <v>0</v>
          </cell>
          <cell r="J31">
            <v>0</v>
          </cell>
          <cell r="K31">
            <v>78.462000000000003</v>
          </cell>
          <cell r="L31">
            <v>195.84633333333335</v>
          </cell>
          <cell r="M31">
            <v>352.51299999999998</v>
          </cell>
          <cell r="N31">
            <v>477.38433333333336</v>
          </cell>
          <cell r="O31">
            <v>646.66666666666663</v>
          </cell>
          <cell r="P31">
            <v>967.33333333333337</v>
          </cell>
          <cell r="Q31">
            <v>1405.6666666666667</v>
          </cell>
          <cell r="R31">
            <v>2051.6666666666665</v>
          </cell>
          <cell r="S31">
            <v>2553.6333333333332</v>
          </cell>
          <cell r="T31">
            <v>3121.4021666666667</v>
          </cell>
        </row>
        <row r="32">
          <cell r="C32">
            <v>0</v>
          </cell>
          <cell r="D32">
            <v>0</v>
          </cell>
          <cell r="E32">
            <v>0</v>
          </cell>
          <cell r="F32">
            <v>0</v>
          </cell>
          <cell r="G32">
            <v>0</v>
          </cell>
          <cell r="H32">
            <v>0</v>
          </cell>
          <cell r="I32">
            <v>0</v>
          </cell>
          <cell r="J32">
            <v>235.386</v>
          </cell>
          <cell r="K32">
            <v>509.077</v>
          </cell>
          <cell r="L32">
            <v>783.23066666666659</v>
          </cell>
          <cell r="M32">
            <v>1040.7176666666667</v>
          </cell>
          <cell r="N32">
            <v>1423.3333333333333</v>
          </cell>
          <cell r="O32">
            <v>2208.6666666666665</v>
          </cell>
          <cell r="P32">
            <v>3166.3333333333326</v>
          </cell>
          <cell r="Q32">
            <v>4558.6666666666652</v>
          </cell>
          <cell r="R32">
            <v>5444.9</v>
          </cell>
          <cell r="S32">
            <v>6519.573166666667</v>
          </cell>
          <cell r="T32">
            <v>7879.1295275000011</v>
          </cell>
        </row>
        <row r="33">
          <cell r="C33">
            <v>0</v>
          </cell>
          <cell r="D33">
            <v>0</v>
          </cell>
          <cell r="E33">
            <v>0</v>
          </cell>
          <cell r="F33">
            <v>0</v>
          </cell>
          <cell r="G33">
            <v>0</v>
          </cell>
          <cell r="H33">
            <v>0</v>
          </cell>
          <cell r="I33">
            <v>0</v>
          </cell>
          <cell r="J33">
            <v>530.19100000000003</v>
          </cell>
          <cell r="K33">
            <v>766.63</v>
          </cell>
          <cell r="L33">
            <v>867</v>
          </cell>
          <cell r="M33">
            <v>930</v>
          </cell>
          <cell r="N33">
            <v>1192</v>
          </cell>
          <cell r="O33">
            <v>1326</v>
          </cell>
          <cell r="P33">
            <v>1465</v>
          </cell>
          <cell r="Q33">
            <v>1505</v>
          </cell>
        </row>
        <row r="34">
          <cell r="A34">
            <v>3</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85.49</v>
          </cell>
          <cell r="K41">
            <v>103.569</v>
          </cell>
          <cell r="L41">
            <v>88</v>
          </cell>
          <cell r="M41">
            <v>121</v>
          </cell>
          <cell r="N41">
            <v>398</v>
          </cell>
          <cell r="O41">
            <v>928</v>
          </cell>
          <cell r="P41">
            <v>203</v>
          </cell>
          <cell r="Q41">
            <v>260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t="e">
            <v>#VALUE!</v>
          </cell>
          <cell r="D43">
            <v>0</v>
          </cell>
          <cell r="E43">
            <v>0</v>
          </cell>
          <cell r="F43">
            <v>0</v>
          </cell>
          <cell r="G43">
            <v>0</v>
          </cell>
          <cell r="H43">
            <v>0</v>
          </cell>
          <cell r="I43">
            <v>0</v>
          </cell>
          <cell r="J43">
            <v>851.06700000000001</v>
          </cell>
          <cell r="K43">
            <v>1379.2759999999998</v>
          </cell>
          <cell r="L43">
            <v>1738.2306666666666</v>
          </cell>
          <cell r="M43">
            <v>2091.7176666666664</v>
          </cell>
          <cell r="N43">
            <v>3013.333333333333</v>
          </cell>
          <cell r="O43">
            <v>4462.6666666666661</v>
          </cell>
          <cell r="P43">
            <v>4834.3333333333321</v>
          </cell>
          <cell r="Q43">
            <v>6323.6666666666652</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50">
          <cell r="C50" t="e">
            <v>#VALUE!</v>
          </cell>
          <cell r="D50">
            <v>0</v>
          </cell>
          <cell r="E50">
            <v>0</v>
          </cell>
          <cell r="F50">
            <v>0</v>
          </cell>
          <cell r="G50">
            <v>0</v>
          </cell>
          <cell r="H50">
            <v>0</v>
          </cell>
          <cell r="I50">
            <v>0</v>
          </cell>
          <cell r="J50">
            <v>993.09627999999998</v>
          </cell>
          <cell r="K50">
            <v>1475.8069999999998</v>
          </cell>
          <cell r="L50">
            <v>1885.3506666666667</v>
          </cell>
          <cell r="M50">
            <v>2062.6776666666665</v>
          </cell>
          <cell r="N50">
            <v>2773.813333333333</v>
          </cell>
          <cell r="O50">
            <v>3283.5066666666662</v>
          </cell>
          <cell r="P50">
            <v>3085.6533333333318</v>
          </cell>
          <cell r="Q50">
            <v>3135.0266666666653</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19.456</v>
          </cell>
          <cell r="K54">
            <v>8.3239999999999998</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19.456</v>
          </cell>
          <cell r="K61">
            <v>8.3239999999999998</v>
          </cell>
          <cell r="L61">
            <v>0</v>
          </cell>
          <cell r="M61">
            <v>0</v>
          </cell>
          <cell r="N61">
            <v>0</v>
          </cell>
          <cell r="O61">
            <v>0</v>
          </cell>
          <cell r="P61">
            <v>0</v>
          </cell>
          <cell r="Q61">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235.386</v>
          </cell>
          <cell r="K67">
            <v>509.077</v>
          </cell>
          <cell r="L67">
            <v>783.23066666666659</v>
          </cell>
          <cell r="M67">
            <v>1040.7176666666667</v>
          </cell>
          <cell r="N67">
            <v>1423.3333333333333</v>
          </cell>
          <cell r="O67">
            <v>2208.6666666666665</v>
          </cell>
          <cell r="P67">
            <v>3166.3333333333326</v>
          </cell>
          <cell r="Q67">
            <v>4558.6666666666652</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235.386</v>
          </cell>
          <cell r="K70">
            <v>509.077</v>
          </cell>
          <cell r="L70">
            <v>783.23066666666659</v>
          </cell>
          <cell r="M70">
            <v>1040.7176666666667</v>
          </cell>
          <cell r="N70">
            <v>1423.3333333333333</v>
          </cell>
          <cell r="O70">
            <v>2208.6666666666665</v>
          </cell>
          <cell r="P70">
            <v>3166.3333333333326</v>
          </cell>
          <cell r="Q70">
            <v>4558.6666666666652</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405</v>
          </cell>
          <cell r="O73">
            <v>635</v>
          </cell>
          <cell r="P73">
            <v>0</v>
          </cell>
          <cell r="Q73">
            <v>0</v>
          </cell>
        </row>
        <row r="74">
          <cell r="C74">
            <v>0</v>
          </cell>
          <cell r="D74">
            <v>0</v>
          </cell>
          <cell r="E74">
            <v>0</v>
          </cell>
          <cell r="F74">
            <v>0</v>
          </cell>
          <cell r="G74">
            <v>0</v>
          </cell>
          <cell r="H74">
            <v>0</v>
          </cell>
          <cell r="I74">
            <v>0</v>
          </cell>
          <cell r="J74">
            <v>0</v>
          </cell>
          <cell r="K74">
            <v>0</v>
          </cell>
          <cell r="L74">
            <v>0</v>
          </cell>
          <cell r="M74">
            <v>0</v>
          </cell>
          <cell r="N74">
            <v>125</v>
          </cell>
          <cell r="O74">
            <v>125</v>
          </cell>
          <cell r="P74">
            <v>0</v>
          </cell>
          <cell r="Q74">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2346</v>
          </cell>
          <cell r="Q76">
            <v>4703</v>
          </cell>
        </row>
        <row r="78">
          <cell r="C78">
            <v>0</v>
          </cell>
          <cell r="D78">
            <v>0</v>
          </cell>
          <cell r="E78">
            <v>0</v>
          </cell>
          <cell r="F78">
            <v>0</v>
          </cell>
          <cell r="G78">
            <v>0</v>
          </cell>
          <cell r="H78">
            <v>0</v>
          </cell>
          <cell r="I78">
            <v>0</v>
          </cell>
          <cell r="J78">
            <v>1350.8309999999999</v>
          </cell>
          <cell r="K78">
            <v>2192.9580000000001</v>
          </cell>
          <cell r="L78">
            <v>3242</v>
          </cell>
          <cell r="M78">
            <v>4450</v>
          </cell>
          <cell r="N78">
            <v>5333</v>
          </cell>
          <cell r="O78">
            <v>6908</v>
          </cell>
          <cell r="P78">
            <v>10777</v>
          </cell>
          <cell r="Q78">
            <v>16627</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row>
        <row r="80">
          <cell r="C80">
            <v>0</v>
          </cell>
          <cell r="D80">
            <v>0</v>
          </cell>
          <cell r="E80">
            <v>0</v>
          </cell>
          <cell r="F80">
            <v>0</v>
          </cell>
          <cell r="G80">
            <v>0</v>
          </cell>
          <cell r="H80">
            <v>0</v>
          </cell>
          <cell r="I80">
            <v>0</v>
          </cell>
          <cell r="J80">
            <v>612.57672000000002</v>
          </cell>
          <cell r="K80">
            <v>1234.5520000000001</v>
          </cell>
          <cell r="L80">
            <v>2139.88</v>
          </cell>
          <cell r="M80">
            <v>3428.04</v>
          </cell>
          <cell r="N80">
            <v>4512.5200000000004</v>
          </cell>
          <cell r="O80">
            <v>6593.16</v>
          </cell>
          <cell r="P80">
            <v>8511.68</v>
          </cell>
          <cell r="Q80">
            <v>13347.64</v>
          </cell>
        </row>
        <row r="81">
          <cell r="C81">
            <v>0</v>
          </cell>
          <cell r="D81">
            <v>0</v>
          </cell>
          <cell r="E81">
            <v>0</v>
          </cell>
          <cell r="F81">
            <v>0</v>
          </cell>
          <cell r="G81">
            <v>0</v>
          </cell>
          <cell r="H81">
            <v>0</v>
          </cell>
          <cell r="I81">
            <v>0</v>
          </cell>
          <cell r="J81">
            <v>0</v>
          </cell>
          <cell r="K81">
            <v>0</v>
          </cell>
          <cell r="L81">
            <v>0</v>
          </cell>
          <cell r="M81">
            <v>0</v>
          </cell>
          <cell r="N81">
            <v>0</v>
          </cell>
          <cell r="O81">
            <v>0</v>
          </cell>
          <cell r="P81">
            <v>980</v>
          </cell>
          <cell r="Q81">
            <v>980</v>
          </cell>
        </row>
        <row r="83">
          <cell r="C83">
            <v>0</v>
          </cell>
          <cell r="D83">
            <v>0</v>
          </cell>
          <cell r="E83">
            <v>0</v>
          </cell>
          <cell r="F83">
            <v>0</v>
          </cell>
          <cell r="G83">
            <v>0</v>
          </cell>
          <cell r="H83">
            <v>0</v>
          </cell>
          <cell r="I83">
            <v>0</v>
          </cell>
          <cell r="J83">
            <v>973.64027999999985</v>
          </cell>
          <cell r="K83">
            <v>1467.4829999999997</v>
          </cell>
          <cell r="L83">
            <v>1885.3506666666663</v>
          </cell>
          <cell r="M83">
            <v>2062.6776666666665</v>
          </cell>
          <cell r="N83">
            <v>2243.8133333333326</v>
          </cell>
          <cell r="O83">
            <v>2523.5066666666662</v>
          </cell>
          <cell r="P83">
            <v>4451.6533333333318</v>
          </cell>
          <cell r="Q83">
            <v>6858.0266666666648</v>
          </cell>
        </row>
        <row r="84">
          <cell r="C84">
            <v>0</v>
          </cell>
          <cell r="D84">
            <v>0</v>
          </cell>
          <cell r="E84">
            <v>0</v>
          </cell>
          <cell r="F84">
            <v>0</v>
          </cell>
          <cell r="G84">
            <v>0</v>
          </cell>
          <cell r="H84">
            <v>0</v>
          </cell>
          <cell r="I84">
            <v>0</v>
          </cell>
          <cell r="J84">
            <v>2090.8000000000002</v>
          </cell>
          <cell r="K84">
            <v>2177.12</v>
          </cell>
          <cell r="L84">
            <v>2256</v>
          </cell>
          <cell r="M84">
            <v>2324</v>
          </cell>
          <cell r="N84">
            <v>2352</v>
          </cell>
          <cell r="O84">
            <v>2388</v>
          </cell>
          <cell r="P84">
            <v>2624</v>
          </cell>
          <cell r="Q84">
            <v>2408</v>
          </cell>
        </row>
        <row r="85">
          <cell r="C85" t="str">
            <v xml:space="preserve">--  </v>
          </cell>
          <cell r="D85" t="str">
            <v xml:space="preserve">--  </v>
          </cell>
          <cell r="E85" t="str">
            <v xml:space="preserve">--  </v>
          </cell>
          <cell r="F85" t="str">
            <v xml:space="preserve">--  </v>
          </cell>
          <cell r="G85" t="str">
            <v xml:space="preserve">--  </v>
          </cell>
          <cell r="H85" t="str">
            <v xml:space="preserve">--  </v>
          </cell>
          <cell r="I85" t="str">
            <v xml:space="preserve">--  </v>
          </cell>
          <cell r="J85">
            <v>0.46567834321790691</v>
          </cell>
          <cell r="K85">
            <v>0.67404782464907753</v>
          </cell>
          <cell r="L85">
            <v>0.83570508274231659</v>
          </cell>
          <cell r="M85">
            <v>0.88755493402180141</v>
          </cell>
          <cell r="N85">
            <v>0.95400226757369588</v>
          </cell>
          <cell r="O85">
            <v>1.0567448352875486</v>
          </cell>
          <cell r="P85">
            <v>1.6965142276422758</v>
          </cell>
          <cell r="Q85">
            <v>2.8480177187153926</v>
          </cell>
        </row>
        <row r="87">
          <cell r="C87">
            <v>0</v>
          </cell>
          <cell r="D87">
            <v>0</v>
          </cell>
          <cell r="E87">
            <v>0</v>
          </cell>
          <cell r="F87">
            <v>0</v>
          </cell>
          <cell r="G87">
            <v>0</v>
          </cell>
          <cell r="H87">
            <v>0</v>
          </cell>
          <cell r="I87">
            <v>0</v>
          </cell>
          <cell r="J87">
            <v>993.09627999999987</v>
          </cell>
          <cell r="K87">
            <v>1475.8069999999998</v>
          </cell>
          <cell r="L87">
            <v>1885.3506666666663</v>
          </cell>
          <cell r="M87">
            <v>2062.6776666666665</v>
          </cell>
          <cell r="N87">
            <v>2773.8133333333326</v>
          </cell>
          <cell r="O87">
            <v>3283.5066666666662</v>
          </cell>
          <cell r="P87">
            <v>3085.6533333333318</v>
          </cell>
          <cell r="Q87">
            <v>3135.0266666666648</v>
          </cell>
        </row>
        <row r="88">
          <cell r="C88" t="str">
            <v>N/A</v>
          </cell>
          <cell r="D88" t="str">
            <v>N/A</v>
          </cell>
          <cell r="E88" t="str">
            <v>N/A</v>
          </cell>
          <cell r="F88" t="str">
            <v>N/A</v>
          </cell>
          <cell r="G88" t="str">
            <v>N/A</v>
          </cell>
          <cell r="H88" t="str">
            <v>N/A</v>
          </cell>
          <cell r="I88" t="str">
            <v>N/A</v>
          </cell>
          <cell r="J88" t="str">
            <v>N/A</v>
          </cell>
          <cell r="K88">
            <v>0.4860663862319573</v>
          </cell>
          <cell r="L88">
            <v>0.27750489506193327</v>
          </cell>
          <cell r="M88">
            <v>9.405518195377284E-2</v>
          </cell>
          <cell r="N88">
            <v>0.34476335210235604</v>
          </cell>
          <cell r="O88">
            <v>0.18375185064123531</v>
          </cell>
          <cell r="P88">
            <v>-6.0256717411872995E-2</v>
          </cell>
          <cell r="Q88">
            <v>1.600093335176981E-2</v>
          </cell>
        </row>
        <row r="89">
          <cell r="C89">
            <v>0</v>
          </cell>
          <cell r="D89">
            <v>0</v>
          </cell>
          <cell r="E89">
            <v>0</v>
          </cell>
          <cell r="F89">
            <v>0</v>
          </cell>
          <cell r="G89">
            <v>0</v>
          </cell>
          <cell r="H89">
            <v>0</v>
          </cell>
          <cell r="I89">
            <v>0</v>
          </cell>
          <cell r="J89">
            <v>993.09627999999987</v>
          </cell>
          <cell r="K89">
            <v>1234.4516399999998</v>
          </cell>
          <cell r="L89">
            <v>1680.578833333333</v>
          </cell>
          <cell r="M89">
            <v>1974.0141666666664</v>
          </cell>
          <cell r="N89">
            <v>2773.8133333333326</v>
          </cell>
          <cell r="O89">
            <v>3283.5066666666662</v>
          </cell>
          <cell r="P89">
            <v>3085.6533333333318</v>
          </cell>
          <cell r="Q89">
            <v>3135.0266666666648</v>
          </cell>
        </row>
        <row r="92">
          <cell r="D92" t="e">
            <v>#DIV/0!</v>
          </cell>
          <cell r="E92" t="e">
            <v>#DIV/0!</v>
          </cell>
          <cell r="F92" t="e">
            <v>#DIV/0!</v>
          </cell>
          <cell r="G92" t="e">
            <v>#DIV/0!</v>
          </cell>
          <cell r="H92" t="e">
            <v>#DIV/0!</v>
          </cell>
          <cell r="I92" t="e">
            <v>#DIV/0!</v>
          </cell>
          <cell r="J92">
            <v>15.394599414087377</v>
          </cell>
          <cell r="K92">
            <v>7.0150023687950718</v>
          </cell>
          <cell r="L92">
            <v>5.9472079596754872</v>
          </cell>
          <cell r="M92">
            <v>6.6637554585152836</v>
          </cell>
          <cell r="N92">
            <v>9.2315789473684209</v>
          </cell>
          <cell r="O92">
            <v>27</v>
          </cell>
          <cell r="P92" t="e">
            <v>#DIV/0!</v>
          </cell>
          <cell r="Q92" t="e">
            <v>#DIV/0!</v>
          </cell>
        </row>
        <row r="95">
          <cell r="C95" t="str">
            <v>--</v>
          </cell>
          <cell r="D95" t="str">
            <v xml:space="preserve">--  </v>
          </cell>
          <cell r="E95" t="str">
            <v xml:space="preserve">--  </v>
          </cell>
          <cell r="F95" t="str">
            <v xml:space="preserve">--  </v>
          </cell>
          <cell r="G95" t="str">
            <v xml:space="preserve">--  </v>
          </cell>
          <cell r="H95" t="str">
            <v xml:space="preserve">--  </v>
          </cell>
          <cell r="I95" t="str">
            <v xml:space="preserve">--  </v>
          </cell>
          <cell r="J95">
            <v>15.153322592312499</v>
          </cell>
          <cell r="K95">
            <v>10.744393099378991</v>
          </cell>
          <cell r="L95">
            <v>12.341030721044369</v>
          </cell>
          <cell r="M95">
            <v>11.436654366543666</v>
          </cell>
          <cell r="N95">
            <v>11.244318181818182</v>
          </cell>
          <cell r="O95">
            <v>14.214754098360656</v>
          </cell>
          <cell r="P95">
            <v>14.03088326127239</v>
          </cell>
          <cell r="Q95">
            <v>11.872131147540983</v>
          </cell>
        </row>
        <row r="96">
          <cell r="C96" t="str">
            <v>--</v>
          </cell>
          <cell r="D96" t="str">
            <v xml:space="preserve">--  </v>
          </cell>
          <cell r="E96" t="str">
            <v xml:space="preserve">--  </v>
          </cell>
          <cell r="F96" t="str">
            <v xml:space="preserve">--  </v>
          </cell>
          <cell r="G96" t="str">
            <v xml:space="preserve">--  </v>
          </cell>
          <cell r="H96" t="str">
            <v xml:space="preserve">--  </v>
          </cell>
          <cell r="I96" t="str">
            <v xml:space="preserve">--  </v>
          </cell>
          <cell r="J96">
            <v>78.267396934573085</v>
          </cell>
          <cell r="K96">
            <v>41.491137698433583</v>
          </cell>
          <cell r="L96">
            <v>35.260460462341399</v>
          </cell>
          <cell r="M96">
            <v>40.602620087336241</v>
          </cell>
          <cell r="N96">
            <v>62.494736842105262</v>
          </cell>
          <cell r="O96">
            <v>197.06818181818181</v>
          </cell>
          <cell r="P96" t="str">
            <v xml:space="preserve">--  </v>
          </cell>
          <cell r="Q96" t="str">
            <v xml:space="preserve">--  </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v>25.958478420787596</v>
          </cell>
          <cell r="K97">
            <v>23.128116717502184</v>
          </cell>
          <cell r="L97">
            <v>30.806358274745449</v>
          </cell>
          <cell r="M97">
            <v>78.743224932249291</v>
          </cell>
          <cell r="N97">
            <v>-44.213583556747103</v>
          </cell>
          <cell r="O97">
            <v>-12.224039247751433</v>
          </cell>
          <cell r="P97">
            <v>-7.7586206896551717</v>
          </cell>
          <cell r="Q97">
            <v>-5.8671505999206053</v>
          </cell>
        </row>
        <row r="98">
          <cell r="C98" t="str">
            <v>--</v>
          </cell>
          <cell r="D98" t="str">
            <v xml:space="preserve">--  </v>
          </cell>
          <cell r="E98" t="str">
            <v xml:space="preserve">--  </v>
          </cell>
          <cell r="F98" t="str">
            <v xml:space="preserve">--  </v>
          </cell>
          <cell r="G98" t="str">
            <v xml:space="preserve">--  </v>
          </cell>
          <cell r="H98" t="str">
            <v xml:space="preserve">--  </v>
          </cell>
          <cell r="I98" t="str">
            <v xml:space="preserve">--  </v>
          </cell>
          <cell r="J98">
            <v>6.9538411629016705</v>
          </cell>
          <cell r="K98">
            <v>4.2545964323526535</v>
          </cell>
          <cell r="L98">
            <v>4.5946756609513777</v>
          </cell>
          <cell r="M98">
            <v>5.1741791875347802</v>
          </cell>
          <cell r="N98">
            <v>5.5956644674835063</v>
          </cell>
          <cell r="O98">
            <v>6.8872120730738677</v>
          </cell>
          <cell r="P98">
            <v>8.1390182730204224</v>
          </cell>
          <cell r="Q98">
            <v>9.7535353535353533</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v>4.3320490631172399</v>
          </cell>
          <cell r="K99">
            <v>2.4738123239340317</v>
          </cell>
          <cell r="L99">
            <v>2.4076933275737451</v>
          </cell>
          <cell r="M99">
            <v>2.4277089899820234</v>
          </cell>
          <cell r="N99">
            <v>2.325931709595066</v>
          </cell>
          <cell r="O99">
            <v>2.3196896736222583</v>
          </cell>
          <cell r="P99">
            <v>2.4433688286544051</v>
          </cell>
          <cell r="Q99">
            <v>2.5961641871303107</v>
          </cell>
        </row>
        <row r="100">
          <cell r="C100" t="str">
            <v>--</v>
          </cell>
          <cell r="D100" t="str">
            <v xml:space="preserve">--  </v>
          </cell>
          <cell r="E100" t="str">
            <v xml:space="preserve">--  </v>
          </cell>
          <cell r="F100" t="str">
            <v xml:space="preserve">--  </v>
          </cell>
          <cell r="G100" t="str">
            <v xml:space="preserve">--  </v>
          </cell>
          <cell r="H100" t="str">
            <v xml:space="preserve">--  </v>
          </cell>
          <cell r="I100" t="str">
            <v xml:space="preserve">--  </v>
          </cell>
          <cell r="J100">
            <v>43.12626038133115</v>
          </cell>
          <cell r="K100">
            <v>29.183746872669378</v>
          </cell>
          <cell r="L100">
            <v>39.181704764340779</v>
          </cell>
          <cell r="M100">
            <v>44.488038277511961</v>
          </cell>
          <cell r="N100">
            <v>22.878612716763005</v>
          </cell>
          <cell r="O100">
            <v>13.078431372549019</v>
          </cell>
          <cell r="P100">
            <v>20.084880636604776</v>
          </cell>
          <cell r="Q100">
            <v>62.565874730021598</v>
          </cell>
        </row>
        <row r="101">
          <cell r="B101" t="str">
            <v xml:space="preserve"> Total other assets turns</v>
          </cell>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cell r="O101" t="str">
            <v xml:space="preserve">--  </v>
          </cell>
          <cell r="P101" t="str">
            <v xml:space="preserve">--  </v>
          </cell>
          <cell r="Q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v>1.8562470096051515</v>
          </cell>
          <cell r="K102">
            <v>2.2347777025918978</v>
          </cell>
          <cell r="L102">
            <v>2.2331591506220132</v>
          </cell>
          <cell r="M102">
            <v>2.3550996130135848</v>
          </cell>
          <cell r="N102">
            <v>2.1403747428329716</v>
          </cell>
          <cell r="O102">
            <v>2.6407742941489385</v>
          </cell>
          <cell r="P102">
            <v>3.6809060425884974</v>
          </cell>
          <cell r="Q102">
            <v>4.6200563950545899</v>
          </cell>
        </row>
        <row r="105">
          <cell r="C105" t="str">
            <v xml:space="preserve">--  </v>
          </cell>
          <cell r="D105" t="str">
            <v xml:space="preserve">--  </v>
          </cell>
          <cell r="E105" t="str">
            <v xml:space="preserve">--  </v>
          </cell>
          <cell r="F105" t="str">
            <v xml:space="preserve">--  </v>
          </cell>
          <cell r="G105" t="str">
            <v xml:space="preserve">--  </v>
          </cell>
          <cell r="H105" t="str">
            <v xml:space="preserve">--  </v>
          </cell>
          <cell r="I105" t="str">
            <v xml:space="preserve">--  </v>
          </cell>
          <cell r="J105">
            <v>0.33134150044307359</v>
          </cell>
          <cell r="K105">
            <v>0.3129617327313608</v>
          </cell>
          <cell r="L105">
            <v>0.29002664046889221</v>
          </cell>
          <cell r="M105">
            <v>0.2839365379988803</v>
          </cell>
          <cell r="N105">
            <v>0.27337921609188948</v>
          </cell>
          <cell r="O105">
            <v>0.28942718979026666</v>
          </cell>
          <cell r="P105">
            <v>0.34837724725364172</v>
          </cell>
          <cell r="Q105">
            <v>0.35004090763641249</v>
          </cell>
        </row>
        <row r="106">
          <cell r="C106" t="str">
            <v>N/A</v>
          </cell>
          <cell r="D106" t="str">
            <v xml:space="preserve">--  </v>
          </cell>
          <cell r="E106" t="str">
            <v xml:space="preserve">--  </v>
          </cell>
          <cell r="F106" t="str">
            <v xml:space="preserve">--  </v>
          </cell>
          <cell r="G106" t="str">
            <v xml:space="preserve">--  </v>
          </cell>
          <cell r="H106" t="str">
            <v xml:space="preserve">--  </v>
          </cell>
          <cell r="I106" t="str">
            <v xml:space="preserve">--  </v>
          </cell>
          <cell r="J106">
            <v>1.8562470096051515</v>
          </cell>
          <cell r="K106">
            <v>2.2347777025918978</v>
          </cell>
          <cell r="L106">
            <v>2.2331591506220132</v>
          </cell>
          <cell r="M106">
            <v>2.3550996130135848</v>
          </cell>
          <cell r="N106">
            <v>2.1403747428329716</v>
          </cell>
          <cell r="O106">
            <v>2.6407742941489385</v>
          </cell>
          <cell r="P106">
            <v>3.6809060425884974</v>
          </cell>
          <cell r="Q106">
            <v>4.6200563950545899</v>
          </cell>
        </row>
        <row r="107">
          <cell r="C107" t="str">
            <v>N/A</v>
          </cell>
          <cell r="D107" t="str">
            <v xml:space="preserve">--  </v>
          </cell>
          <cell r="E107" t="str">
            <v xml:space="preserve">--  </v>
          </cell>
          <cell r="F107" t="str">
            <v xml:space="preserve">--  </v>
          </cell>
          <cell r="G107" t="str">
            <v xml:space="preserve">--  </v>
          </cell>
          <cell r="H107" t="str">
            <v xml:space="preserve">--  </v>
          </cell>
          <cell r="I107" t="str">
            <v xml:space="preserve">--  </v>
          </cell>
          <cell r="J107">
            <v>0.61505166935553934</v>
          </cell>
          <cell r="K107">
            <v>0.69939990207257008</v>
          </cell>
          <cell r="L107">
            <v>0.64767564608726735</v>
          </cell>
          <cell r="M107">
            <v>0.66869883076157999</v>
          </cell>
          <cell r="N107">
            <v>0.58513396933855732</v>
          </cell>
          <cell r="O107">
            <v>0.76431188282590234</v>
          </cell>
          <cell r="P107">
            <v>1.2823439145162767</v>
          </cell>
          <cell r="Q107">
            <v>1.6172087338563206</v>
          </cell>
        </row>
        <row r="108">
          <cell r="C108" t="str">
            <v>N/A</v>
          </cell>
          <cell r="D108" t="str">
            <v xml:space="preserve">--  </v>
          </cell>
          <cell r="E108" t="str">
            <v xml:space="preserve">--  </v>
          </cell>
          <cell r="F108" t="str">
            <v xml:space="preserve">--  </v>
          </cell>
          <cell r="G108" t="str">
            <v xml:space="preserve">--  </v>
          </cell>
          <cell r="H108" t="str">
            <v xml:space="preserve">--  </v>
          </cell>
          <cell r="I108" t="str">
            <v xml:space="preserve">--  </v>
          </cell>
          <cell r="J108" t="str">
            <v xml:space="preserve">--  </v>
          </cell>
          <cell r="K108">
            <v>8.4348232717030736E-2</v>
          </cell>
          <cell r="L108">
            <v>-5.1724255985302725E-2</v>
          </cell>
          <cell r="M108">
            <v>2.1023184674312634E-2</v>
          </cell>
          <cell r="N108">
            <v>-8.3564861423022663E-2</v>
          </cell>
          <cell r="O108">
            <v>0.17917791348734502</v>
          </cell>
          <cell r="P108">
            <v>0.51803203169037437</v>
          </cell>
          <cell r="Q108">
            <v>0.33486481934004386</v>
          </cell>
        </row>
        <row r="109">
          <cell r="C109" t="str">
            <v>N/A</v>
          </cell>
          <cell r="D109" t="str">
            <v>N/A</v>
          </cell>
          <cell r="E109" t="str">
            <v>NM</v>
          </cell>
          <cell r="F109" t="str">
            <v>NM</v>
          </cell>
          <cell r="G109" t="str">
            <v>NM</v>
          </cell>
          <cell r="H109" t="str">
            <v>NM</v>
          </cell>
          <cell r="I109" t="str">
            <v>NM</v>
          </cell>
          <cell r="J109" t="str">
            <v>NM</v>
          </cell>
          <cell r="K109">
            <v>0.25432562418273008</v>
          </cell>
          <cell r="L109">
            <v>0.46631370761856944</v>
          </cell>
          <cell r="M109">
            <v>0.56538777747845093</v>
          </cell>
          <cell r="N109">
            <v>1.7088849457823854</v>
          </cell>
          <cell r="O109">
            <v>1.2466970766485552</v>
          </cell>
          <cell r="P109">
            <v>2.8394438714170476</v>
          </cell>
          <cell r="Q109" t="str">
            <v>NM</v>
          </cell>
        </row>
        <row r="112">
          <cell r="C112" t="str">
            <v>-</v>
          </cell>
          <cell r="D112" t="str">
            <v xml:space="preserve">  --</v>
          </cell>
          <cell r="E112" t="str">
            <v xml:space="preserve">  --</v>
          </cell>
          <cell r="F112" t="str">
            <v xml:space="preserve">  --</v>
          </cell>
          <cell r="G112" t="str">
            <v xml:space="preserve">  --</v>
          </cell>
          <cell r="H112" t="str">
            <v xml:space="preserve">  --</v>
          </cell>
          <cell r="I112" t="str">
            <v xml:space="preserve">  --</v>
          </cell>
          <cell r="J112" t="str">
            <v xml:space="preserve">  --</v>
          </cell>
          <cell r="K112">
            <v>0.13714007606127154</v>
          </cell>
          <cell r="L112">
            <v>-7.3955194777730715E-2</v>
          </cell>
          <cell r="M112">
            <v>3.245943367072357E-2</v>
          </cell>
          <cell r="N112">
            <v>-0.12496636389785631</v>
          </cell>
          <cell r="O112">
            <v>0.30621690565989512</v>
          </cell>
          <cell r="P112">
            <v>0.67777571346273779</v>
          </cell>
          <cell r="Q112">
            <v>0.26113495416427424</v>
          </cell>
        </row>
        <row r="113">
          <cell r="C113" t="str">
            <v>-</v>
          </cell>
          <cell r="D113" t="str">
            <v>-</v>
          </cell>
          <cell r="E113" t="str">
            <v>-</v>
          </cell>
          <cell r="F113" t="str">
            <v>-</v>
          </cell>
          <cell r="G113" t="str">
            <v>-</v>
          </cell>
          <cell r="H113" t="str">
            <v xml:space="preserve">  --</v>
          </cell>
          <cell r="I113" t="str">
            <v xml:space="preserve">  --</v>
          </cell>
          <cell r="J113" t="str">
            <v xml:space="preserve">  --</v>
          </cell>
          <cell r="K113" t="str">
            <v xml:space="preserve">  --</v>
          </cell>
          <cell r="L113" t="str">
            <v xml:space="preserve">  --</v>
          </cell>
          <cell r="M113" t="str">
            <v xml:space="preserve">  --</v>
          </cell>
          <cell r="N113" t="str">
            <v xml:space="preserve">  --</v>
          </cell>
          <cell r="O113">
            <v>4.4411877142283229E-2</v>
          </cell>
          <cell r="P113">
            <v>0.12890082285952009</v>
          </cell>
          <cell r="Q113">
            <v>0.20083047832257206</v>
          </cell>
        </row>
        <row r="114">
          <cell r="C114" t="str">
            <v>-</v>
          </cell>
          <cell r="D114" t="str">
            <v>-</v>
          </cell>
          <cell r="E114" t="str">
            <v>-</v>
          </cell>
          <cell r="F114" t="str">
            <v>-</v>
          </cell>
          <cell r="G114" t="str">
            <v>-</v>
          </cell>
          <cell r="H114" t="str">
            <v>-</v>
          </cell>
          <cell r="I114" t="str">
            <v>-</v>
          </cell>
          <cell r="J114" t="str">
            <v>-</v>
          </cell>
          <cell r="K114" t="str">
            <v>-</v>
          </cell>
          <cell r="L114" t="str">
            <v>-</v>
          </cell>
          <cell r="M114" t="str">
            <v xml:space="preserve">  --</v>
          </cell>
          <cell r="N114" t="str">
            <v xml:space="preserve">  --</v>
          </cell>
          <cell r="O114" t="str">
            <v xml:space="preserve">  --</v>
          </cell>
          <cell r="P114" t="str">
            <v xml:space="preserve">  --</v>
          </cell>
          <cell r="Q114" t="str">
            <v xml:space="preserve">  --</v>
          </cell>
        </row>
      </sheetData>
      <sheetData sheetId="8" refreshError="1">
        <row r="1">
          <cell r="M1">
            <v>0</v>
          </cell>
          <cell r="N1">
            <v>0</v>
          </cell>
          <cell r="O1">
            <v>0</v>
          </cell>
          <cell r="P1">
            <v>0</v>
          </cell>
          <cell r="Q1">
            <v>0</v>
          </cell>
        </row>
        <row r="2">
          <cell r="P2" t="str">
            <v>NOPAT Statement</v>
          </cell>
        </row>
        <row r="3">
          <cell r="C3" t="str">
            <v>P-14</v>
          </cell>
          <cell r="D3" t="str">
            <v>P-13</v>
          </cell>
          <cell r="E3" t="str">
            <v>P-12</v>
          </cell>
          <cell r="F3" t="str">
            <v>P-11</v>
          </cell>
          <cell r="G3" t="str">
            <v>P-10</v>
          </cell>
          <cell r="H3" t="str">
            <v>P-9</v>
          </cell>
          <cell r="I3" t="str">
            <v>P-8</v>
          </cell>
          <cell r="J3" t="str">
            <v>P-7</v>
          </cell>
          <cell r="K3" t="str">
            <v>P-6</v>
          </cell>
          <cell r="L3" t="str">
            <v>P-5</v>
          </cell>
          <cell r="M3" t="str">
            <v>P-4</v>
          </cell>
          <cell r="N3" t="str">
            <v>P-3</v>
          </cell>
          <cell r="O3" t="str">
            <v>P-2</v>
          </cell>
          <cell r="P3" t="str">
            <v>P-1</v>
          </cell>
          <cell r="Q3" t="str">
            <v>Present (P)</v>
          </cell>
        </row>
        <row r="4">
          <cell r="C4">
            <v>1984</v>
          </cell>
          <cell r="D4">
            <v>1985</v>
          </cell>
          <cell r="E4">
            <v>1986</v>
          </cell>
          <cell r="F4">
            <v>1987</v>
          </cell>
          <cell r="G4">
            <v>1988</v>
          </cell>
          <cell r="H4">
            <v>1989</v>
          </cell>
          <cell r="I4">
            <v>1990</v>
          </cell>
          <cell r="J4">
            <v>1991</v>
          </cell>
          <cell r="K4">
            <v>1992</v>
          </cell>
          <cell r="L4">
            <v>1993</v>
          </cell>
          <cell r="M4">
            <v>1994</v>
          </cell>
          <cell r="N4">
            <v>1995</v>
          </cell>
          <cell r="O4">
            <v>1996</v>
          </cell>
          <cell r="P4">
            <v>1997</v>
          </cell>
          <cell r="Q4">
            <v>1998</v>
          </cell>
        </row>
        <row r="5">
          <cell r="C5">
            <v>0</v>
          </cell>
          <cell r="D5">
            <v>0</v>
          </cell>
          <cell r="E5">
            <v>0</v>
          </cell>
          <cell r="F5">
            <v>0</v>
          </cell>
          <cell r="G5">
            <v>0</v>
          </cell>
          <cell r="H5">
            <v>0</v>
          </cell>
          <cell r="I5">
            <v>0</v>
          </cell>
          <cell r="J5">
            <v>1843.432</v>
          </cell>
          <cell r="K5">
            <v>2758.7249999999999</v>
          </cell>
          <cell r="L5">
            <v>3753</v>
          </cell>
          <cell r="M5">
            <v>4649</v>
          </cell>
          <cell r="N5">
            <v>5937</v>
          </cell>
          <cell r="O5">
            <v>8671</v>
          </cell>
          <cell r="P5">
            <v>11358</v>
          </cell>
          <cell r="Q5">
            <v>14484</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1843.432</v>
          </cell>
          <cell r="K8">
            <v>2758.7249999999999</v>
          </cell>
          <cell r="L8">
            <v>3753</v>
          </cell>
          <cell r="M8">
            <v>4649</v>
          </cell>
          <cell r="N8">
            <v>5937</v>
          </cell>
          <cell r="O8">
            <v>8671</v>
          </cell>
          <cell r="P8">
            <v>11358</v>
          </cell>
          <cell r="Q8">
            <v>14484</v>
          </cell>
        </row>
        <row r="9">
          <cell r="C9">
            <v>0</v>
          </cell>
          <cell r="D9">
            <v>0</v>
          </cell>
          <cell r="E9">
            <v>0</v>
          </cell>
          <cell r="F9">
            <v>0</v>
          </cell>
          <cell r="G9">
            <v>0</v>
          </cell>
          <cell r="H9">
            <v>0</v>
          </cell>
          <cell r="I9">
            <v>0</v>
          </cell>
          <cell r="J9">
            <v>362.589</v>
          </cell>
          <cell r="K9">
            <v>466.42399999999998</v>
          </cell>
          <cell r="L9">
            <v>633</v>
          </cell>
          <cell r="M9">
            <v>763</v>
          </cell>
          <cell r="N9">
            <v>877</v>
          </cell>
          <cell r="O9">
            <v>1188</v>
          </cell>
          <cell r="P9">
            <v>1085</v>
          </cell>
          <cell r="Q9">
            <v>1197</v>
          </cell>
        </row>
        <row r="10">
          <cell r="C10">
            <v>0</v>
          </cell>
          <cell r="D10">
            <v>0</v>
          </cell>
          <cell r="E10">
            <v>0</v>
          </cell>
          <cell r="F10">
            <v>0</v>
          </cell>
          <cell r="G10">
            <v>0</v>
          </cell>
          <cell r="H10">
            <v>0</v>
          </cell>
          <cell r="I10">
            <v>0</v>
          </cell>
          <cell r="J10">
            <v>1480.8430000000001</v>
          </cell>
          <cell r="K10">
            <v>2292.3009999999999</v>
          </cell>
          <cell r="L10">
            <v>3120</v>
          </cell>
          <cell r="M10">
            <v>3886</v>
          </cell>
          <cell r="N10">
            <v>5060</v>
          </cell>
          <cell r="O10">
            <v>7483</v>
          </cell>
          <cell r="P10">
            <v>10273</v>
          </cell>
          <cell r="Q10">
            <v>13287</v>
          </cell>
        </row>
        <row r="12">
          <cell r="C12">
            <v>0</v>
          </cell>
          <cell r="D12">
            <v>0</v>
          </cell>
          <cell r="E12">
            <v>0</v>
          </cell>
          <cell r="F12">
            <v>0</v>
          </cell>
          <cell r="G12">
            <v>0</v>
          </cell>
          <cell r="H12">
            <v>0</v>
          </cell>
          <cell r="I12">
            <v>0</v>
          </cell>
          <cell r="J12">
            <v>595.61500000000001</v>
          </cell>
          <cell r="K12">
            <v>944.1690000000001</v>
          </cell>
          <cell r="L12">
            <v>1324</v>
          </cell>
          <cell r="M12">
            <v>1550</v>
          </cell>
          <cell r="N12">
            <v>2162</v>
          </cell>
          <cell r="O12">
            <v>2973</v>
          </cell>
          <cell r="P12">
            <v>3218</v>
          </cell>
          <cell r="Q12">
            <v>3845</v>
          </cell>
        </row>
        <row r="13">
          <cell r="C13">
            <v>0</v>
          </cell>
          <cell r="D13">
            <v>0</v>
          </cell>
          <cell r="E13">
            <v>0</v>
          </cell>
          <cell r="F13">
            <v>0</v>
          </cell>
          <cell r="G13">
            <v>0</v>
          </cell>
          <cell r="H13">
            <v>0</v>
          </cell>
          <cell r="I13">
            <v>0</v>
          </cell>
          <cell r="J13">
            <v>0</v>
          </cell>
          <cell r="K13">
            <v>352.15300000000002</v>
          </cell>
          <cell r="L13">
            <v>470</v>
          </cell>
          <cell r="M13">
            <v>610</v>
          </cell>
          <cell r="N13">
            <v>860</v>
          </cell>
          <cell r="O13">
            <v>1432</v>
          </cell>
          <cell r="P13">
            <v>1925</v>
          </cell>
          <cell r="Q13">
            <v>2798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0</v>
          </cell>
          <cell r="E15">
            <v>0</v>
          </cell>
          <cell r="F15">
            <v>0</v>
          </cell>
          <cell r="G15">
            <v>0</v>
          </cell>
          <cell r="H15">
            <v>0</v>
          </cell>
          <cell r="I15">
            <v>0</v>
          </cell>
          <cell r="J15">
            <v>1193.5899999999999</v>
          </cell>
          <cell r="K15">
            <v>1762.7460000000001</v>
          </cell>
          <cell r="L15">
            <v>2427</v>
          </cell>
          <cell r="M15">
            <v>2923</v>
          </cell>
          <cell r="N15">
            <v>3899</v>
          </cell>
          <cell r="O15">
            <v>5593</v>
          </cell>
          <cell r="P15">
            <v>6228</v>
          </cell>
          <cell r="Q15">
            <v>7840</v>
          </cell>
        </row>
        <row r="17">
          <cell r="C17">
            <v>0</v>
          </cell>
          <cell r="D17">
            <v>0</v>
          </cell>
          <cell r="E17">
            <v>0</v>
          </cell>
          <cell r="F17">
            <v>0</v>
          </cell>
          <cell r="G17">
            <v>0</v>
          </cell>
          <cell r="H17">
            <v>0</v>
          </cell>
          <cell r="I17">
            <v>0</v>
          </cell>
          <cell r="J17">
            <v>649.8420000000001</v>
          </cell>
          <cell r="K17">
            <v>995.97899999999981</v>
          </cell>
          <cell r="L17">
            <v>1326</v>
          </cell>
          <cell r="M17">
            <v>1726</v>
          </cell>
          <cell r="N17">
            <v>2038</v>
          </cell>
          <cell r="O17">
            <v>3078</v>
          </cell>
          <cell r="P17">
            <v>5130</v>
          </cell>
          <cell r="Q17">
            <v>6644</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0</v>
          </cell>
          <cell r="D19">
            <v>0</v>
          </cell>
          <cell r="E19">
            <v>0</v>
          </cell>
          <cell r="F19">
            <v>0</v>
          </cell>
          <cell r="G19">
            <v>0</v>
          </cell>
          <cell r="H19">
            <v>0</v>
          </cell>
          <cell r="I19">
            <v>0</v>
          </cell>
          <cell r="J19">
            <v>649.8420000000001</v>
          </cell>
          <cell r="K19">
            <v>995.97899999999981</v>
          </cell>
          <cell r="L19">
            <v>1326</v>
          </cell>
          <cell r="M19">
            <v>1726</v>
          </cell>
          <cell r="N19">
            <v>2038</v>
          </cell>
          <cell r="O19">
            <v>3078</v>
          </cell>
          <cell r="P19">
            <v>5130</v>
          </cell>
          <cell r="Q19">
            <v>6644</v>
          </cell>
        </row>
        <row r="21">
          <cell r="C21">
            <v>0</v>
          </cell>
          <cell r="D21">
            <v>0</v>
          </cell>
          <cell r="E21">
            <v>0</v>
          </cell>
          <cell r="F21">
            <v>0</v>
          </cell>
          <cell r="G21">
            <v>0</v>
          </cell>
          <cell r="H21">
            <v>0</v>
          </cell>
          <cell r="I21">
            <v>0</v>
          </cell>
          <cell r="J21">
            <v>235.386</v>
          </cell>
          <cell r="K21">
            <v>352.15300000000002</v>
          </cell>
          <cell r="L21">
            <v>470</v>
          </cell>
          <cell r="M21">
            <v>610</v>
          </cell>
          <cell r="N21">
            <v>860</v>
          </cell>
          <cell r="O21">
            <v>1432</v>
          </cell>
          <cell r="P21">
            <v>1925</v>
          </cell>
          <cell r="Q21">
            <v>2798</v>
          </cell>
        </row>
        <row r="22">
          <cell r="C22">
            <v>0</v>
          </cell>
          <cell r="D22">
            <v>0</v>
          </cell>
          <cell r="E22">
            <v>0</v>
          </cell>
          <cell r="F22">
            <v>0</v>
          </cell>
          <cell r="G22">
            <v>0</v>
          </cell>
          <cell r="H22">
            <v>0</v>
          </cell>
          <cell r="I22">
            <v>0</v>
          </cell>
          <cell r="J22">
            <v>0</v>
          </cell>
          <cell r="K22">
            <v>78.462000000000003</v>
          </cell>
          <cell r="L22">
            <v>195.84633333333335</v>
          </cell>
          <cell r="M22">
            <v>352.51299999999998</v>
          </cell>
          <cell r="N22">
            <v>477.38433333333336</v>
          </cell>
          <cell r="O22">
            <v>646.66666666666663</v>
          </cell>
          <cell r="P22">
            <v>967.33333333333337</v>
          </cell>
          <cell r="Q22">
            <v>1405.6666666666667</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235.386</v>
          </cell>
          <cell r="K24">
            <v>273.69100000000003</v>
          </cell>
          <cell r="L24">
            <v>274.15366666666665</v>
          </cell>
          <cell r="M24">
            <v>257.48700000000002</v>
          </cell>
          <cell r="N24">
            <v>382.61566666666664</v>
          </cell>
          <cell r="O24">
            <v>785.33333333333337</v>
          </cell>
          <cell r="P24">
            <v>957.66666666666663</v>
          </cell>
          <cell r="Q24">
            <v>1392.3333333333333</v>
          </cell>
        </row>
        <row r="26">
          <cell r="C26">
            <v>0</v>
          </cell>
          <cell r="D26">
            <v>0</v>
          </cell>
          <cell r="E26">
            <v>0</v>
          </cell>
          <cell r="F26">
            <v>0</v>
          </cell>
          <cell r="G26">
            <v>0</v>
          </cell>
          <cell r="H26">
            <v>0</v>
          </cell>
          <cell r="I26">
            <v>0</v>
          </cell>
          <cell r="J26">
            <v>885.22800000000007</v>
          </cell>
          <cell r="K26">
            <v>1269.6699999999998</v>
          </cell>
          <cell r="L26">
            <v>1600.1536666666666</v>
          </cell>
          <cell r="M26">
            <v>1983.4870000000001</v>
          </cell>
          <cell r="N26">
            <v>2420.6156666666666</v>
          </cell>
          <cell r="O26">
            <v>3863.3333333333335</v>
          </cell>
          <cell r="P26">
            <v>6087.666666666667</v>
          </cell>
          <cell r="Q26">
            <v>8036.333333333333</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2">
          <cell r="C32">
            <v>0</v>
          </cell>
          <cell r="D32">
            <v>0</v>
          </cell>
          <cell r="E32">
            <v>0</v>
          </cell>
          <cell r="F32">
            <v>0</v>
          </cell>
          <cell r="G32">
            <v>0</v>
          </cell>
          <cell r="H32">
            <v>0</v>
          </cell>
          <cell r="I32">
            <v>0</v>
          </cell>
          <cell r="J32">
            <v>885.22800000000007</v>
          </cell>
          <cell r="K32">
            <v>1269.6699999999998</v>
          </cell>
          <cell r="L32">
            <v>1600.1536666666666</v>
          </cell>
          <cell r="M32">
            <v>1983.4870000000001</v>
          </cell>
          <cell r="N32">
            <v>2420.6156666666666</v>
          </cell>
          <cell r="O32">
            <v>3863.3333333333335</v>
          </cell>
          <cell r="P32">
            <v>6087.666666666667</v>
          </cell>
          <cell r="Q32">
            <v>8036.333333333333</v>
          </cell>
        </row>
        <row r="33">
          <cell r="A33">
            <v>0.33</v>
          </cell>
        </row>
        <row r="34">
          <cell r="C34">
            <v>0</v>
          </cell>
          <cell r="D34">
            <v>0</v>
          </cell>
          <cell r="E34">
            <v>0</v>
          </cell>
          <cell r="F34">
            <v>0</v>
          </cell>
          <cell r="G34">
            <v>0</v>
          </cell>
          <cell r="H34">
            <v>0</v>
          </cell>
          <cell r="I34">
            <v>0</v>
          </cell>
          <cell r="J34">
            <v>207.90100000000001</v>
          </cell>
          <cell r="K34">
            <v>333.20499999999998</v>
          </cell>
          <cell r="L34">
            <v>448</v>
          </cell>
          <cell r="M34">
            <v>576</v>
          </cell>
          <cell r="N34">
            <v>714</v>
          </cell>
          <cell r="O34">
            <v>1184</v>
          </cell>
          <cell r="P34">
            <v>1860</v>
          </cell>
          <cell r="Q34">
            <v>2627</v>
          </cell>
        </row>
        <row r="35">
          <cell r="C35">
            <v>0</v>
          </cell>
          <cell r="D35">
            <v>0</v>
          </cell>
          <cell r="E35">
            <v>0</v>
          </cell>
          <cell r="F35">
            <v>0</v>
          </cell>
          <cell r="G35">
            <v>0</v>
          </cell>
          <cell r="H35">
            <v>0</v>
          </cell>
          <cell r="I35">
            <v>0</v>
          </cell>
          <cell r="J35">
            <v>78.073700724974785</v>
          </cell>
          <cell r="K35">
            <v>90.975734606464272</v>
          </cell>
          <cell r="L35">
            <v>63.683684986914109</v>
          </cell>
          <cell r="M35">
            <v>87.466034843205591</v>
          </cell>
          <cell r="N35">
            <v>83.563260729118596</v>
          </cell>
          <cell r="O35">
            <v>169.71017066193156</v>
          </cell>
          <cell r="P35">
            <v>270.79789235980428</v>
          </cell>
          <cell r="Q35">
            <v>339.34082712753502</v>
          </cell>
        </row>
        <row r="36">
          <cell r="C36">
            <v>0</v>
          </cell>
          <cell r="D36">
            <v>0</v>
          </cell>
          <cell r="E36">
            <v>0</v>
          </cell>
          <cell r="F36">
            <v>0</v>
          </cell>
          <cell r="G36">
            <v>0</v>
          </cell>
          <cell r="H36">
            <v>0</v>
          </cell>
          <cell r="I36">
            <v>0</v>
          </cell>
          <cell r="J36">
            <v>-11.552225569750865</v>
          </cell>
          <cell r="K36">
            <v>-17.886090735787722</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274.42247515522394</v>
          </cell>
          <cell r="K39">
            <v>406.29464387067657</v>
          </cell>
          <cell r="L39">
            <v>511.6836849869141</v>
          </cell>
          <cell r="M39">
            <v>663.46603484320553</v>
          </cell>
          <cell r="N39">
            <v>797.56326072911861</v>
          </cell>
          <cell r="O39">
            <v>1353.7101706619314</v>
          </cell>
          <cell r="P39">
            <v>2130.7978923598043</v>
          </cell>
          <cell r="Q39">
            <v>2966.3408271275348</v>
          </cell>
        </row>
        <row r="41">
          <cell r="C41">
            <v>0</v>
          </cell>
          <cell r="D41">
            <v>0</v>
          </cell>
          <cell r="E41">
            <v>0</v>
          </cell>
          <cell r="F41">
            <v>0</v>
          </cell>
          <cell r="G41">
            <v>0</v>
          </cell>
          <cell r="H41">
            <v>0</v>
          </cell>
          <cell r="I41">
            <v>0</v>
          </cell>
          <cell r="J41">
            <v>610.80552484477607</v>
          </cell>
          <cell r="K41">
            <v>863.37535612932334</v>
          </cell>
          <cell r="L41">
            <v>1088.4699816797524</v>
          </cell>
          <cell r="M41">
            <v>1320.0209651567945</v>
          </cell>
          <cell r="N41">
            <v>1623.052405937548</v>
          </cell>
          <cell r="O41">
            <v>2509.623162671402</v>
          </cell>
          <cell r="P41">
            <v>3956.8687743068626</v>
          </cell>
          <cell r="Q41">
            <v>5069.9925062057982</v>
          </cell>
        </row>
        <row r="43">
          <cell r="C43">
            <v>0</v>
          </cell>
          <cell r="D43">
            <v>0</v>
          </cell>
          <cell r="E43">
            <v>0</v>
          </cell>
          <cell r="F43">
            <v>0</v>
          </cell>
          <cell r="G43">
            <v>0</v>
          </cell>
          <cell r="H43">
            <v>0</v>
          </cell>
          <cell r="I43">
            <v>0</v>
          </cell>
          <cell r="J43">
            <v>462.74300000000011</v>
          </cell>
          <cell r="K43">
            <v>708.06</v>
          </cell>
          <cell r="L43">
            <v>953</v>
          </cell>
          <cell r="M43">
            <v>1146</v>
          </cell>
          <cell r="N43">
            <v>1453</v>
          </cell>
          <cell r="O43">
            <v>2195</v>
          </cell>
          <cell r="P43">
            <v>3439</v>
          </cell>
          <cell r="Q43">
            <v>4462</v>
          </cell>
        </row>
        <row r="44">
          <cell r="C44">
            <v>0</v>
          </cell>
          <cell r="D44">
            <v>0</v>
          </cell>
          <cell r="E44">
            <v>0</v>
          </cell>
          <cell r="F44">
            <v>0</v>
          </cell>
          <cell r="G44">
            <v>0</v>
          </cell>
          <cell r="H44">
            <v>0</v>
          </cell>
          <cell r="I44">
            <v>0</v>
          </cell>
          <cell r="J44">
            <v>235.386</v>
          </cell>
          <cell r="K44">
            <v>352.15300000000002</v>
          </cell>
          <cell r="L44">
            <v>470</v>
          </cell>
          <cell r="M44">
            <v>610</v>
          </cell>
          <cell r="N44">
            <v>860</v>
          </cell>
          <cell r="O44">
            <v>1432</v>
          </cell>
          <cell r="P44">
            <v>1925</v>
          </cell>
          <cell r="Q44">
            <v>2798</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698.12900000000013</v>
          </cell>
          <cell r="K46">
            <v>1060.213</v>
          </cell>
          <cell r="L46">
            <v>1423</v>
          </cell>
          <cell r="M46">
            <v>1756</v>
          </cell>
          <cell r="N46">
            <v>2313</v>
          </cell>
          <cell r="O46">
            <v>3627</v>
          </cell>
          <cell r="P46">
            <v>5364</v>
          </cell>
          <cell r="Q46">
            <v>7260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78.462000000000003</v>
          </cell>
          <cell r="L49">
            <v>195.84633333333335</v>
          </cell>
          <cell r="M49">
            <v>352.51299999999998</v>
          </cell>
          <cell r="N49">
            <v>477.38433333333336</v>
          </cell>
          <cell r="O49">
            <v>646.66666666666663</v>
          </cell>
          <cell r="P49">
            <v>967.33333333333337</v>
          </cell>
          <cell r="Q49">
            <v>1405.6666666666667</v>
          </cell>
        </row>
        <row r="50">
          <cell r="C50">
            <v>0</v>
          </cell>
          <cell r="D50">
            <v>0</v>
          </cell>
          <cell r="E50">
            <v>0</v>
          </cell>
          <cell r="F50">
            <v>0</v>
          </cell>
          <cell r="G50">
            <v>0</v>
          </cell>
          <cell r="H50">
            <v>0</v>
          </cell>
          <cell r="I50">
            <v>0</v>
          </cell>
          <cell r="J50">
            <v>0</v>
          </cell>
          <cell r="K50">
            <v>0</v>
          </cell>
          <cell r="L50">
            <v>0</v>
          </cell>
          <cell r="M50">
            <v>90</v>
          </cell>
          <cell r="N50">
            <v>46</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-78.462000000000003</v>
          </cell>
          <cell r="L55">
            <v>-195.84633333333335</v>
          </cell>
          <cell r="M55">
            <v>-262.51299999999998</v>
          </cell>
          <cell r="N55">
            <v>-431.38433333333336</v>
          </cell>
          <cell r="O55">
            <v>-646.66666666666663</v>
          </cell>
          <cell r="P55">
            <v>-967.33333333333337</v>
          </cell>
          <cell r="Q55">
            <v>-1405.6666666666667</v>
          </cell>
        </row>
        <row r="57">
          <cell r="C57">
            <v>0</v>
          </cell>
          <cell r="D57">
            <v>0</v>
          </cell>
          <cell r="E57">
            <v>0</v>
          </cell>
          <cell r="F57">
            <v>0</v>
          </cell>
          <cell r="G57">
            <v>0</v>
          </cell>
          <cell r="H57">
            <v>0</v>
          </cell>
          <cell r="I57">
            <v>0</v>
          </cell>
          <cell r="J57">
            <v>698.12900000000013</v>
          </cell>
          <cell r="K57">
            <v>981.75099999999998</v>
          </cell>
          <cell r="L57">
            <v>1227.1536666666666</v>
          </cell>
          <cell r="M57">
            <v>1493.4870000000001</v>
          </cell>
          <cell r="N57">
            <v>1881.6156666666666</v>
          </cell>
          <cell r="O57">
            <v>2980.3333333333335</v>
          </cell>
          <cell r="P57">
            <v>4396.666666666667</v>
          </cell>
          <cell r="Q57">
            <v>5854.333333333333</v>
          </cell>
        </row>
        <row r="58">
          <cell r="C58">
            <v>0</v>
          </cell>
          <cell r="D58">
            <v>0</v>
          </cell>
          <cell r="E58">
            <v>0</v>
          </cell>
          <cell r="F58">
            <v>0</v>
          </cell>
          <cell r="G58">
            <v>0</v>
          </cell>
          <cell r="H58">
            <v>0</v>
          </cell>
          <cell r="I58">
            <v>0</v>
          </cell>
          <cell r="J58">
            <v>0</v>
          </cell>
          <cell r="K58">
            <v>0</v>
          </cell>
          <cell r="L58">
            <v>75</v>
          </cell>
          <cell r="M58">
            <v>102</v>
          </cell>
          <cell r="N58">
            <v>191</v>
          </cell>
          <cell r="O58">
            <v>320</v>
          </cell>
          <cell r="P58">
            <v>443</v>
          </cell>
          <cell r="Q58">
            <v>703</v>
          </cell>
        </row>
        <row r="59">
          <cell r="C59">
            <v>0</v>
          </cell>
          <cell r="D59">
            <v>0</v>
          </cell>
          <cell r="E59">
            <v>0</v>
          </cell>
          <cell r="F59">
            <v>0</v>
          </cell>
          <cell r="G59">
            <v>0</v>
          </cell>
          <cell r="H59">
            <v>0</v>
          </cell>
          <cell r="I59">
            <v>0</v>
          </cell>
          <cell r="J59">
            <v>16.463000000000001</v>
          </cell>
          <cell r="K59">
            <v>10.608000000000001</v>
          </cell>
          <cell r="L59">
            <v>0</v>
          </cell>
          <cell r="M59">
            <v>16</v>
          </cell>
          <cell r="N59">
            <v>16</v>
          </cell>
          <cell r="O59">
            <v>19</v>
          </cell>
          <cell r="P59">
            <v>259</v>
          </cell>
          <cell r="Q59">
            <v>230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15</v>
          </cell>
          <cell r="Q61">
            <v>28</v>
          </cell>
        </row>
        <row r="63">
          <cell r="C63">
            <v>0</v>
          </cell>
          <cell r="D63">
            <v>0</v>
          </cell>
          <cell r="E63">
            <v>0</v>
          </cell>
          <cell r="F63">
            <v>0</v>
          </cell>
          <cell r="G63">
            <v>0</v>
          </cell>
          <cell r="H63">
            <v>0</v>
          </cell>
          <cell r="I63">
            <v>0</v>
          </cell>
          <cell r="J63">
            <v>-37.265000000000001</v>
          </cell>
          <cell r="K63">
            <v>-55.893999999999998</v>
          </cell>
          <cell r="L63">
            <v>0</v>
          </cell>
          <cell r="M63">
            <v>0</v>
          </cell>
          <cell r="N63">
            <v>0</v>
          </cell>
          <cell r="O63">
            <v>0</v>
          </cell>
          <cell r="P63">
            <v>0</v>
          </cell>
          <cell r="Q63">
            <v>0</v>
          </cell>
        </row>
        <row r="64">
          <cell r="C64">
            <v>0</v>
          </cell>
          <cell r="D64">
            <v>0</v>
          </cell>
          <cell r="E64">
            <v>0</v>
          </cell>
          <cell r="F64">
            <v>0</v>
          </cell>
          <cell r="G64">
            <v>0</v>
          </cell>
          <cell r="H64">
            <v>0</v>
          </cell>
          <cell r="I64">
            <v>0</v>
          </cell>
          <cell r="J64">
            <v>78.073700724974785</v>
          </cell>
          <cell r="K64">
            <v>90.975734606464272</v>
          </cell>
          <cell r="L64">
            <v>63.683684986914109</v>
          </cell>
          <cell r="M64">
            <v>87.466034843205591</v>
          </cell>
          <cell r="N64">
            <v>83.563260729118596</v>
          </cell>
          <cell r="O64">
            <v>169.71017066193156</v>
          </cell>
          <cell r="P64">
            <v>270.79789235980428</v>
          </cell>
          <cell r="Q64">
            <v>339.34082712753502</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-11.552225569750865</v>
          </cell>
          <cell r="K66">
            <v>-17.886090735787722</v>
          </cell>
          <cell r="L66">
            <v>0</v>
          </cell>
          <cell r="M66">
            <v>0</v>
          </cell>
          <cell r="N66">
            <v>0</v>
          </cell>
          <cell r="O66">
            <v>0</v>
          </cell>
          <cell r="P66">
            <v>0</v>
          </cell>
          <cell r="Q66">
            <v>0</v>
          </cell>
        </row>
        <row r="67">
          <cell r="C67">
            <v>0</v>
          </cell>
          <cell r="D67">
            <v>0</v>
          </cell>
          <cell r="E67">
            <v>0</v>
          </cell>
          <cell r="F67">
            <v>0</v>
          </cell>
          <cell r="G67">
            <v>0</v>
          </cell>
          <cell r="H67">
            <v>0</v>
          </cell>
          <cell r="I67">
            <v>0</v>
          </cell>
          <cell r="J67">
            <v>-103.78647515522391</v>
          </cell>
          <cell r="K67">
            <v>-128.98364387067653</v>
          </cell>
          <cell r="L67">
            <v>-63.683684986914109</v>
          </cell>
          <cell r="M67">
            <v>-87.466034843205591</v>
          </cell>
          <cell r="N67">
            <v>-83.563260729118596</v>
          </cell>
          <cell r="O67">
            <v>-169.71017066193156</v>
          </cell>
          <cell r="P67">
            <v>-270.79789235980428</v>
          </cell>
          <cell r="Q67">
            <v>-339.34082712753502</v>
          </cell>
        </row>
        <row r="69">
          <cell r="C69">
            <v>0</v>
          </cell>
          <cell r="D69">
            <v>0</v>
          </cell>
          <cell r="E69">
            <v>0</v>
          </cell>
          <cell r="F69">
            <v>0</v>
          </cell>
          <cell r="G69">
            <v>0</v>
          </cell>
          <cell r="H69">
            <v>0</v>
          </cell>
          <cell r="I69">
            <v>0</v>
          </cell>
          <cell r="J69">
            <v>610.80552484477619</v>
          </cell>
          <cell r="K69">
            <v>863.37535612932334</v>
          </cell>
          <cell r="L69">
            <v>1088.4699816797524</v>
          </cell>
          <cell r="M69">
            <v>1320.0209651567945</v>
          </cell>
          <cell r="N69">
            <v>1623.052405937548</v>
          </cell>
          <cell r="O69">
            <v>2509.623162671402</v>
          </cell>
          <cell r="P69">
            <v>3956.8687743068631</v>
          </cell>
          <cell r="Q69">
            <v>5069.9925062057982</v>
          </cell>
        </row>
        <row r="71">
          <cell r="C71" t="str">
            <v>P-14</v>
          </cell>
          <cell r="D71" t="str">
            <v>P-13</v>
          </cell>
          <cell r="E71" t="str">
            <v>P-12</v>
          </cell>
          <cell r="F71" t="str">
            <v>P-11</v>
          </cell>
          <cell r="G71" t="str">
            <v>P-10</v>
          </cell>
          <cell r="H71" t="str">
            <v>P-9</v>
          </cell>
          <cell r="I71" t="str">
            <v>P-8</v>
          </cell>
          <cell r="J71" t="str">
            <v>P-7</v>
          </cell>
          <cell r="K71" t="str">
            <v>P-6</v>
          </cell>
          <cell r="L71" t="str">
            <v>P-5</v>
          </cell>
          <cell r="M71" t="str">
            <v>P-4</v>
          </cell>
          <cell r="N71" t="str">
            <v>P-3</v>
          </cell>
          <cell r="O71" t="str">
            <v>P-2</v>
          </cell>
          <cell r="P71" t="str">
            <v>P-1</v>
          </cell>
          <cell r="Q71" t="str">
            <v>Present (P)</v>
          </cell>
        </row>
        <row r="72">
          <cell r="C72">
            <v>1984</v>
          </cell>
          <cell r="D72">
            <v>1985</v>
          </cell>
          <cell r="E72">
            <v>1986</v>
          </cell>
          <cell r="F72">
            <v>1987</v>
          </cell>
          <cell r="G72">
            <v>1988</v>
          </cell>
          <cell r="H72">
            <v>1989</v>
          </cell>
          <cell r="I72">
            <v>1990</v>
          </cell>
          <cell r="J72">
            <v>1991</v>
          </cell>
          <cell r="K72">
            <v>1992</v>
          </cell>
          <cell r="L72">
            <v>1993</v>
          </cell>
          <cell r="M72">
            <v>1994</v>
          </cell>
          <cell r="N72">
            <v>1995</v>
          </cell>
          <cell r="O72">
            <v>1996</v>
          </cell>
          <cell r="P72">
            <v>1997</v>
          </cell>
          <cell r="Q72">
            <v>1998</v>
          </cell>
        </row>
        <row r="73">
          <cell r="C73">
            <v>0</v>
          </cell>
          <cell r="D73">
            <v>0</v>
          </cell>
          <cell r="E73">
            <v>0</v>
          </cell>
          <cell r="F73">
            <v>0</v>
          </cell>
          <cell r="G73">
            <v>0</v>
          </cell>
          <cell r="H73">
            <v>0</v>
          </cell>
          <cell r="I73">
            <v>0</v>
          </cell>
          <cell r="J73">
            <v>1843.432</v>
          </cell>
          <cell r="K73">
            <v>2758.7249999999999</v>
          </cell>
          <cell r="L73">
            <v>3753</v>
          </cell>
          <cell r="M73">
            <v>4649</v>
          </cell>
          <cell r="N73">
            <v>5937</v>
          </cell>
          <cell r="O73">
            <v>8671</v>
          </cell>
          <cell r="P73">
            <v>11358</v>
          </cell>
          <cell r="Q73">
            <v>14484</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1843.432</v>
          </cell>
          <cell r="K76">
            <v>2758.7249999999999</v>
          </cell>
          <cell r="L76">
            <v>3753</v>
          </cell>
          <cell r="M76">
            <v>4649</v>
          </cell>
          <cell r="N76">
            <v>5937</v>
          </cell>
          <cell r="O76">
            <v>8671</v>
          </cell>
          <cell r="P76">
            <v>11358</v>
          </cell>
          <cell r="Q76">
            <v>14484</v>
          </cell>
        </row>
        <row r="77">
          <cell r="C77">
            <v>0</v>
          </cell>
          <cell r="D77">
            <v>0</v>
          </cell>
          <cell r="E77">
            <v>0</v>
          </cell>
          <cell r="F77">
            <v>0</v>
          </cell>
          <cell r="G77">
            <v>0</v>
          </cell>
          <cell r="H77">
            <v>0</v>
          </cell>
          <cell r="I77">
            <v>0</v>
          </cell>
          <cell r="J77">
            <v>362.589</v>
          </cell>
          <cell r="K77">
            <v>466.42399999999998</v>
          </cell>
          <cell r="L77">
            <v>633</v>
          </cell>
          <cell r="M77">
            <v>763</v>
          </cell>
          <cell r="N77">
            <v>877</v>
          </cell>
          <cell r="O77">
            <v>1188</v>
          </cell>
          <cell r="P77">
            <v>1085</v>
          </cell>
          <cell r="Q77">
            <v>1197</v>
          </cell>
        </row>
        <row r="78">
          <cell r="C78">
            <v>0</v>
          </cell>
          <cell r="D78">
            <v>0</v>
          </cell>
          <cell r="E78">
            <v>0</v>
          </cell>
          <cell r="F78">
            <v>0</v>
          </cell>
          <cell r="G78">
            <v>0</v>
          </cell>
          <cell r="H78">
            <v>0</v>
          </cell>
          <cell r="I78">
            <v>0</v>
          </cell>
          <cell r="J78">
            <v>1480.8430000000001</v>
          </cell>
          <cell r="K78">
            <v>2292.3009999999999</v>
          </cell>
          <cell r="L78">
            <v>3120</v>
          </cell>
          <cell r="M78">
            <v>3886</v>
          </cell>
          <cell r="N78">
            <v>5060</v>
          </cell>
          <cell r="O78">
            <v>7483</v>
          </cell>
          <cell r="P78">
            <v>10273</v>
          </cell>
          <cell r="Q78">
            <v>13287</v>
          </cell>
        </row>
        <row r="79">
          <cell r="C79">
            <v>0</v>
          </cell>
          <cell r="D79">
            <v>0</v>
          </cell>
          <cell r="E79">
            <v>0</v>
          </cell>
          <cell r="F79">
            <v>0</v>
          </cell>
          <cell r="G79">
            <v>0</v>
          </cell>
          <cell r="H79">
            <v>0</v>
          </cell>
          <cell r="I79">
            <v>0</v>
          </cell>
          <cell r="J79">
            <v>595.61500000000001</v>
          </cell>
          <cell r="K79">
            <v>944.1690000000001</v>
          </cell>
          <cell r="L79">
            <v>1324</v>
          </cell>
          <cell r="M79">
            <v>1550</v>
          </cell>
          <cell r="N79">
            <v>2162</v>
          </cell>
          <cell r="O79">
            <v>2973</v>
          </cell>
          <cell r="P79">
            <v>3218</v>
          </cell>
          <cell r="Q79">
            <v>3845</v>
          </cell>
        </row>
        <row r="80">
          <cell r="C80">
            <v>0</v>
          </cell>
          <cell r="D80">
            <v>0</v>
          </cell>
          <cell r="E80">
            <v>0</v>
          </cell>
          <cell r="F80">
            <v>0</v>
          </cell>
          <cell r="G80">
            <v>0</v>
          </cell>
          <cell r="H80">
            <v>0</v>
          </cell>
          <cell r="I80">
            <v>0</v>
          </cell>
          <cell r="J80">
            <v>235.386</v>
          </cell>
          <cell r="K80">
            <v>352.15300000000002</v>
          </cell>
          <cell r="L80">
            <v>470</v>
          </cell>
          <cell r="M80">
            <v>610</v>
          </cell>
          <cell r="N80">
            <v>860</v>
          </cell>
          <cell r="O80">
            <v>1432</v>
          </cell>
          <cell r="P80">
            <v>1925</v>
          </cell>
          <cell r="Q80">
            <v>2798</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1193.5899999999999</v>
          </cell>
          <cell r="K82">
            <v>1762.7460000000001</v>
          </cell>
          <cell r="L82">
            <v>2427</v>
          </cell>
          <cell r="M82">
            <v>2923</v>
          </cell>
          <cell r="N82">
            <v>3899</v>
          </cell>
          <cell r="O82">
            <v>5593</v>
          </cell>
          <cell r="P82">
            <v>6228</v>
          </cell>
          <cell r="Q82">
            <v>7840</v>
          </cell>
        </row>
        <row r="84">
          <cell r="C84">
            <v>0</v>
          </cell>
          <cell r="D84">
            <v>0</v>
          </cell>
          <cell r="E84">
            <v>0</v>
          </cell>
          <cell r="F84">
            <v>0</v>
          </cell>
          <cell r="G84">
            <v>0</v>
          </cell>
          <cell r="H84">
            <v>0</v>
          </cell>
          <cell r="I84">
            <v>0</v>
          </cell>
          <cell r="J84">
            <v>649.8420000000001</v>
          </cell>
          <cell r="K84">
            <v>995.97899999999981</v>
          </cell>
          <cell r="L84">
            <v>1326</v>
          </cell>
          <cell r="M84">
            <v>1726</v>
          </cell>
          <cell r="N84">
            <v>2038</v>
          </cell>
          <cell r="O84">
            <v>3078</v>
          </cell>
          <cell r="P84">
            <v>5130</v>
          </cell>
          <cell r="Q84">
            <v>6644</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-37.265000000000001</v>
          </cell>
          <cell r="K86">
            <v>-55.893999999999998</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90</v>
          </cell>
          <cell r="N87">
            <v>46</v>
          </cell>
          <cell r="O87">
            <v>0</v>
          </cell>
          <cell r="P87">
            <v>0</v>
          </cell>
          <cell r="Q87">
            <v>0</v>
          </cell>
        </row>
        <row r="88">
          <cell r="C88">
            <v>0</v>
          </cell>
          <cell r="D88">
            <v>0</v>
          </cell>
          <cell r="E88">
            <v>0</v>
          </cell>
          <cell r="F88">
            <v>0</v>
          </cell>
          <cell r="G88">
            <v>0</v>
          </cell>
          <cell r="H88">
            <v>0</v>
          </cell>
          <cell r="I88">
            <v>0</v>
          </cell>
          <cell r="J88">
            <v>0</v>
          </cell>
          <cell r="K88">
            <v>0</v>
          </cell>
          <cell r="L88">
            <v>75</v>
          </cell>
          <cell r="M88">
            <v>102</v>
          </cell>
          <cell r="N88">
            <v>191</v>
          </cell>
          <cell r="O88">
            <v>320</v>
          </cell>
          <cell r="P88">
            <v>443</v>
          </cell>
          <cell r="Q88">
            <v>703</v>
          </cell>
        </row>
        <row r="89">
          <cell r="C89">
            <v>0</v>
          </cell>
          <cell r="D89">
            <v>0</v>
          </cell>
          <cell r="E89">
            <v>0</v>
          </cell>
          <cell r="F89">
            <v>0</v>
          </cell>
          <cell r="G89">
            <v>0</v>
          </cell>
          <cell r="H89">
            <v>0</v>
          </cell>
          <cell r="I89">
            <v>0</v>
          </cell>
          <cell r="J89">
            <v>16.463000000000001</v>
          </cell>
          <cell r="K89">
            <v>10.608000000000001</v>
          </cell>
          <cell r="L89">
            <v>0</v>
          </cell>
          <cell r="M89">
            <v>16</v>
          </cell>
          <cell r="N89">
            <v>16</v>
          </cell>
          <cell r="O89">
            <v>19</v>
          </cell>
          <cell r="P89">
            <v>259</v>
          </cell>
          <cell r="Q89">
            <v>230</v>
          </cell>
        </row>
        <row r="90">
          <cell r="C90">
            <v>0</v>
          </cell>
          <cell r="D90">
            <v>0</v>
          </cell>
          <cell r="E90">
            <v>0</v>
          </cell>
          <cell r="F90">
            <v>0</v>
          </cell>
          <cell r="G90">
            <v>0</v>
          </cell>
          <cell r="H90">
            <v>0</v>
          </cell>
          <cell r="I90">
            <v>0</v>
          </cell>
          <cell r="J90">
            <v>670.64400000000012</v>
          </cell>
          <cell r="K90">
            <v>1041.2649999999999</v>
          </cell>
          <cell r="L90">
            <v>1401</v>
          </cell>
          <cell r="M90">
            <v>1722</v>
          </cell>
          <cell r="N90">
            <v>2167</v>
          </cell>
          <cell r="O90">
            <v>3379</v>
          </cell>
          <cell r="P90">
            <v>5314</v>
          </cell>
          <cell r="Q90">
            <v>7117</v>
          </cell>
        </row>
        <row r="91">
          <cell r="C91">
            <v>0</v>
          </cell>
          <cell r="D91">
            <v>0</v>
          </cell>
          <cell r="E91">
            <v>0</v>
          </cell>
          <cell r="F91">
            <v>0</v>
          </cell>
          <cell r="G91">
            <v>0</v>
          </cell>
          <cell r="H91">
            <v>0</v>
          </cell>
          <cell r="I91">
            <v>0</v>
          </cell>
          <cell r="J91">
            <v>207.90100000000001</v>
          </cell>
          <cell r="K91">
            <v>333.20499999999998</v>
          </cell>
          <cell r="L91">
            <v>448</v>
          </cell>
          <cell r="M91">
            <v>576</v>
          </cell>
          <cell r="N91">
            <v>714</v>
          </cell>
          <cell r="O91">
            <v>1184</v>
          </cell>
          <cell r="P91">
            <v>1860</v>
          </cell>
          <cell r="Q91">
            <v>2627</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15</v>
          </cell>
          <cell r="Q93">
            <v>28</v>
          </cell>
        </row>
        <row r="94">
          <cell r="C94">
            <v>0</v>
          </cell>
          <cell r="D94">
            <v>0</v>
          </cell>
          <cell r="E94">
            <v>0</v>
          </cell>
          <cell r="F94">
            <v>0</v>
          </cell>
          <cell r="G94">
            <v>0</v>
          </cell>
          <cell r="H94">
            <v>0</v>
          </cell>
          <cell r="I94">
            <v>0</v>
          </cell>
          <cell r="J94">
            <v>462.74300000000011</v>
          </cell>
          <cell r="K94">
            <v>708.06</v>
          </cell>
          <cell r="L94">
            <v>953</v>
          </cell>
          <cell r="M94">
            <v>1146</v>
          </cell>
          <cell r="N94">
            <v>1453</v>
          </cell>
          <cell r="O94">
            <v>2195</v>
          </cell>
          <cell r="P94">
            <v>3439</v>
          </cell>
          <cell r="Q94">
            <v>4462</v>
          </cell>
        </row>
        <row r="95">
          <cell r="N95">
            <v>-671.71600000000001</v>
          </cell>
          <cell r="O95">
            <v>-1055.02</v>
          </cell>
        </row>
        <row r="96">
          <cell r="C96">
            <v>0</v>
          </cell>
          <cell r="D96">
            <v>0</v>
          </cell>
          <cell r="E96">
            <v>0</v>
          </cell>
          <cell r="F96">
            <v>0</v>
          </cell>
          <cell r="G96">
            <v>0</v>
          </cell>
          <cell r="H96">
            <v>0</v>
          </cell>
          <cell r="I96">
            <v>0</v>
          </cell>
          <cell r="J96">
            <v>0.22427542553603974</v>
          </cell>
          <cell r="K96">
            <v>0.33348718914845515</v>
          </cell>
          <cell r="L96">
            <v>0.43012402736906719</v>
          </cell>
          <cell r="M96">
            <v>0.50392232736482923</v>
          </cell>
          <cell r="N96">
            <v>0.62389433728938737</v>
          </cell>
          <cell r="O96">
            <v>0.92814978942205228</v>
          </cell>
          <cell r="P96">
            <v>1.3105945121951219</v>
          </cell>
          <cell r="Q96">
            <v>1.67</v>
          </cell>
        </row>
        <row r="97">
          <cell r="C97">
            <v>0</v>
          </cell>
          <cell r="D97">
            <v>0</v>
          </cell>
          <cell r="E97">
            <v>0</v>
          </cell>
          <cell r="F97">
            <v>0</v>
          </cell>
          <cell r="G97">
            <v>0</v>
          </cell>
          <cell r="H97">
            <v>0</v>
          </cell>
          <cell r="I97">
            <v>0</v>
          </cell>
          <cell r="J97">
            <v>0.31000202790153941</v>
          </cell>
          <cell r="K97">
            <v>0.32000019207406383</v>
          </cell>
          <cell r="L97">
            <v>0.31977159172019987</v>
          </cell>
          <cell r="M97">
            <v>0.33449477351916374</v>
          </cell>
          <cell r="N97">
            <v>0.32948777111213662</v>
          </cell>
          <cell r="O97">
            <v>0.35039952648712636</v>
          </cell>
          <cell r="P97">
            <v>0.35001881821603309</v>
          </cell>
          <cell r="Q97">
            <v>0.36911620064633971</v>
          </cell>
        </row>
        <row r="98">
          <cell r="C98">
            <v>0</v>
          </cell>
          <cell r="D98">
            <v>0</v>
          </cell>
          <cell r="E98">
            <v>0</v>
          </cell>
          <cell r="F98">
            <v>0</v>
          </cell>
          <cell r="G98">
            <v>0</v>
          </cell>
          <cell r="H98">
            <v>0</v>
          </cell>
          <cell r="I98">
            <v>0</v>
          </cell>
          <cell r="J98">
            <v>0.31000202790153936</v>
          </cell>
          <cell r="K98">
            <v>0.32000019207406377</v>
          </cell>
          <cell r="L98">
            <v>0.31977159172019987</v>
          </cell>
          <cell r="M98">
            <v>0.33449477351916379</v>
          </cell>
          <cell r="N98">
            <v>0.32948777111213662</v>
          </cell>
          <cell r="O98">
            <v>0.35039952648712636</v>
          </cell>
          <cell r="P98">
            <v>0.35001881821603315</v>
          </cell>
          <cell r="Q98">
            <v>0.36911620064633976</v>
          </cell>
        </row>
        <row r="100">
          <cell r="C100">
            <v>0</v>
          </cell>
          <cell r="D100">
            <v>0</v>
          </cell>
          <cell r="E100">
            <v>0</v>
          </cell>
          <cell r="F100">
            <v>0</v>
          </cell>
          <cell r="G100">
            <v>0</v>
          </cell>
          <cell r="H100">
            <v>0</v>
          </cell>
          <cell r="I100">
            <v>0</v>
          </cell>
          <cell r="J100">
            <v>75.762</v>
          </cell>
          <cell r="K100">
            <v>112.321</v>
          </cell>
          <cell r="L100">
            <v>151</v>
          </cell>
          <cell r="M100">
            <v>237</v>
          </cell>
          <cell r="N100">
            <v>269</v>
          </cell>
          <cell r="O100">
            <v>480</v>
          </cell>
          <cell r="P100">
            <v>480</v>
          </cell>
          <cell r="Q100">
            <v>1024</v>
          </cell>
        </row>
        <row r="101">
          <cell r="C101">
            <v>0</v>
          </cell>
          <cell r="D101">
            <v>0</v>
          </cell>
          <cell r="E101">
            <v>0</v>
          </cell>
          <cell r="F101">
            <v>0</v>
          </cell>
          <cell r="G101">
            <v>0</v>
          </cell>
          <cell r="H101">
            <v>0</v>
          </cell>
          <cell r="I101">
            <v>0</v>
          </cell>
          <cell r="J101">
            <v>649.8420000000001</v>
          </cell>
          <cell r="K101">
            <v>995.97899999999981</v>
          </cell>
          <cell r="L101">
            <v>1326</v>
          </cell>
          <cell r="M101">
            <v>1726</v>
          </cell>
          <cell r="N101">
            <v>2038</v>
          </cell>
          <cell r="O101">
            <v>3078</v>
          </cell>
          <cell r="P101">
            <v>5130</v>
          </cell>
          <cell r="Q101">
            <v>6644</v>
          </cell>
        </row>
        <row r="102">
          <cell r="C102">
            <v>0</v>
          </cell>
          <cell r="D102">
            <v>0</v>
          </cell>
          <cell r="E102">
            <v>0</v>
          </cell>
          <cell r="F102">
            <v>0</v>
          </cell>
          <cell r="G102">
            <v>0</v>
          </cell>
          <cell r="H102">
            <v>0</v>
          </cell>
          <cell r="I102">
            <v>0</v>
          </cell>
          <cell r="J102">
            <v>725.60400000000004</v>
          </cell>
          <cell r="K102">
            <v>1108.2999999999997</v>
          </cell>
          <cell r="L102">
            <v>1477</v>
          </cell>
          <cell r="M102">
            <v>1963</v>
          </cell>
          <cell r="N102">
            <v>2307</v>
          </cell>
          <cell r="O102">
            <v>3558</v>
          </cell>
          <cell r="P102">
            <v>5610</v>
          </cell>
          <cell r="Q102">
            <v>7668</v>
          </cell>
        </row>
        <row r="103">
          <cell r="C103">
            <v>0</v>
          </cell>
          <cell r="D103">
            <v>0</v>
          </cell>
          <cell r="E103">
            <v>0</v>
          </cell>
          <cell r="F103">
            <v>0</v>
          </cell>
          <cell r="G103">
            <v>0</v>
          </cell>
          <cell r="H103">
            <v>0</v>
          </cell>
          <cell r="I103">
            <v>0</v>
          </cell>
          <cell r="J103">
            <v>286.827</v>
          </cell>
          <cell r="K103">
            <v>354.10299999999995</v>
          </cell>
          <cell r="L103">
            <v>482</v>
          </cell>
          <cell r="M103">
            <v>526</v>
          </cell>
          <cell r="N103">
            <v>608</v>
          </cell>
          <cell r="O103">
            <v>708</v>
          </cell>
          <cell r="P103">
            <v>605</v>
          </cell>
          <cell r="Q103">
            <v>173</v>
          </cell>
        </row>
        <row r="104">
          <cell r="C104">
            <v>0</v>
          </cell>
          <cell r="D104">
            <v>0</v>
          </cell>
          <cell r="E104">
            <v>0</v>
          </cell>
          <cell r="F104">
            <v>0</v>
          </cell>
          <cell r="G104">
            <v>0</v>
          </cell>
          <cell r="H104">
            <v>0</v>
          </cell>
          <cell r="I104">
            <v>0</v>
          </cell>
          <cell r="J104">
            <v>75.762</v>
          </cell>
          <cell r="K104">
            <v>112.321</v>
          </cell>
          <cell r="L104">
            <v>151</v>
          </cell>
          <cell r="M104">
            <v>237</v>
          </cell>
          <cell r="N104">
            <v>269</v>
          </cell>
          <cell r="O104">
            <v>480</v>
          </cell>
          <cell r="P104">
            <v>480</v>
          </cell>
          <cell r="Q104">
            <v>1024</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8">
          <cell r="C108" t="str">
            <v xml:space="preserve">--  </v>
          </cell>
          <cell r="D108" t="str">
            <v xml:space="preserve">--  </v>
          </cell>
          <cell r="E108" t="str">
            <v xml:space="preserve">--  </v>
          </cell>
          <cell r="F108" t="str">
            <v xml:space="preserve">--  </v>
          </cell>
          <cell r="G108" t="str">
            <v xml:space="preserve">--  </v>
          </cell>
          <cell r="H108" t="str">
            <v xml:space="preserve">--  </v>
          </cell>
          <cell r="I108" t="str">
            <v xml:space="preserve">--  </v>
          </cell>
          <cell r="J108">
            <v>0.8033076348897058</v>
          </cell>
          <cell r="K108">
            <v>0.83092769304660663</v>
          </cell>
          <cell r="L108">
            <v>0.83133493205435649</v>
          </cell>
          <cell r="M108">
            <v>0.83587868358786832</v>
          </cell>
          <cell r="N108">
            <v>0.85228229745662798</v>
          </cell>
          <cell r="O108">
            <v>0.86299158113251062</v>
          </cell>
          <cell r="P108">
            <v>0.90447261841873572</v>
          </cell>
          <cell r="Q108">
            <v>0.91735708367854185</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v>0.39361582092531761</v>
          </cell>
          <cell r="K109">
            <v>0.40174355907167253</v>
          </cell>
          <cell r="L109">
            <v>0.39355182520650145</v>
          </cell>
          <cell r="M109">
            <v>0.42224134222413423</v>
          </cell>
          <cell r="N109">
            <v>0.38858009095502777</v>
          </cell>
          <cell r="O109">
            <v>0.41033329489101605</v>
          </cell>
          <cell r="P109">
            <v>0.49392498679344954</v>
          </cell>
          <cell r="Q109">
            <v>0.52941176470588236</v>
          </cell>
        </row>
        <row r="110">
          <cell r="C110" t="str">
            <v xml:space="preserve">--  </v>
          </cell>
          <cell r="D110" t="str">
            <v xml:space="preserve">--  </v>
          </cell>
          <cell r="E110" t="str">
            <v xml:space="preserve">--  </v>
          </cell>
          <cell r="F110" t="str">
            <v xml:space="preserve">--  </v>
          </cell>
          <cell r="G110" t="str">
            <v xml:space="preserve">--  </v>
          </cell>
          <cell r="H110" t="str">
            <v xml:space="preserve">--  </v>
          </cell>
          <cell r="I110" t="str">
            <v xml:space="preserve">--  </v>
          </cell>
          <cell r="J110">
            <v>0.35251747826879432</v>
          </cell>
          <cell r="K110">
            <v>0.36102873610091613</v>
          </cell>
          <cell r="L110">
            <v>0.35331734612310151</v>
          </cell>
          <cell r="M110">
            <v>0.37126263712626373</v>
          </cell>
          <cell r="N110">
            <v>0.34327101229577228</v>
          </cell>
          <cell r="O110">
            <v>0.35497635797485871</v>
          </cell>
          <cell r="P110">
            <v>0.45166402535657685</v>
          </cell>
          <cell r="Q110">
            <v>0.45871306268986467</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v>0.35251747826879432</v>
          </cell>
          <cell r="K111">
            <v>0.36102873610091613</v>
          </cell>
          <cell r="L111">
            <v>0.35331734612310151</v>
          </cell>
          <cell r="M111">
            <v>0.37126263712626373</v>
          </cell>
          <cell r="N111">
            <v>0.34327101229577228</v>
          </cell>
          <cell r="O111">
            <v>0.35497635797485871</v>
          </cell>
          <cell r="P111">
            <v>0.45166402535657685</v>
          </cell>
          <cell r="Q111">
            <v>0.45871306268986467</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v>0.33134150044307359</v>
          </cell>
          <cell r="K112">
            <v>0.3129617327313608</v>
          </cell>
          <cell r="L112">
            <v>0.29002664046889221</v>
          </cell>
          <cell r="M112">
            <v>0.2839365379988803</v>
          </cell>
          <cell r="N112">
            <v>0.27337921609188948</v>
          </cell>
          <cell r="O112">
            <v>0.28942718979026666</v>
          </cell>
          <cell r="P112">
            <v>0.34837724725364172</v>
          </cell>
          <cell r="Q112">
            <v>0.35004090763641249</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v>0.25102254924510375</v>
          </cell>
          <cell r="K113">
            <v>0.2566620449664247</v>
          </cell>
          <cell r="L113">
            <v>0.25393018918198773</v>
          </cell>
          <cell r="M113">
            <v>0.24650462465046247</v>
          </cell>
          <cell r="N113">
            <v>0.24473639885464038</v>
          </cell>
          <cell r="O113">
            <v>0.25314265943951103</v>
          </cell>
          <cell r="P113">
            <v>0.30278217996126078</v>
          </cell>
          <cell r="Q113">
            <v>0.30806407069870201</v>
          </cell>
        </row>
        <row r="114">
          <cell r="C114" t="str">
            <v xml:space="preserve">--  </v>
          </cell>
          <cell r="D114" t="str">
            <v xml:space="preserve">--  </v>
          </cell>
          <cell r="E114" t="str">
            <v xml:space="preserve">--  </v>
          </cell>
          <cell r="F114" t="str">
            <v xml:space="preserve">--  </v>
          </cell>
          <cell r="G114" t="str">
            <v xml:space="preserve">--  </v>
          </cell>
          <cell r="H114" t="str">
            <v xml:space="preserve">--  </v>
          </cell>
          <cell r="I114" t="str">
            <v xml:space="preserve">--  </v>
          </cell>
          <cell r="J114">
            <v>0.32310115046283239</v>
          </cell>
          <cell r="K114">
            <v>0.34224832123535331</v>
          </cell>
          <cell r="L114">
            <v>0.35278443911537438</v>
          </cell>
          <cell r="M114">
            <v>0.33340503334050331</v>
          </cell>
          <cell r="N114">
            <v>0.36415698164055921</v>
          </cell>
          <cell r="O114">
            <v>0.34286702802444929</v>
          </cell>
          <cell r="P114">
            <v>0.28332452896636734</v>
          </cell>
          <cell r="Q114">
            <v>0.26546534106600389</v>
          </cell>
        </row>
        <row r="115">
          <cell r="C115" t="str">
            <v xml:space="preserve">--  </v>
          </cell>
          <cell r="D115" t="str">
            <v xml:space="preserve">--  </v>
          </cell>
          <cell r="E115" t="str">
            <v xml:space="preserve">--  </v>
          </cell>
          <cell r="F115" t="str">
            <v xml:space="preserve">--  </v>
          </cell>
          <cell r="G115" t="str">
            <v xml:space="preserve">--  </v>
          </cell>
          <cell r="H115" t="str">
            <v xml:space="preserve">--  </v>
          </cell>
          <cell r="I115" t="str">
            <v xml:space="preserve">--  </v>
          </cell>
          <cell r="J115">
            <v>4.1098342656523269E-2</v>
          </cell>
          <cell r="K115">
            <v>4.0714822970756417E-2</v>
          </cell>
          <cell r="L115">
            <v>4.0234479083399943E-2</v>
          </cell>
          <cell r="M115">
            <v>5.0978705097870509E-2</v>
          </cell>
          <cell r="N115">
            <v>4.5309078659255514E-2</v>
          </cell>
          <cell r="O115">
            <v>5.5356936916157305E-2</v>
          </cell>
          <cell r="P115">
            <v>4.226096143687269E-2</v>
          </cell>
          <cell r="Q115">
            <v>7.0698702016017675E-2</v>
          </cell>
        </row>
        <row r="119">
          <cell r="C119" t="str">
            <v xml:space="preserve">--  </v>
          </cell>
          <cell r="D119" t="str">
            <v xml:space="preserve">--  </v>
          </cell>
          <cell r="E119" t="str">
            <v xml:space="preserve">--  </v>
          </cell>
          <cell r="F119" t="str">
            <v xml:space="preserve">--  </v>
          </cell>
          <cell r="G119" t="str">
            <v xml:space="preserve">--  </v>
          </cell>
          <cell r="H119" t="str">
            <v xml:space="preserve">--  </v>
          </cell>
          <cell r="I119" t="str">
            <v xml:space="preserve">--  </v>
          </cell>
          <cell r="J119">
            <v>0.33134150044307359</v>
          </cell>
          <cell r="K119">
            <v>0.3129617327313608</v>
          </cell>
          <cell r="L119">
            <v>0.29002664046889221</v>
          </cell>
          <cell r="M119">
            <v>0.2839365379988803</v>
          </cell>
          <cell r="N119">
            <v>0.27337921609188948</v>
          </cell>
          <cell r="O119">
            <v>0.28942718979026666</v>
          </cell>
          <cell r="P119">
            <v>0.34837724725364172</v>
          </cell>
          <cell r="Q119">
            <v>0.35004090763641249</v>
          </cell>
        </row>
        <row r="120">
          <cell r="C120" t="str">
            <v>N/A</v>
          </cell>
          <cell r="D120" t="str">
            <v xml:space="preserve">--  </v>
          </cell>
          <cell r="E120" t="str">
            <v xml:space="preserve">--  </v>
          </cell>
          <cell r="F120" t="str">
            <v xml:space="preserve">--  </v>
          </cell>
          <cell r="G120" t="str">
            <v xml:space="preserve">--  </v>
          </cell>
          <cell r="H120" t="str">
            <v xml:space="preserve">--  </v>
          </cell>
          <cell r="I120" t="str">
            <v xml:space="preserve">--  </v>
          </cell>
          <cell r="J120">
            <v>1.8562470096051515</v>
          </cell>
          <cell r="K120">
            <v>2.2347777025918978</v>
          </cell>
          <cell r="L120">
            <v>2.2331591506220132</v>
          </cell>
          <cell r="M120">
            <v>2.3550996130135848</v>
          </cell>
          <cell r="N120">
            <v>2.1403747428329716</v>
          </cell>
          <cell r="O120">
            <v>2.6407742941489385</v>
          </cell>
          <cell r="P120">
            <v>3.6809060425884974</v>
          </cell>
          <cell r="Q120">
            <v>4.6200563950545899</v>
          </cell>
        </row>
        <row r="121">
          <cell r="C121" t="str">
            <v>N/A</v>
          </cell>
          <cell r="D121" t="str">
            <v xml:space="preserve">--  </v>
          </cell>
          <cell r="E121" t="str">
            <v xml:space="preserve">--  </v>
          </cell>
          <cell r="F121" t="str">
            <v xml:space="preserve">--  </v>
          </cell>
          <cell r="G121" t="str">
            <v xml:space="preserve">--  </v>
          </cell>
          <cell r="H121" t="str">
            <v xml:space="preserve">--  </v>
          </cell>
          <cell r="I121" t="str">
            <v xml:space="preserve">--  </v>
          </cell>
          <cell r="J121">
            <v>0.61505166935553934</v>
          </cell>
          <cell r="K121">
            <v>0.69939990207257008</v>
          </cell>
          <cell r="L121">
            <v>0.64767564608726735</v>
          </cell>
          <cell r="M121">
            <v>0.66869883076157999</v>
          </cell>
          <cell r="N121">
            <v>0.58513396933855732</v>
          </cell>
          <cell r="O121">
            <v>0.76431188282590234</v>
          </cell>
          <cell r="P121">
            <v>1.2823439145162767</v>
          </cell>
          <cell r="Q121">
            <v>1.6172087338563206</v>
          </cell>
        </row>
        <row r="122">
          <cell r="C122" t="str">
            <v>N/A</v>
          </cell>
          <cell r="D122" t="str">
            <v>N/A</v>
          </cell>
          <cell r="E122" t="str">
            <v>NM</v>
          </cell>
          <cell r="F122" t="str">
            <v>NM</v>
          </cell>
          <cell r="G122" t="str">
            <v>NM</v>
          </cell>
          <cell r="H122" t="str">
            <v>NM</v>
          </cell>
          <cell r="I122" t="str">
            <v>NM</v>
          </cell>
          <cell r="J122" t="str">
            <v>NM</v>
          </cell>
          <cell r="K122">
            <v>0.25432562418273008</v>
          </cell>
          <cell r="L122">
            <v>0.46631370761856944</v>
          </cell>
          <cell r="M122">
            <v>0.56538777747845093</v>
          </cell>
          <cell r="N122">
            <v>1.7088849457823854</v>
          </cell>
          <cell r="O122">
            <v>1.2466970766485552</v>
          </cell>
          <cell r="P122">
            <v>2.8394438714170476</v>
          </cell>
          <cell r="Q122" t="str">
            <v>NM</v>
          </cell>
        </row>
        <row r="123">
          <cell r="C123" t="str">
            <v>N/A</v>
          </cell>
          <cell r="D123" t="str">
            <v xml:space="preserve">--  </v>
          </cell>
          <cell r="E123" t="str">
            <v xml:space="preserve">--  </v>
          </cell>
          <cell r="F123" t="str">
            <v xml:space="preserve">--  </v>
          </cell>
          <cell r="G123" t="str">
            <v xml:space="preserve">--  </v>
          </cell>
          <cell r="H123" t="str">
            <v xml:space="preserve">--  </v>
          </cell>
          <cell r="I123" t="str">
            <v xml:space="preserve">--  </v>
          </cell>
          <cell r="J123" t="str">
            <v xml:space="preserve">--  </v>
          </cell>
          <cell r="K123">
            <v>8.4348232717030736E-2</v>
          </cell>
          <cell r="L123">
            <v>-5.1724255985302725E-2</v>
          </cell>
          <cell r="M123">
            <v>2.1023184674312634E-2</v>
          </cell>
          <cell r="N123">
            <v>-8.3564861423022663E-2</v>
          </cell>
          <cell r="O123">
            <v>0.17917791348734502</v>
          </cell>
          <cell r="P123">
            <v>0.51803203169037437</v>
          </cell>
          <cell r="Q123">
            <v>0.33486481934004386</v>
          </cell>
        </row>
        <row r="124">
          <cell r="C124" t="str">
            <v xml:space="preserve">--  </v>
          </cell>
          <cell r="D124" t="str">
            <v xml:space="preserve">--  </v>
          </cell>
          <cell r="E124" t="str">
            <v xml:space="preserve">--  </v>
          </cell>
          <cell r="F124" t="str">
            <v xml:space="preserve">--  </v>
          </cell>
          <cell r="G124" t="str">
            <v xml:space="preserve">--  </v>
          </cell>
          <cell r="H124" t="str">
            <v xml:space="preserve">--  </v>
          </cell>
          <cell r="I124" t="str">
            <v xml:space="preserve">--  </v>
          </cell>
          <cell r="J124">
            <v>479.19094330720065</v>
          </cell>
          <cell r="K124">
            <v>705.96118637485597</v>
          </cell>
          <cell r="L124">
            <v>871.39801667225242</v>
          </cell>
          <cell r="M124">
            <v>1064.6526224859613</v>
          </cell>
          <cell r="N124">
            <v>1285.3545016708813</v>
          </cell>
          <cell r="O124">
            <v>2093.6521206047355</v>
          </cell>
          <cell r="P124">
            <v>3584.9915151018267</v>
          </cell>
          <cell r="Q124">
            <v>4691.3010948295905</v>
          </cell>
        </row>
        <row r="125">
          <cell r="C125" t="str">
            <v xml:space="preserve">--  </v>
          </cell>
          <cell r="D125" t="str">
            <v xml:space="preserve">--  </v>
          </cell>
          <cell r="E125" t="str">
            <v xml:space="preserve">--  </v>
          </cell>
          <cell r="F125" t="str">
            <v xml:space="preserve">--  </v>
          </cell>
          <cell r="G125" t="str">
            <v xml:space="preserve">--  </v>
          </cell>
          <cell r="H125" t="str">
            <v xml:space="preserve">--  </v>
          </cell>
          <cell r="I125" t="str">
            <v xml:space="preserve">--  </v>
          </cell>
          <cell r="J125" t="str">
            <v xml:space="preserve">--  </v>
          </cell>
          <cell r="K125">
            <v>226.77024306765531</v>
          </cell>
          <cell r="L125">
            <v>165.43683029739645</v>
          </cell>
          <cell r="M125">
            <v>193.25460581370885</v>
          </cell>
          <cell r="N125">
            <v>220.70187918492002</v>
          </cell>
          <cell r="O125">
            <v>808.29761893385421</v>
          </cell>
          <cell r="P125">
            <v>1491.3393944970912</v>
          </cell>
          <cell r="Q125">
            <v>1106.3095797277638</v>
          </cell>
        </row>
        <row r="128">
          <cell r="C128" t="str">
            <v>--</v>
          </cell>
          <cell r="D128" t="str">
            <v xml:space="preserve">--  </v>
          </cell>
          <cell r="E128" t="str">
            <v xml:space="preserve">--  </v>
          </cell>
          <cell r="F128" t="str">
            <v xml:space="preserve">--  </v>
          </cell>
          <cell r="G128" t="str">
            <v xml:space="preserve">--  </v>
          </cell>
          <cell r="H128" t="str">
            <v xml:space="preserve">--  </v>
          </cell>
          <cell r="I128" t="str">
            <v xml:space="preserve">--  </v>
          </cell>
          <cell r="J128">
            <v>15.153322592312499</v>
          </cell>
          <cell r="K128">
            <v>10.744393099378991</v>
          </cell>
          <cell r="L128">
            <v>12.341030721044369</v>
          </cell>
          <cell r="M128">
            <v>11.436654366543666</v>
          </cell>
          <cell r="N128">
            <v>11.244318181818182</v>
          </cell>
          <cell r="O128">
            <v>14.214754098360656</v>
          </cell>
          <cell r="P128">
            <v>14.03088326127239</v>
          </cell>
          <cell r="Q128">
            <v>11.872131147540983</v>
          </cell>
        </row>
        <row r="129">
          <cell r="C129" t="str">
            <v>--</v>
          </cell>
          <cell r="D129" t="str">
            <v xml:space="preserve">--  </v>
          </cell>
          <cell r="E129" t="str">
            <v xml:space="preserve">--  </v>
          </cell>
          <cell r="F129" t="str">
            <v xml:space="preserve">--  </v>
          </cell>
          <cell r="G129" t="str">
            <v xml:space="preserve">--  </v>
          </cell>
          <cell r="H129" t="str">
            <v xml:space="preserve">--  </v>
          </cell>
          <cell r="I129" t="str">
            <v xml:space="preserve">--  </v>
          </cell>
          <cell r="J129">
            <v>78.267396934573085</v>
          </cell>
          <cell r="K129">
            <v>41.491137698433583</v>
          </cell>
          <cell r="L129">
            <v>35.260460462341399</v>
          </cell>
          <cell r="M129">
            <v>40.602620087336241</v>
          </cell>
          <cell r="N129">
            <v>62.494736842105262</v>
          </cell>
          <cell r="O129">
            <v>197.06818181818181</v>
          </cell>
          <cell r="P129" t="str">
            <v xml:space="preserve">--  </v>
          </cell>
          <cell r="Q129" t="str">
            <v xml:space="preserve">--  </v>
          </cell>
        </row>
        <row r="130">
          <cell r="C130" t="str">
            <v>--</v>
          </cell>
          <cell r="D130" t="str">
            <v xml:space="preserve">--  </v>
          </cell>
          <cell r="E130" t="str">
            <v xml:space="preserve">--  </v>
          </cell>
          <cell r="F130" t="str">
            <v xml:space="preserve">--  </v>
          </cell>
          <cell r="G130" t="str">
            <v xml:space="preserve">--  </v>
          </cell>
          <cell r="H130" t="str">
            <v xml:space="preserve">--  </v>
          </cell>
          <cell r="I130" t="str">
            <v xml:space="preserve">--  </v>
          </cell>
          <cell r="J130">
            <v>25.958478420787596</v>
          </cell>
          <cell r="K130">
            <v>23.128116717502184</v>
          </cell>
          <cell r="L130">
            <v>30.806358274745449</v>
          </cell>
          <cell r="M130">
            <v>78.743224932249291</v>
          </cell>
          <cell r="N130">
            <v>-44.213583556747103</v>
          </cell>
          <cell r="O130">
            <v>-12.224039247751433</v>
          </cell>
          <cell r="P130">
            <v>-7.7586206896551717</v>
          </cell>
          <cell r="Q130">
            <v>-5.8671505999206053</v>
          </cell>
        </row>
        <row r="131">
          <cell r="C131" t="str">
            <v>--</v>
          </cell>
          <cell r="D131" t="str">
            <v xml:space="preserve">--  </v>
          </cell>
          <cell r="E131" t="str">
            <v xml:space="preserve">--  </v>
          </cell>
          <cell r="F131" t="str">
            <v xml:space="preserve">--  </v>
          </cell>
          <cell r="G131" t="str">
            <v xml:space="preserve">--  </v>
          </cell>
          <cell r="H131" t="str">
            <v xml:space="preserve">--  </v>
          </cell>
          <cell r="I131" t="str">
            <v xml:space="preserve">--  </v>
          </cell>
          <cell r="J131">
            <v>6.9538411629016705</v>
          </cell>
          <cell r="K131">
            <v>4.2545964323526535</v>
          </cell>
          <cell r="L131">
            <v>4.5946756609513777</v>
          </cell>
          <cell r="M131">
            <v>5.1741791875347802</v>
          </cell>
          <cell r="N131">
            <v>5.5956644674835063</v>
          </cell>
          <cell r="O131">
            <v>6.8872120730738677</v>
          </cell>
          <cell r="P131">
            <v>8.1390182730204224</v>
          </cell>
          <cell r="Q131">
            <v>9.7535353535353533</v>
          </cell>
        </row>
        <row r="132">
          <cell r="C132" t="str">
            <v>--</v>
          </cell>
          <cell r="D132" t="str">
            <v xml:space="preserve">--  </v>
          </cell>
          <cell r="E132" t="str">
            <v xml:space="preserve">--  </v>
          </cell>
          <cell r="F132" t="str">
            <v xml:space="preserve">--  </v>
          </cell>
          <cell r="G132" t="str">
            <v xml:space="preserve">--  </v>
          </cell>
          <cell r="H132" t="str">
            <v xml:space="preserve">--  </v>
          </cell>
          <cell r="I132" t="str">
            <v xml:space="preserve">--  </v>
          </cell>
          <cell r="J132">
            <v>4.3320490631172399</v>
          </cell>
          <cell r="K132">
            <v>2.4738123239340317</v>
          </cell>
          <cell r="L132">
            <v>2.4076933275737451</v>
          </cell>
          <cell r="M132">
            <v>2.4277089899820234</v>
          </cell>
          <cell r="N132">
            <v>2.325931709595066</v>
          </cell>
          <cell r="O132">
            <v>2.3196896736222583</v>
          </cell>
          <cell r="P132">
            <v>2.4433688286544051</v>
          </cell>
          <cell r="Q132">
            <v>2.5961641871303107</v>
          </cell>
        </row>
        <row r="133">
          <cell r="C133" t="str">
            <v>--</v>
          </cell>
          <cell r="D133" t="str">
            <v xml:space="preserve">--  </v>
          </cell>
          <cell r="E133" t="str">
            <v xml:space="preserve">--  </v>
          </cell>
          <cell r="F133" t="str">
            <v xml:space="preserve">--  </v>
          </cell>
          <cell r="G133" t="str">
            <v xml:space="preserve">--  </v>
          </cell>
          <cell r="H133" t="str">
            <v xml:space="preserve">--  </v>
          </cell>
          <cell r="I133" t="str">
            <v xml:space="preserve">--  </v>
          </cell>
          <cell r="J133">
            <v>43.12626038133115</v>
          </cell>
          <cell r="K133">
            <v>29.183746872669378</v>
          </cell>
          <cell r="L133">
            <v>39.181704764340779</v>
          </cell>
          <cell r="M133">
            <v>44.488038277511961</v>
          </cell>
          <cell r="N133">
            <v>22.878612716763005</v>
          </cell>
          <cell r="O133">
            <v>13.078431372549019</v>
          </cell>
          <cell r="P133">
            <v>20.084880636604776</v>
          </cell>
          <cell r="Q133">
            <v>62.565874730021598</v>
          </cell>
        </row>
        <row r="134">
          <cell r="C134" t="str">
            <v>--</v>
          </cell>
          <cell r="D134" t="str">
            <v xml:space="preserve">--  </v>
          </cell>
          <cell r="E134" t="str">
            <v xml:space="preserve">--  </v>
          </cell>
          <cell r="F134" t="str">
            <v xml:space="preserve">--  </v>
          </cell>
          <cell r="G134" t="str">
            <v xml:space="preserve">--  </v>
          </cell>
          <cell r="H134" t="str">
            <v xml:space="preserve">--  </v>
          </cell>
          <cell r="I134" t="str">
            <v xml:space="preserve">--  </v>
          </cell>
          <cell r="J134" t="str">
            <v xml:space="preserve">--  </v>
          </cell>
          <cell r="K134" t="str">
            <v xml:space="preserve">--  </v>
          </cell>
          <cell r="L134" t="str">
            <v xml:space="preserve">--  </v>
          </cell>
          <cell r="M134" t="str">
            <v xml:space="preserve">--  </v>
          </cell>
          <cell r="N134" t="str">
            <v xml:space="preserve">--  </v>
          </cell>
          <cell r="O134" t="str">
            <v xml:space="preserve">--  </v>
          </cell>
          <cell r="P134" t="str">
            <v xml:space="preserve">--  </v>
          </cell>
          <cell r="Q134" t="str">
            <v xml:space="preserve">--  </v>
          </cell>
        </row>
        <row r="135">
          <cell r="C135" t="str">
            <v>--</v>
          </cell>
          <cell r="D135" t="str">
            <v xml:space="preserve">--  </v>
          </cell>
          <cell r="E135" t="str">
            <v xml:space="preserve">--  </v>
          </cell>
          <cell r="F135" t="str">
            <v xml:space="preserve">--  </v>
          </cell>
          <cell r="G135" t="str">
            <v xml:space="preserve">--  </v>
          </cell>
          <cell r="H135" t="str">
            <v xml:space="preserve">--  </v>
          </cell>
          <cell r="I135" t="str">
            <v xml:space="preserve">--  </v>
          </cell>
          <cell r="J135">
            <v>1.8562470096051515</v>
          </cell>
          <cell r="K135">
            <v>2.2347777025918978</v>
          </cell>
          <cell r="L135">
            <v>2.2331591506220132</v>
          </cell>
          <cell r="M135">
            <v>2.3550996130135848</v>
          </cell>
          <cell r="N135">
            <v>2.1403747428329716</v>
          </cell>
          <cell r="O135">
            <v>2.6407742941489385</v>
          </cell>
          <cell r="P135">
            <v>3.6809060425884974</v>
          </cell>
          <cell r="Q135">
            <v>4.6200563950545899</v>
          </cell>
        </row>
        <row r="138">
          <cell r="C138" t="str">
            <v xml:space="preserve">  --</v>
          </cell>
          <cell r="D138" t="str">
            <v xml:space="preserve">  --</v>
          </cell>
          <cell r="E138" t="str">
            <v xml:space="preserve">  --</v>
          </cell>
          <cell r="F138" t="str">
            <v xml:space="preserve">  --</v>
          </cell>
          <cell r="G138" t="str">
            <v xml:space="preserve">  --</v>
          </cell>
          <cell r="H138" t="str">
            <v xml:space="preserve">  --</v>
          </cell>
          <cell r="I138" t="str">
            <v xml:space="preserve">  --</v>
          </cell>
          <cell r="J138" t="e">
            <v>#DIV/0!</v>
          </cell>
          <cell r="K138">
            <v>0.49651573803644511</v>
          </cell>
          <cell r="L138">
            <v>0.36041105945681434</v>
          </cell>
          <cell r="M138">
            <v>0.23874233946176393</v>
          </cell>
          <cell r="N138">
            <v>0.27704882770488276</v>
          </cell>
          <cell r="O138">
            <v>0.46050193700522152</v>
          </cell>
          <cell r="P138">
            <v>0.30988351977857226</v>
          </cell>
          <cell r="Q138">
            <v>0.27522451135763337</v>
          </cell>
        </row>
        <row r="139">
          <cell r="C139" t="str">
            <v xml:space="preserve">  --</v>
          </cell>
          <cell r="D139" t="str">
            <v xml:space="preserve">  --</v>
          </cell>
          <cell r="E139" t="str">
            <v xml:space="preserve">  --</v>
          </cell>
          <cell r="F139" t="str">
            <v xml:space="preserve">  --</v>
          </cell>
          <cell r="G139" t="str">
            <v xml:space="preserve">  --</v>
          </cell>
          <cell r="H139" t="str">
            <v xml:space="preserve">  --</v>
          </cell>
          <cell r="I139" t="str">
            <v xml:space="preserve">  --</v>
          </cell>
          <cell r="J139" t="str">
            <v xml:space="preserve">  --</v>
          </cell>
          <cell r="K139" t="str">
            <v xml:space="preserve">  --</v>
          </cell>
          <cell r="L139" t="str">
            <v xml:space="preserve">--  </v>
          </cell>
          <cell r="M139" t="str">
            <v xml:space="preserve">--  </v>
          </cell>
          <cell r="N139" t="str">
            <v xml:space="preserve">--  </v>
          </cell>
          <cell r="O139" t="str">
            <v xml:space="preserve">--  </v>
          </cell>
          <cell r="P139" t="str">
            <v xml:space="preserve">--  </v>
          </cell>
          <cell r="Q139" t="str">
            <v xml:space="preserve">--  </v>
          </cell>
        </row>
        <row r="140">
          <cell r="C140" t="str">
            <v xml:space="preserve">  --</v>
          </cell>
          <cell r="D140" t="str">
            <v xml:space="preserve">  --</v>
          </cell>
          <cell r="E140" t="str">
            <v xml:space="preserve">  --</v>
          </cell>
          <cell r="F140" t="str">
            <v xml:space="preserve">  --</v>
          </cell>
          <cell r="G140" t="str">
            <v xml:space="preserve">  --</v>
          </cell>
          <cell r="H140" t="str">
            <v xml:space="preserve">  --</v>
          </cell>
          <cell r="I140" t="str">
            <v xml:space="preserve">  --</v>
          </cell>
          <cell r="J140" t="e">
            <v>#DIV/0!</v>
          </cell>
          <cell r="K140">
            <v>0.49651573803644511</v>
          </cell>
          <cell r="L140">
            <v>0.36041105945681434</v>
          </cell>
          <cell r="M140">
            <v>0.23874233946176393</v>
          </cell>
          <cell r="N140">
            <v>0.27704882770488276</v>
          </cell>
          <cell r="O140">
            <v>0.46050193700522152</v>
          </cell>
          <cell r="P140">
            <v>0.30988351977857226</v>
          </cell>
          <cell r="Q140">
            <v>0.27522451135763337</v>
          </cell>
        </row>
        <row r="141">
          <cell r="C141" t="str">
            <v xml:space="preserve">  --</v>
          </cell>
          <cell r="D141" t="str">
            <v xml:space="preserve">  --</v>
          </cell>
          <cell r="E141" t="str">
            <v xml:space="preserve">  --</v>
          </cell>
          <cell r="F141" t="str">
            <v xml:space="preserve">  --</v>
          </cell>
          <cell r="G141" t="str">
            <v xml:space="preserve">  --</v>
          </cell>
          <cell r="H141" t="str">
            <v xml:space="preserve">  --</v>
          </cell>
          <cell r="I141" t="str">
            <v xml:space="preserve">  --</v>
          </cell>
          <cell r="J141" t="e">
            <v>#DIV/0!</v>
          </cell>
          <cell r="K141">
            <v>0.53013659850067918</v>
          </cell>
          <cell r="L141">
            <v>0.34593113577945384</v>
          </cell>
          <cell r="M141">
            <v>0.20251836306400839</v>
          </cell>
          <cell r="N141">
            <v>0.26788830715532286</v>
          </cell>
          <cell r="O141">
            <v>0.51066758430832759</v>
          </cell>
          <cell r="P141">
            <v>0.56674259681093397</v>
          </cell>
          <cell r="Q141">
            <v>0.29747019482407677</v>
          </cell>
        </row>
        <row r="142">
          <cell r="C142" t="str">
            <v xml:space="preserve">  --</v>
          </cell>
          <cell r="D142" t="str">
            <v xml:space="preserve">  --</v>
          </cell>
          <cell r="E142" t="str">
            <v xml:space="preserve">  --</v>
          </cell>
          <cell r="F142" t="str">
            <v xml:space="preserve">  --</v>
          </cell>
          <cell r="G142" t="str">
            <v xml:space="preserve">  --</v>
          </cell>
          <cell r="H142" t="str">
            <v xml:space="preserve">  --</v>
          </cell>
          <cell r="I142" t="str">
            <v xml:space="preserve">  --</v>
          </cell>
          <cell r="J142" t="e">
            <v>#DIV/0!</v>
          </cell>
          <cell r="K142">
            <v>0.52741715867056915</v>
          </cell>
          <cell r="L142">
            <v>0.33267165929802434</v>
          </cell>
          <cell r="M142">
            <v>0.32904536222071767</v>
          </cell>
          <cell r="N142">
            <v>0.17524197656647988</v>
          </cell>
          <cell r="O142">
            <v>0.5422626788036411</v>
          </cell>
          <cell r="P142">
            <v>0.57672849915682967</v>
          </cell>
          <cell r="Q142">
            <v>0.36684491978609624</v>
          </cell>
        </row>
        <row r="143">
          <cell r="C143" t="str">
            <v xml:space="preserve">  --</v>
          </cell>
          <cell r="D143" t="str">
            <v xml:space="preserve">  --</v>
          </cell>
          <cell r="E143" t="str">
            <v xml:space="preserve">  --</v>
          </cell>
          <cell r="F143" t="str">
            <v xml:space="preserve">  --</v>
          </cell>
          <cell r="G143" t="str">
            <v xml:space="preserve">  --</v>
          </cell>
          <cell r="H143" t="str">
            <v xml:space="preserve">  --</v>
          </cell>
          <cell r="I143" t="str">
            <v xml:space="preserve">  --</v>
          </cell>
          <cell r="J143" t="e">
            <v>#DIV/0!</v>
          </cell>
          <cell r="K143">
            <v>0.5326479359598173</v>
          </cell>
          <cell r="L143">
            <v>0.33135337190844411</v>
          </cell>
          <cell r="M143">
            <v>0.30165912518853694</v>
          </cell>
          <cell r="N143">
            <v>0.18076477404403243</v>
          </cell>
          <cell r="O143">
            <v>0.51030421982335628</v>
          </cell>
          <cell r="P143">
            <v>0.66666666666666663</v>
          </cell>
          <cell r="Q143">
            <v>0.29512670565302146</v>
          </cell>
        </row>
        <row r="144">
          <cell r="C144" t="str">
            <v xml:space="preserve">  --</v>
          </cell>
          <cell r="D144" t="str">
            <v xml:space="preserve">  --</v>
          </cell>
          <cell r="E144" t="str">
            <v xml:space="preserve">  --</v>
          </cell>
          <cell r="F144" t="str">
            <v xml:space="preserve">  --</v>
          </cell>
          <cell r="G144" t="str">
            <v xml:space="preserve">  --</v>
          </cell>
          <cell r="H144" t="str">
            <v xml:space="preserve">  --</v>
          </cell>
          <cell r="I144" t="str">
            <v xml:space="preserve">  --</v>
          </cell>
          <cell r="J144" t="e">
            <v>#DIV/0!</v>
          </cell>
          <cell r="K144">
            <v>0.41350285976658885</v>
          </cell>
          <cell r="L144">
            <v>0.26071467520172376</v>
          </cell>
          <cell r="M144">
            <v>0.21273070215469533</v>
          </cell>
          <cell r="N144">
            <v>0.22956562719801862</v>
          </cell>
          <cell r="O144">
            <v>0.54623667941376852</v>
          </cell>
          <cell r="P144">
            <v>0.57667845641611015</v>
          </cell>
          <cell r="Q144">
            <v>0.28131429051344392</v>
          </cell>
        </row>
        <row r="145">
          <cell r="C145" t="str">
            <v>--</v>
          </cell>
          <cell r="D145" t="str">
            <v>--</v>
          </cell>
          <cell r="E145" t="str">
            <v>--</v>
          </cell>
          <cell r="F145" t="str">
            <v>--</v>
          </cell>
          <cell r="G145" t="str">
            <v>--</v>
          </cell>
          <cell r="H145" t="str">
            <v>--</v>
          </cell>
          <cell r="I145" t="str">
            <v>--</v>
          </cell>
          <cell r="J145" t="str">
            <v>--</v>
          </cell>
          <cell r="K145" t="str">
            <v>--</v>
          </cell>
          <cell r="L145" t="str">
            <v>--</v>
          </cell>
          <cell r="M145" t="str">
            <v>--</v>
          </cell>
          <cell r="N145">
            <v>0.4098360655737705</v>
          </cell>
          <cell r="O145">
            <v>0.66511627906976745</v>
          </cell>
          <cell r="P145">
            <v>0.34427374301675978</v>
          </cell>
          <cell r="Q145">
            <v>0.45350649350649352</v>
          </cell>
        </row>
        <row r="146">
          <cell r="C146" t="str">
            <v>--</v>
          </cell>
          <cell r="D146" t="str">
            <v>--</v>
          </cell>
          <cell r="E146" t="str">
            <v>--</v>
          </cell>
          <cell r="F146" t="str">
            <v>--</v>
          </cell>
          <cell r="G146" t="str">
            <v>--</v>
          </cell>
          <cell r="H146" t="str">
            <v>--</v>
          </cell>
          <cell r="I146" t="str">
            <v>--</v>
          </cell>
          <cell r="J146" t="str">
            <v>--</v>
          </cell>
          <cell r="K146" t="str">
            <v>--</v>
          </cell>
          <cell r="L146">
            <v>0.34436125034499337</v>
          </cell>
          <cell r="M146">
            <v>0.56953642384105962</v>
          </cell>
          <cell r="N146">
            <v>0.13502109704641349</v>
          </cell>
          <cell r="O146">
            <v>0.78438661710037172</v>
          </cell>
          <cell r="P146">
            <v>0</v>
          </cell>
          <cell r="Q146">
            <v>1.1333333333333333</v>
          </cell>
        </row>
        <row r="147">
          <cell r="C147" t="str">
            <v>--</v>
          </cell>
          <cell r="D147" t="str">
            <v>--</v>
          </cell>
          <cell r="E147" t="str">
            <v>--</v>
          </cell>
          <cell r="F147" t="str">
            <v>--</v>
          </cell>
          <cell r="G147" t="str">
            <v>--</v>
          </cell>
          <cell r="H147" t="str">
            <v>--</v>
          </cell>
          <cell r="I147" t="str">
            <v>--</v>
          </cell>
          <cell r="J147" t="str">
            <v>--</v>
          </cell>
          <cell r="K147" t="str">
            <v>--</v>
          </cell>
          <cell r="L147" t="str">
            <v>--</v>
          </cell>
          <cell r="M147" t="str">
            <v>--</v>
          </cell>
          <cell r="N147">
            <v>0</v>
          </cell>
          <cell r="O147">
            <v>0</v>
          </cell>
          <cell r="P147">
            <v>0</v>
          </cell>
          <cell r="Q147">
            <v>0</v>
          </cell>
        </row>
        <row r="148">
          <cell r="C148" t="str">
            <v>--</v>
          </cell>
          <cell r="D148" t="str">
            <v>--</v>
          </cell>
          <cell r="E148" t="str">
            <v>--</v>
          </cell>
          <cell r="F148" t="str">
            <v>--</v>
          </cell>
          <cell r="G148" t="str">
            <v>--</v>
          </cell>
          <cell r="H148" t="str">
            <v>--</v>
          </cell>
          <cell r="I148" t="str">
            <v>--</v>
          </cell>
          <cell r="J148" t="str">
            <v>--</v>
          </cell>
          <cell r="K148" t="str">
            <v>--</v>
          </cell>
          <cell r="L148" t="str">
            <v>--</v>
          </cell>
          <cell r="M148" t="str">
            <v>--</v>
          </cell>
          <cell r="N148">
            <v>0</v>
          </cell>
          <cell r="O148">
            <v>0</v>
          </cell>
          <cell r="P148">
            <v>0</v>
          </cell>
          <cell r="Q148">
            <v>0</v>
          </cell>
        </row>
        <row r="149">
          <cell r="M149" t="str">
            <v>--</v>
          </cell>
          <cell r="N149">
            <v>0</v>
          </cell>
          <cell r="O149">
            <v>0</v>
          </cell>
          <cell r="P149">
            <v>0</v>
          </cell>
          <cell r="Q149">
            <v>0</v>
          </cell>
        </row>
        <row r="150">
          <cell r="C150" t="str">
            <v xml:space="preserve">  --</v>
          </cell>
          <cell r="D150" t="str">
            <v xml:space="preserve">  --</v>
          </cell>
          <cell r="E150" t="str">
            <v xml:space="preserve">  --</v>
          </cell>
          <cell r="F150" t="str">
            <v xml:space="preserve">  --</v>
          </cell>
          <cell r="G150" t="str">
            <v xml:space="preserve">  --</v>
          </cell>
          <cell r="H150" t="str">
            <v xml:space="preserve">  --</v>
          </cell>
          <cell r="I150" t="str">
            <v xml:space="preserve">  --</v>
          </cell>
          <cell r="J150" t="str">
            <v xml:space="preserve">  --</v>
          </cell>
          <cell r="K150">
            <v>0.48695376834706194</v>
          </cell>
          <cell r="L150">
            <v>0.2897767631415466</v>
          </cell>
          <cell r="M150">
            <v>0.171574465270315</v>
          </cell>
          <cell r="N150">
            <v>0.23807639274872003</v>
          </cell>
          <cell r="O150">
            <v>0.48767144362065107</v>
          </cell>
          <cell r="P150">
            <v>0.41205064864714708</v>
          </cell>
          <cell r="Q150">
            <v>0.27423088107007848</v>
          </cell>
        </row>
        <row r="151">
          <cell r="C151" t="str">
            <v>--</v>
          </cell>
          <cell r="D151" t="str">
            <v>--</v>
          </cell>
          <cell r="E151" t="str">
            <v>--</v>
          </cell>
          <cell r="F151" t="str">
            <v>--</v>
          </cell>
          <cell r="G151" t="str">
            <v>--</v>
          </cell>
          <cell r="H151" t="str">
            <v>--</v>
          </cell>
          <cell r="I151" t="str">
            <v>--</v>
          </cell>
          <cell r="J151" t="str">
            <v>--</v>
          </cell>
          <cell r="K151" t="str">
            <v>--</v>
          </cell>
          <cell r="L151">
            <v>3.6231351510252127E-2</v>
          </cell>
          <cell r="M151">
            <v>3.0141843971631204E-2</v>
          </cell>
          <cell r="N151">
            <v>1.2048192771084338E-2</v>
          </cell>
          <cell r="O151">
            <v>1.5306122448979591E-2</v>
          </cell>
          <cell r="P151">
            <v>9.8827470686767172E-2</v>
          </cell>
          <cell r="Q151">
            <v>-8.2317073170731711E-2</v>
          </cell>
        </row>
        <row r="152">
          <cell r="C152" t="str">
            <v>--</v>
          </cell>
          <cell r="D152" t="str">
            <v>--</v>
          </cell>
          <cell r="E152" t="str">
            <v>--</v>
          </cell>
          <cell r="F152" t="str">
            <v>--</v>
          </cell>
          <cell r="G152" t="str">
            <v>--</v>
          </cell>
          <cell r="H152" t="str">
            <v>--</v>
          </cell>
          <cell r="I152" t="str">
            <v>--</v>
          </cell>
          <cell r="J152" t="str">
            <v>--</v>
          </cell>
          <cell r="K152" t="str">
            <v>--</v>
          </cell>
          <cell r="L152">
            <v>0.70272756135953496</v>
          </cell>
          <cell r="M152">
            <v>0.57816593886462886</v>
          </cell>
          <cell r="N152">
            <v>0.31433314886552299</v>
          </cell>
          <cell r="O152">
            <v>0.46105263157894738</v>
          </cell>
          <cell r="P152">
            <v>0.29193083573487033</v>
          </cell>
          <cell r="Q152">
            <v>0.553312513941557</v>
          </cell>
        </row>
        <row r="153">
          <cell r="C153" t="str">
            <v>--</v>
          </cell>
          <cell r="D153" t="str">
            <v>--</v>
          </cell>
          <cell r="E153" t="str">
            <v>--</v>
          </cell>
          <cell r="F153" t="str">
            <v>--</v>
          </cell>
          <cell r="G153" t="str">
            <v>--</v>
          </cell>
          <cell r="H153" t="str">
            <v>--</v>
          </cell>
          <cell r="I153" t="str">
            <v>--</v>
          </cell>
          <cell r="J153" t="str">
            <v>--</v>
          </cell>
          <cell r="K153" t="str">
            <v>--</v>
          </cell>
          <cell r="L153" t="str">
            <v>--</v>
          </cell>
          <cell r="M153" t="str">
            <v>--</v>
          </cell>
          <cell r="N153">
            <v>0</v>
          </cell>
          <cell r="O153">
            <v>0</v>
          </cell>
          <cell r="P153">
            <v>0</v>
          </cell>
          <cell r="Q153">
            <v>0</v>
          </cell>
        </row>
        <row r="154">
          <cell r="C154" t="str">
            <v>--</v>
          </cell>
          <cell r="D154" t="str">
            <v>--</v>
          </cell>
          <cell r="E154" t="str">
            <v>--</v>
          </cell>
          <cell r="F154" t="str">
            <v>--</v>
          </cell>
          <cell r="G154" t="str">
            <v>--</v>
          </cell>
          <cell r="H154" t="str">
            <v>--</v>
          </cell>
          <cell r="I154" t="str">
            <v>--</v>
          </cell>
          <cell r="J154" t="str">
            <v>--</v>
          </cell>
          <cell r="K154" t="str">
            <v>--</v>
          </cell>
          <cell r="L154" t="str">
            <v>--</v>
          </cell>
          <cell r="M154" t="str">
            <v>--</v>
          </cell>
          <cell r="N154">
            <v>0.2817204301075269</v>
          </cell>
          <cell r="O154">
            <v>0.11241610738255034</v>
          </cell>
          <cell r="P154">
            <v>0.10482654600301659</v>
          </cell>
          <cell r="Q154">
            <v>2.7303754266211604E-2</v>
          </cell>
        </row>
        <row r="155">
          <cell r="C155" t="str">
            <v>--</v>
          </cell>
          <cell r="D155" t="str">
            <v>--</v>
          </cell>
          <cell r="E155" t="str">
            <v>--</v>
          </cell>
          <cell r="F155" t="str">
            <v>--</v>
          </cell>
          <cell r="G155" t="str">
            <v>--</v>
          </cell>
          <cell r="H155" t="str">
            <v>--</v>
          </cell>
          <cell r="I155" t="str">
            <v>--</v>
          </cell>
          <cell r="J155" t="str">
            <v>--</v>
          </cell>
          <cell r="K155" t="str">
            <v>--</v>
          </cell>
          <cell r="L155" t="str">
            <v>--</v>
          </cell>
          <cell r="M155" t="str">
            <v>--</v>
          </cell>
          <cell r="N155">
            <v>2.2892561983471076</v>
          </cell>
          <cell r="O155">
            <v>1.3316582914572865</v>
          </cell>
          <cell r="P155">
            <v>-0.78125</v>
          </cell>
          <cell r="Q155">
            <v>0.28078817733990147</v>
          </cell>
        </row>
        <row r="159">
          <cell r="M159" t="str">
            <v>Last 4 year CAGR</v>
          </cell>
          <cell r="P159" t="str">
            <v>5 year CAGR</v>
          </cell>
        </row>
        <row r="160">
          <cell r="M160" t="str">
            <v>Sales</v>
          </cell>
          <cell r="N160">
            <v>0.32856327275532071</v>
          </cell>
          <cell r="P160" t="str">
            <v>Sales</v>
          </cell>
          <cell r="Q160">
            <v>0.28163260402248325</v>
          </cell>
        </row>
        <row r="161">
          <cell r="M161" t="str">
            <v>EBIT</v>
          </cell>
          <cell r="N161">
            <v>0.4007067067211576</v>
          </cell>
          <cell r="P161" t="str">
            <v>EBITDA</v>
          </cell>
          <cell r="Q161">
            <v>-1</v>
          </cell>
        </row>
        <row r="162">
          <cell r="M162" t="str">
            <v>EBITDA</v>
          </cell>
          <cell r="N162">
            <v>0.40585474532550547</v>
          </cell>
          <cell r="P162" t="str">
            <v>NOPAT</v>
          </cell>
          <cell r="Q162">
            <v>0.26574116645566637</v>
          </cell>
        </row>
        <row r="163">
          <cell r="M163" t="str">
            <v>NOPAT</v>
          </cell>
          <cell r="N163">
            <v>0.39993097256135401</v>
          </cell>
        </row>
      </sheetData>
      <sheetData sheetId="9" refreshError="1">
        <row r="1">
          <cell r="F1" t="str">
            <v>Discounted Cash Flow</v>
          </cell>
        </row>
        <row r="2">
          <cell r="D2">
            <v>1</v>
          </cell>
          <cell r="E2">
            <v>2</v>
          </cell>
          <cell r="F2">
            <v>3</v>
          </cell>
          <cell r="G2">
            <v>4</v>
          </cell>
          <cell r="H2">
            <v>5</v>
          </cell>
          <cell r="I2">
            <v>6</v>
          </cell>
          <cell r="J2">
            <v>7</v>
          </cell>
          <cell r="K2">
            <v>8</v>
          </cell>
          <cell r="L2">
            <v>9</v>
          </cell>
          <cell r="M2">
            <v>10</v>
          </cell>
          <cell r="N2">
            <v>11</v>
          </cell>
          <cell r="O2">
            <v>12</v>
          </cell>
          <cell r="P2">
            <v>13</v>
          </cell>
          <cell r="Q2">
            <v>14</v>
          </cell>
          <cell r="R2">
            <v>15</v>
          </cell>
          <cell r="S2">
            <v>16</v>
          </cell>
          <cell r="T2">
            <v>17</v>
          </cell>
          <cell r="U2">
            <v>18</v>
          </cell>
          <cell r="V2">
            <v>19</v>
          </cell>
          <cell r="W2">
            <v>20</v>
          </cell>
          <cell r="X2">
            <v>21</v>
          </cell>
          <cell r="Y2">
            <v>22</v>
          </cell>
          <cell r="Z2">
            <v>23</v>
          </cell>
          <cell r="AA2">
            <v>24</v>
          </cell>
          <cell r="AB2">
            <v>25</v>
          </cell>
        </row>
        <row r="3">
          <cell r="C3" t="str">
            <v>Present(P)</v>
          </cell>
          <cell r="D3" t="str">
            <v>Estimated Year 1</v>
          </cell>
          <cell r="E3" t="str">
            <v>EY 2</v>
          </cell>
          <cell r="F3" t="str">
            <v>EY 3</v>
          </cell>
          <cell r="G3" t="str">
            <v>EY 4</v>
          </cell>
          <cell r="H3" t="str">
            <v>EY 5</v>
          </cell>
          <cell r="I3" t="str">
            <v>EY 6</v>
          </cell>
          <cell r="J3" t="str">
            <v>EY 7</v>
          </cell>
          <cell r="K3" t="str">
            <v>EY 8</v>
          </cell>
          <cell r="L3" t="str">
            <v>EY 9</v>
          </cell>
          <cell r="M3" t="str">
            <v>EY 10</v>
          </cell>
          <cell r="N3" t="str">
            <v>EY 11</v>
          </cell>
          <cell r="O3" t="str">
            <v>EY 12</v>
          </cell>
          <cell r="P3" t="str">
            <v>EY 13</v>
          </cell>
          <cell r="Q3" t="str">
            <v>EY 14</v>
          </cell>
          <cell r="R3" t="str">
            <v>EY 15</v>
          </cell>
          <cell r="S3" t="str">
            <v>EY 16</v>
          </cell>
          <cell r="T3" t="str">
            <v>EY 17</v>
          </cell>
          <cell r="U3" t="str">
            <v>EY 18</v>
          </cell>
          <cell r="V3" t="str">
            <v>EY 19</v>
          </cell>
          <cell r="W3" t="str">
            <v>EY 20</v>
          </cell>
          <cell r="X3" t="str">
            <v>EY 21</v>
          </cell>
          <cell r="Y3" t="str">
            <v>EY 22</v>
          </cell>
          <cell r="Z3" t="str">
            <v>EY 23</v>
          </cell>
          <cell r="AA3" t="str">
            <v>EY 24</v>
          </cell>
          <cell r="AB3" t="str">
            <v>EY 25</v>
          </cell>
          <cell r="AC3" t="str">
            <v>EY 26</v>
          </cell>
        </row>
        <row r="4">
          <cell r="C4">
            <v>1998</v>
          </cell>
          <cell r="D4" t="str">
            <v>1999E</v>
          </cell>
          <cell r="E4" t="str">
            <v>2000E</v>
          </cell>
          <cell r="F4" t="str">
            <v>2001E</v>
          </cell>
          <cell r="G4" t="str">
            <v>2002E</v>
          </cell>
          <cell r="H4" t="str">
            <v>2003E</v>
          </cell>
          <cell r="I4" t="str">
            <v>2004E</v>
          </cell>
          <cell r="J4" t="str">
            <v>2005E</v>
          </cell>
          <cell r="K4" t="str">
            <v>2006E</v>
          </cell>
          <cell r="L4" t="str">
            <v>2007E</v>
          </cell>
          <cell r="M4" t="str">
            <v>2008E</v>
          </cell>
          <cell r="N4" t="str">
            <v>2009E</v>
          </cell>
          <cell r="O4" t="str">
            <v>2010E</v>
          </cell>
          <cell r="P4" t="str">
            <v>2011E</v>
          </cell>
          <cell r="Q4" t="str">
            <v>2012E</v>
          </cell>
          <cell r="R4" t="str">
            <v>2013E</v>
          </cell>
          <cell r="S4" t="str">
            <v>2014E</v>
          </cell>
          <cell r="T4" t="str">
            <v>2015E</v>
          </cell>
          <cell r="U4" t="str">
            <v>2016E</v>
          </cell>
          <cell r="V4" t="str">
            <v>2017E</v>
          </cell>
          <cell r="W4" t="str">
            <v>2018E</v>
          </cell>
          <cell r="X4" t="str">
            <v>2019E</v>
          </cell>
          <cell r="Y4" t="str">
            <v>2020E</v>
          </cell>
          <cell r="Z4" t="str">
            <v>2021E</v>
          </cell>
          <cell r="AA4" t="str">
            <v>2022E</v>
          </cell>
          <cell r="AB4" t="str">
            <v>2023E</v>
          </cell>
          <cell r="AC4" t="str">
            <v>2023E</v>
          </cell>
        </row>
        <row r="6">
          <cell r="C6">
            <v>14484</v>
          </cell>
          <cell r="D6">
            <v>17500</v>
          </cell>
          <cell r="E6">
            <v>21612.5</v>
          </cell>
          <cell r="F6">
            <v>26691.437500000004</v>
          </cell>
          <cell r="G6">
            <v>32296.639375000002</v>
          </cell>
          <cell r="H6">
            <v>39078.933643750002</v>
          </cell>
          <cell r="I6">
            <v>46503.931036062502</v>
          </cell>
          <cell r="J6">
            <v>55339.677932914376</v>
          </cell>
          <cell r="K6">
            <v>65854.216740168107</v>
          </cell>
          <cell r="L6">
            <v>78366.517920800048</v>
          </cell>
          <cell r="M6">
            <v>93256.156325752047</v>
          </cell>
          <cell r="N6">
            <v>108177.14133787237</v>
          </cell>
          <cell r="O6">
            <v>125485.48395193194</v>
          </cell>
          <cell r="P6">
            <v>145563.16138424104</v>
          </cell>
          <cell r="Q6">
            <v>168853.2672057196</v>
          </cell>
          <cell r="R6">
            <v>195869.78995863473</v>
          </cell>
          <cell r="S6">
            <v>223291.56055284361</v>
          </cell>
          <cell r="T6">
            <v>254552.37903024175</v>
          </cell>
          <cell r="U6">
            <v>290189.71209447563</v>
          </cell>
          <cell r="V6">
            <v>330816.27178770228</v>
          </cell>
          <cell r="W6">
            <v>377130.54983798065</v>
          </cell>
          <cell r="X6">
            <v>429928.826815298</v>
          </cell>
          <cell r="Y6">
            <v>490118.86256943975</v>
          </cell>
          <cell r="Z6">
            <v>558735.50332916132</v>
          </cell>
          <cell r="AA6">
            <v>636958.473795244</v>
          </cell>
          <cell r="AB6">
            <v>726132.6601265783</v>
          </cell>
          <cell r="AC6">
            <v>827791.23254429933</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14484</v>
          </cell>
          <cell r="D9">
            <v>17500</v>
          </cell>
          <cell r="E9">
            <v>21612.5</v>
          </cell>
          <cell r="F9">
            <v>26691.437500000004</v>
          </cell>
          <cell r="G9">
            <v>32296.639375000002</v>
          </cell>
          <cell r="H9">
            <v>39078.933643750002</v>
          </cell>
          <cell r="I9">
            <v>46503.931036062502</v>
          </cell>
          <cell r="J9">
            <v>55339.677932914376</v>
          </cell>
          <cell r="K9">
            <v>65854.216740168107</v>
          </cell>
          <cell r="L9">
            <v>78366.517920800048</v>
          </cell>
          <cell r="M9">
            <v>93256.156325752047</v>
          </cell>
          <cell r="N9">
            <v>108177.14133787237</v>
          </cell>
          <cell r="O9">
            <v>125485.48395193194</v>
          </cell>
          <cell r="P9">
            <v>145563.16138424104</v>
          </cell>
          <cell r="Q9">
            <v>168853.2672057196</v>
          </cell>
          <cell r="R9">
            <v>195869.78995863473</v>
          </cell>
          <cell r="S9">
            <v>223291.56055284361</v>
          </cell>
          <cell r="T9">
            <v>254552.37903024175</v>
          </cell>
          <cell r="U9">
            <v>290189.71209447563</v>
          </cell>
          <cell r="V9">
            <v>330816.27178770228</v>
          </cell>
          <cell r="W9">
            <v>377130.54983798065</v>
          </cell>
          <cell r="X9">
            <v>429928.826815298</v>
          </cell>
          <cell r="Y9">
            <v>490118.86256943975</v>
          </cell>
          <cell r="Z9">
            <v>558735.50332916132</v>
          </cell>
          <cell r="AA9">
            <v>636958.473795244</v>
          </cell>
          <cell r="AB9">
            <v>726132.6601265783</v>
          </cell>
          <cell r="AC9">
            <v>827791.23254429933</v>
          </cell>
        </row>
        <row r="10">
          <cell r="C10">
            <v>0.27522451135763337</v>
          </cell>
          <cell r="D10">
            <v>0.20822977078155205</v>
          </cell>
          <cell r="E10">
            <v>0.23499999999999999</v>
          </cell>
          <cell r="F10">
            <v>0.23500000000000018</v>
          </cell>
          <cell r="G10">
            <v>0.20999999999999994</v>
          </cell>
          <cell r="H10">
            <v>0.21</v>
          </cell>
          <cell r="I10">
            <v>0.18999999999999997</v>
          </cell>
          <cell r="J10">
            <v>0.18999999999999995</v>
          </cell>
          <cell r="K10">
            <v>0.19</v>
          </cell>
          <cell r="L10">
            <v>0.19</v>
          </cell>
          <cell r="M10">
            <v>0.18999999999999986</v>
          </cell>
          <cell r="N10">
            <v>0.15999999999999992</v>
          </cell>
          <cell r="O10">
            <v>0.15999999999999992</v>
          </cell>
          <cell r="P10">
            <v>0.16</v>
          </cell>
          <cell r="Q10">
            <v>0.15999999999999995</v>
          </cell>
          <cell r="R10">
            <v>0.15999999999999998</v>
          </cell>
          <cell r="S10">
            <v>0.1400000000000001</v>
          </cell>
          <cell r="T10">
            <v>0.14000000000000012</v>
          </cell>
          <cell r="U10">
            <v>0.14000000000000015</v>
          </cell>
          <cell r="V10">
            <v>0.14000000000000021</v>
          </cell>
          <cell r="W10">
            <v>0.14000000000000015</v>
          </cell>
          <cell r="X10">
            <v>0.14000000000000015</v>
          </cell>
          <cell r="Y10">
            <v>0.14000000000000007</v>
          </cell>
          <cell r="Z10">
            <v>0.14000000000000001</v>
          </cell>
          <cell r="AA10">
            <v>0.14000000000000018</v>
          </cell>
          <cell r="AB10">
            <v>0.14000000000000021</v>
          </cell>
          <cell r="AC10">
            <v>0.1400000000000001</v>
          </cell>
        </row>
        <row r="12">
          <cell r="C12">
            <v>5069.9925062057982</v>
          </cell>
          <cell r="D12">
            <v>6318.6657333333351</v>
          </cell>
          <cell r="E12">
            <v>7475.881768166666</v>
          </cell>
          <cell r="F12">
            <v>8875.9970636858325</v>
          </cell>
          <cell r="G12">
            <v>10754.780911875001</v>
          </cell>
          <cell r="H12">
            <v>13013.284903368751</v>
          </cell>
          <cell r="I12">
            <v>15485.809035008813</v>
          </cell>
          <cell r="J12">
            <v>18428.112751660487</v>
          </cell>
          <cell r="K12">
            <v>21929.454174475981</v>
          </cell>
          <cell r="L12">
            <v>26096.050467626417</v>
          </cell>
          <cell r="M12">
            <v>31054.300056475433</v>
          </cell>
          <cell r="N12">
            <v>36022.988065511498</v>
          </cell>
          <cell r="O12">
            <v>41786.666155993335</v>
          </cell>
          <cell r="P12">
            <v>48472.532740952272</v>
          </cell>
          <cell r="Q12">
            <v>56228.13797950463</v>
          </cell>
          <cell r="R12">
            <v>65224.640056225369</v>
          </cell>
          <cell r="S12">
            <v>74356.089664096929</v>
          </cell>
          <cell r="T12">
            <v>84765.942217070507</v>
          </cell>
          <cell r="U12">
            <v>96633.174127460385</v>
          </cell>
          <cell r="V12">
            <v>110161.81850530487</v>
          </cell>
          <cell r="W12">
            <v>125584.47309604756</v>
          </cell>
          <cell r="X12">
            <v>143166.29932949424</v>
          </cell>
          <cell r="Y12">
            <v>163209.58123562345</v>
          </cell>
          <cell r="Z12">
            <v>186058.92260861074</v>
          </cell>
          <cell r="AA12">
            <v>212107.17177381626</v>
          </cell>
          <cell r="AB12">
            <v>241802.17582215057</v>
          </cell>
          <cell r="AC12">
            <v>275654.48043725168</v>
          </cell>
        </row>
        <row r="13">
          <cell r="C13">
            <v>0.28131429051344392</v>
          </cell>
          <cell r="D13">
            <v>0.2462869965979495</v>
          </cell>
          <cell r="E13">
            <v>0.18314246767772216</v>
          </cell>
          <cell r="F13">
            <v>0.1872843015630678</v>
          </cell>
          <cell r="G13">
            <v>0.21167017459658641</v>
          </cell>
          <cell r="H13">
            <v>0.20999999999999996</v>
          </cell>
          <cell r="I13">
            <v>0.18999999999999997</v>
          </cell>
          <cell r="J13">
            <v>0.18999999999999992</v>
          </cell>
          <cell r="K13">
            <v>0.19000000000000011</v>
          </cell>
          <cell r="L13">
            <v>0.19</v>
          </cell>
          <cell r="M13">
            <v>0.18999999999999986</v>
          </cell>
          <cell r="N13">
            <v>0.15999999999999984</v>
          </cell>
          <cell r="O13">
            <v>0.15999999999999992</v>
          </cell>
          <cell r="P13">
            <v>0.16000000000000011</v>
          </cell>
          <cell r="Q13">
            <v>0.15999999999999989</v>
          </cell>
          <cell r="R13">
            <v>0.15999999999999998</v>
          </cell>
          <cell r="S13">
            <v>0.14000000000000012</v>
          </cell>
          <cell r="T13">
            <v>0.1400000000000001</v>
          </cell>
          <cell r="U13">
            <v>0.14000000000000007</v>
          </cell>
          <cell r="V13">
            <v>0.14000000000000029</v>
          </cell>
          <cell r="W13">
            <v>0.1400000000000001</v>
          </cell>
          <cell r="X13">
            <v>0.14000000000000021</v>
          </cell>
          <cell r="Y13">
            <v>0.14000000000000012</v>
          </cell>
          <cell r="Z13">
            <v>0.14000000000000001</v>
          </cell>
          <cell r="AA13">
            <v>0.14000000000000007</v>
          </cell>
          <cell r="AB13">
            <v>0.14000000000000021</v>
          </cell>
          <cell r="AC13">
            <v>0.14000000000000012</v>
          </cell>
        </row>
        <row r="15">
          <cell r="C15">
            <v>7668</v>
          </cell>
          <cell r="D15">
            <v>10062.500000000002</v>
          </cell>
          <cell r="E15">
            <v>11772.999999999998</v>
          </cell>
          <cell r="F15">
            <v>13773.999999999998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-1439.9599999999998</v>
          </cell>
          <cell r="D18">
            <v>-311.36000000000013</v>
          </cell>
          <cell r="E18">
            <v>-429.5454545454545</v>
          </cell>
          <cell r="F18">
            <v>-519.02746212121247</v>
          </cell>
          <cell r="G18">
            <v>-165.23270833333299</v>
          </cell>
          <cell r="H18">
            <v>-968.89918125000077</v>
          </cell>
          <cell r="I18">
            <v>-617.81933189166648</v>
          </cell>
          <cell r="J18">
            <v>-1178.0995862469163</v>
          </cell>
          <cell r="K18">
            <v>-1401.9385076338303</v>
          </cell>
          <cell r="L18">
            <v>-1668.3068240842586</v>
          </cell>
          <cell r="M18">
            <v>-1985.2851206602663</v>
          </cell>
          <cell r="N18">
            <v>-1087.9884904671071</v>
          </cell>
          <cell r="O18">
            <v>-2163.5428267574462</v>
          </cell>
          <cell r="P18">
            <v>-2509.7096790386386</v>
          </cell>
          <cell r="Q18">
            <v>-2911.2632276848199</v>
          </cell>
          <cell r="R18">
            <v>-3377.0653441143913</v>
          </cell>
          <cell r="S18">
            <v>-1785.8716143287311</v>
          </cell>
          <cell r="T18">
            <v>-3677.7433502821332</v>
          </cell>
          <cell r="U18">
            <v>-4192.6274193216304</v>
          </cell>
          <cell r="V18">
            <v>-4779.5952580266676</v>
          </cell>
          <cell r="W18">
            <v>-5448.7385941503962</v>
          </cell>
          <cell r="X18">
            <v>-6211.5619973314533</v>
          </cell>
          <cell r="Y18">
            <v>-7081.1806769578543</v>
          </cell>
          <cell r="Z18">
            <v>-8072.5459717319536</v>
          </cell>
          <cell r="AA18">
            <v>-9202.7024077744281</v>
          </cell>
          <cell r="AB18">
            <v>-10491.080744862862</v>
          </cell>
        </row>
        <row r="19">
          <cell r="C19">
            <v>975.40054330008002</v>
          </cell>
          <cell r="D19">
            <v>347.58825583323483</v>
          </cell>
          <cell r="E19">
            <v>622.52545538638253</v>
          </cell>
          <cell r="F19">
            <v>642.47306548298025</v>
          </cell>
          <cell r="G19">
            <v>1244.671824259769</v>
          </cell>
          <cell r="H19">
            <v>2187.8368608870969</v>
          </cell>
          <cell r="I19">
            <v>1926.3708217534004</v>
          </cell>
          <cell r="J19">
            <v>2761.17090526621</v>
          </cell>
          <cell r="K19">
            <v>3285.793377266793</v>
          </cell>
          <cell r="L19">
            <v>3910.0941189474797</v>
          </cell>
          <cell r="M19">
            <v>4653.0120015475004</v>
          </cell>
          <cell r="N19">
            <v>3638.4030687698723</v>
          </cell>
          <cell r="O19">
            <v>5244.9523072907759</v>
          </cell>
          <cell r="P19">
            <v>6084.144676457312</v>
          </cell>
          <cell r="Q19">
            <v>7057.6078246904726</v>
          </cell>
          <cell r="R19">
            <v>8186.8250766409474</v>
          </cell>
          <cell r="S19">
            <v>5367.7096589454522</v>
          </cell>
          <cell r="T19">
            <v>9061.1068050429385</v>
          </cell>
          <cell r="U19">
            <v>10329.661757748952</v>
          </cell>
          <cell r="V19">
            <v>11775.814403833807</v>
          </cell>
          <cell r="W19">
            <v>13424.428420370547</v>
          </cell>
          <cell r="X19">
            <v>15303.848399222421</v>
          </cell>
          <cell r="Y19">
            <v>17446.387175113559</v>
          </cell>
          <cell r="Z19">
            <v>19888.881379629427</v>
          </cell>
          <cell r="AA19">
            <v>22673.324772777589</v>
          </cell>
          <cell r="AB19">
            <v>25847.59024096647</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C21">
            <v>-464.55945669991979</v>
          </cell>
          <cell r="D21">
            <v>549.99925583323602</v>
          </cell>
          <cell r="E21">
            <v>520.00010084092901</v>
          </cell>
          <cell r="F21">
            <v>520.00000186176749</v>
          </cell>
          <cell r="G21">
            <v>1079.439115926436</v>
          </cell>
          <cell r="H21">
            <v>1218.9376796370962</v>
          </cell>
          <cell r="I21">
            <v>1308.5514898617339</v>
          </cell>
          <cell r="J21">
            <v>1583.0713190192928</v>
          </cell>
          <cell r="K21">
            <v>1883.8548696329635</v>
          </cell>
          <cell r="L21">
            <v>2241.7872948632212</v>
          </cell>
          <cell r="M21">
            <v>2667.7268808872359</v>
          </cell>
          <cell r="N21">
            <v>2550.4145783027634</v>
          </cell>
          <cell r="O21">
            <v>3081.4094805333298</v>
          </cell>
          <cell r="P21">
            <v>3574.4349974186734</v>
          </cell>
          <cell r="Q21">
            <v>4146.3445970056528</v>
          </cell>
          <cell r="R21">
            <v>4809.7597325265524</v>
          </cell>
          <cell r="S21">
            <v>3581.8380446167284</v>
          </cell>
          <cell r="T21">
            <v>5383.3634547608017</v>
          </cell>
          <cell r="U21">
            <v>6137.0343384273219</v>
          </cell>
          <cell r="V21">
            <v>6996.2191458071393</v>
          </cell>
          <cell r="W21">
            <v>7975.6898262201503</v>
          </cell>
          <cell r="X21">
            <v>9092.2864018909604</v>
          </cell>
          <cell r="Y21">
            <v>10365.20649815572</v>
          </cell>
          <cell r="Z21">
            <v>11816.335407897466</v>
          </cell>
          <cell r="AA21">
            <v>13470.622365003161</v>
          </cell>
          <cell r="AB21">
            <v>15356.509496103608</v>
          </cell>
        </row>
        <row r="23">
          <cell r="C23">
            <v>5534.551962905718</v>
          </cell>
          <cell r="D23">
            <v>5768.6664775000991</v>
          </cell>
          <cell r="E23">
            <v>6955.881667325737</v>
          </cell>
          <cell r="F23">
            <v>8355.9970618240659</v>
          </cell>
          <cell r="G23">
            <v>9675.341795948565</v>
          </cell>
          <cell r="H23">
            <v>11794.347223731655</v>
          </cell>
          <cell r="I23">
            <v>14177.25754514708</v>
          </cell>
          <cell r="J23">
            <v>16845.041432641192</v>
          </cell>
          <cell r="K23">
            <v>20045.599304843017</v>
          </cell>
          <cell r="L23">
            <v>23854.263172763196</v>
          </cell>
          <cell r="M23">
            <v>28386.573175588197</v>
          </cell>
          <cell r="N23">
            <v>33472.573487208734</v>
          </cell>
          <cell r="O23">
            <v>38705.256675460005</v>
          </cell>
          <cell r="P23">
            <v>44898.097743533595</v>
          </cell>
          <cell r="Q23">
            <v>52081.793382498974</v>
          </cell>
          <cell r="R23">
            <v>60414.880323698817</v>
          </cell>
          <cell r="S23">
            <v>70774.251619480201</v>
          </cell>
          <cell r="T23">
            <v>79382.578762309713</v>
          </cell>
          <cell r="U23">
            <v>90496.13978903307</v>
          </cell>
          <cell r="V23">
            <v>103165.59935949772</v>
          </cell>
          <cell r="W23">
            <v>117608.7832698274</v>
          </cell>
          <cell r="X23">
            <v>134074.01292760327</v>
          </cell>
          <cell r="Y23">
            <v>152844.37473746773</v>
          </cell>
          <cell r="Z23">
            <v>174242.58720071329</v>
          </cell>
          <cell r="AA23">
            <v>198636.54940881309</v>
          </cell>
          <cell r="AB23">
            <v>226445.66632604698</v>
          </cell>
        </row>
        <row r="26">
          <cell r="C26">
            <v>5534.551962905718</v>
          </cell>
          <cell r="D26">
            <v>5150.929813933788</v>
          </cell>
          <cell r="E26">
            <v>5545.9070811825331</v>
          </cell>
          <cell r="F26">
            <v>5948.7933710985008</v>
          </cell>
          <cell r="G26">
            <v>6150.4532742778074</v>
          </cell>
          <cell r="H26">
            <v>6694.6043971750541</v>
          </cell>
          <cell r="I26">
            <v>7185.4412023210007</v>
          </cell>
          <cell r="J26">
            <v>7623.3085230587631</v>
          </cell>
          <cell r="K26">
            <v>8100.2917213917799</v>
          </cell>
          <cell r="L26">
            <v>8607.1193069490364</v>
          </cell>
          <cell r="M26">
            <v>9145.6586147895032</v>
          </cell>
          <cell r="N26">
            <v>9629.4464871042564</v>
          </cell>
          <cell r="O26">
            <v>9942.4261544921428</v>
          </cell>
          <cell r="P26">
            <v>10298.182053345965</v>
          </cell>
          <cell r="Q26">
            <v>10666.667466867808</v>
          </cell>
          <cell r="R26">
            <v>11048.33787743816</v>
          </cell>
          <cell r="S26">
            <v>11556.824423496868</v>
          </cell>
          <cell r="T26">
            <v>11574.403925961489</v>
          </cell>
          <cell r="U26">
            <v>11781.855380674637</v>
          </cell>
          <cell r="V26">
            <v>11993.02504898547</v>
          </cell>
          <cell r="W26">
            <v>12207.979573532752</v>
          </cell>
          <cell r="X26">
            <v>12426.786791410919</v>
          </cell>
          <cell r="Y26">
            <v>12649.515755578652</v>
          </cell>
          <cell r="Z26">
            <v>12876.236756651175</v>
          </cell>
          <cell r="AA26">
            <v>13107.021345083123</v>
          </cell>
          <cell r="AB26">
            <v>13341.942353749055</v>
          </cell>
        </row>
        <row r="27">
          <cell r="C27">
            <v>5534.551962905718</v>
          </cell>
          <cell r="D27">
            <v>5150.929813933788</v>
          </cell>
          <cell r="E27">
            <v>10696.836895116321</v>
          </cell>
          <cell r="F27">
            <v>16645.630266214823</v>
          </cell>
          <cell r="G27">
            <v>22796.083540492629</v>
          </cell>
          <cell r="H27">
            <v>29490.687937667684</v>
          </cell>
          <cell r="I27">
            <v>36676.129139988683</v>
          </cell>
          <cell r="J27">
            <v>44299.437663047443</v>
          </cell>
          <cell r="K27">
            <v>52399.729384439226</v>
          </cell>
          <cell r="L27">
            <v>61006.848691388266</v>
          </cell>
          <cell r="M27">
            <v>70152.507306177766</v>
          </cell>
          <cell r="N27">
            <v>79781.953793282024</v>
          </cell>
          <cell r="O27">
            <v>89724.37994777417</v>
          </cell>
          <cell r="P27">
            <v>100022.56200112014</v>
          </cell>
          <cell r="Q27">
            <v>110689.22946798794</v>
          </cell>
          <cell r="R27">
            <v>121737.5673454261</v>
          </cell>
          <cell r="S27">
            <v>133294.39176892297</v>
          </cell>
          <cell r="T27">
            <v>144868.79569488447</v>
          </cell>
          <cell r="U27">
            <v>156650.65107555912</v>
          </cell>
          <cell r="V27">
            <v>168643.67612454458</v>
          </cell>
          <cell r="W27">
            <v>180851.65569807735</v>
          </cell>
          <cell r="X27">
            <v>193278.44248948825</v>
          </cell>
          <cell r="Y27">
            <v>205927.9582450669</v>
          </cell>
          <cell r="Z27">
            <v>218804.19500171806</v>
          </cell>
          <cell r="AA27">
            <v>231911.2163468012</v>
          </cell>
          <cell r="AB27">
            <v>245253.15870055027</v>
          </cell>
        </row>
        <row r="29">
          <cell r="C29">
            <v>52309.571795579046</v>
          </cell>
          <cell r="D29">
            <v>62336.824987497377</v>
          </cell>
          <cell r="E29">
            <v>74011.533716940015</v>
          </cell>
          <cell r="F29">
            <v>89677.567980965847</v>
          </cell>
          <cell r="G29">
            <v>108509.85725696868</v>
          </cell>
          <cell r="H29">
            <v>129126.73013579272</v>
          </cell>
          <cell r="I29">
            <v>153660.80886159334</v>
          </cell>
          <cell r="J29">
            <v>182856.36254529608</v>
          </cell>
          <cell r="K29">
            <v>217599.07142890233</v>
          </cell>
          <cell r="L29">
            <v>258942.89500039374</v>
          </cell>
          <cell r="M29">
            <v>300373.75820045674</v>
          </cell>
          <cell r="N29">
            <v>348433.55951252976</v>
          </cell>
          <cell r="O29">
            <v>404182.92903453455</v>
          </cell>
          <cell r="P29">
            <v>468852.19768006005</v>
          </cell>
          <cell r="Q29">
            <v>543868.54930886964</v>
          </cell>
          <cell r="R29">
            <v>620010.14621211146</v>
          </cell>
          <cell r="S29">
            <v>706811.56668180716</v>
          </cell>
          <cell r="T29">
            <v>805765.18601726019</v>
          </cell>
          <cell r="U29">
            <v>918572.31205967686</v>
          </cell>
          <cell r="V29">
            <v>1047172.4357480317</v>
          </cell>
          <cell r="W29">
            <v>1193776.5767527563</v>
          </cell>
          <cell r="X29">
            <v>1360905.2974981423</v>
          </cell>
          <cell r="Y29">
            <v>1551432.0391478823</v>
          </cell>
          <cell r="Z29">
            <v>1768632.5246285859</v>
          </cell>
          <cell r="AA29">
            <v>2016241.0780765882</v>
          </cell>
          <cell r="AB29">
            <v>2298514.8290073108</v>
          </cell>
        </row>
        <row r="30">
          <cell r="C30">
            <v>52309.571795579046</v>
          </cell>
          <cell r="D30">
            <v>55661.496740442723</v>
          </cell>
          <cell r="E30">
            <v>59009.210990181142</v>
          </cell>
          <cell r="F30">
            <v>63843.167726647174</v>
          </cell>
          <cell r="G30">
            <v>68977.904960112108</v>
          </cell>
          <cell r="H30">
            <v>73293.787181416163</v>
          </cell>
          <cell r="I30">
            <v>77879.710068045475</v>
          </cell>
          <cell r="J30">
            <v>82752.569808818414</v>
          </cell>
          <cell r="K30">
            <v>87930.31977109451</v>
          </cell>
          <cell r="L30">
            <v>93432.036647434827</v>
          </cell>
          <cell r="M30">
            <v>96775.184251727958</v>
          </cell>
          <cell r="N30">
            <v>100237.95502067779</v>
          </cell>
          <cell r="O30">
            <v>103824.62926231035</v>
          </cell>
          <cell r="P30">
            <v>107539.64044091386</v>
          </cell>
          <cell r="Q30">
            <v>111387.58065721499</v>
          </cell>
          <cell r="R30">
            <v>113384.01311215005</v>
          </cell>
          <cell r="S30">
            <v>115416.2282146981</v>
          </cell>
          <cell r="T30">
            <v>117484.86730780412</v>
          </cell>
          <cell r="U30">
            <v>119590.58322939192</v>
          </cell>
          <cell r="V30">
            <v>121734.0405183918</v>
          </cell>
          <cell r="W30">
            <v>123915.91562446141</v>
          </cell>
          <cell r="X30">
            <v>126136.89712146501</v>
          </cell>
          <cell r="Y30">
            <v>128397.6859247793</v>
          </cell>
          <cell r="Z30">
            <v>130698.99551249394</v>
          </cell>
          <cell r="AA30">
            <v>133041.5521505769</v>
          </cell>
          <cell r="AB30">
            <v>135426.09512207506</v>
          </cell>
        </row>
        <row r="32">
          <cell r="C32">
            <v>57844.123758484762</v>
          </cell>
          <cell r="D32">
            <v>60812.426554376507</v>
          </cell>
          <cell r="E32">
            <v>69706.047885297463</v>
          </cell>
          <cell r="F32">
            <v>80488.797992862004</v>
          </cell>
          <cell r="G32">
            <v>91773.988500604741</v>
          </cell>
          <cell r="H32">
            <v>102784.47511908384</v>
          </cell>
          <cell r="I32">
            <v>114555.83920803416</v>
          </cell>
          <cell r="J32">
            <v>127052.00747186586</v>
          </cell>
          <cell r="K32">
            <v>140330.04915553372</v>
          </cell>
          <cell r="L32">
            <v>154438.88533882308</v>
          </cell>
          <cell r="M32">
            <v>166927.69155790572</v>
          </cell>
          <cell r="N32">
            <v>180019.9088139598</v>
          </cell>
          <cell r="O32">
            <v>193549.00921008451</v>
          </cell>
          <cell r="P32">
            <v>207562.202442034</v>
          </cell>
          <cell r="Q32">
            <v>222076.81012520293</v>
          </cell>
          <cell r="R32">
            <v>235121.58045757614</v>
          </cell>
          <cell r="S32">
            <v>248710.61998362106</v>
          </cell>
          <cell r="T32">
            <v>262353.66300268855</v>
          </cell>
          <cell r="U32">
            <v>276241.23430495104</v>
          </cell>
          <cell r="V32">
            <v>290377.7166429364</v>
          </cell>
          <cell r="W32">
            <v>304767.57132253877</v>
          </cell>
          <cell r="X32">
            <v>319415.33961095323</v>
          </cell>
          <cell r="Y32">
            <v>334325.6441698462</v>
          </cell>
          <cell r="Z32">
            <v>349503.19051421201</v>
          </cell>
          <cell r="AA32">
            <v>364952.7684973781</v>
          </cell>
          <cell r="AB32">
            <v>380679.25382262532</v>
          </cell>
        </row>
        <row r="33">
          <cell r="C33">
            <v>13347.64</v>
          </cell>
          <cell r="D33">
            <v>13347.64</v>
          </cell>
          <cell r="E33">
            <v>13347.64</v>
          </cell>
          <cell r="F33">
            <v>13347.64</v>
          </cell>
          <cell r="G33">
            <v>13347.64</v>
          </cell>
          <cell r="H33">
            <v>13347.64</v>
          </cell>
          <cell r="I33">
            <v>13347.64</v>
          </cell>
          <cell r="J33">
            <v>13347.64</v>
          </cell>
          <cell r="K33">
            <v>13347.64</v>
          </cell>
          <cell r="L33">
            <v>13347.64</v>
          </cell>
          <cell r="M33">
            <v>13347.64</v>
          </cell>
          <cell r="N33">
            <v>13347.64</v>
          </cell>
          <cell r="O33">
            <v>13347.64</v>
          </cell>
          <cell r="P33">
            <v>13347.64</v>
          </cell>
          <cell r="Q33">
            <v>13347.64</v>
          </cell>
          <cell r="R33">
            <v>13347.64</v>
          </cell>
          <cell r="S33">
            <v>13347.64</v>
          </cell>
          <cell r="T33">
            <v>13347.64</v>
          </cell>
          <cell r="U33">
            <v>13347.64</v>
          </cell>
          <cell r="V33">
            <v>13347.64</v>
          </cell>
          <cell r="W33">
            <v>13347.64</v>
          </cell>
          <cell r="X33">
            <v>13347.64</v>
          </cell>
          <cell r="Y33">
            <v>13347.64</v>
          </cell>
          <cell r="Z33">
            <v>13347.64</v>
          </cell>
          <cell r="AA33">
            <v>13347.64</v>
          </cell>
          <cell r="AB33">
            <v>13347.64</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C36">
            <v>71191.763758484769</v>
          </cell>
          <cell r="D36">
            <v>74160.066554376506</v>
          </cell>
          <cell r="E36">
            <v>83053.687885297462</v>
          </cell>
          <cell r="F36">
            <v>93836.437992862004</v>
          </cell>
          <cell r="G36">
            <v>105121.62850060474</v>
          </cell>
          <cell r="H36">
            <v>116132.11511908384</v>
          </cell>
          <cell r="I36">
            <v>127903.47920803416</v>
          </cell>
          <cell r="J36">
            <v>140399.64747186587</v>
          </cell>
          <cell r="K36">
            <v>153677.68915553374</v>
          </cell>
          <cell r="L36">
            <v>167786.52533882309</v>
          </cell>
          <cell r="M36">
            <v>180275.33155790571</v>
          </cell>
          <cell r="N36">
            <v>193367.54881395982</v>
          </cell>
          <cell r="O36">
            <v>206896.64921008452</v>
          </cell>
          <cell r="P36">
            <v>220909.84244203399</v>
          </cell>
          <cell r="Q36">
            <v>235424.45012520294</v>
          </cell>
          <cell r="R36">
            <v>248469.22045757616</v>
          </cell>
          <cell r="S36">
            <v>262058.25998362107</v>
          </cell>
          <cell r="T36">
            <v>275701.30300268857</v>
          </cell>
          <cell r="U36">
            <v>289588.87430495105</v>
          </cell>
          <cell r="V36">
            <v>303725.35664293641</v>
          </cell>
          <cell r="W36">
            <v>318115.21132253879</v>
          </cell>
          <cell r="X36">
            <v>332762.97961095325</v>
          </cell>
          <cell r="Y36">
            <v>347673.28416984621</v>
          </cell>
          <cell r="Z36">
            <v>362850.83051421202</v>
          </cell>
          <cell r="AA36">
            <v>378300.40849737811</v>
          </cell>
          <cell r="AB36">
            <v>394026.89382262534</v>
          </cell>
        </row>
        <row r="37">
          <cell r="C37">
            <v>2470</v>
          </cell>
          <cell r="D37">
            <v>2470</v>
          </cell>
          <cell r="E37">
            <v>2470</v>
          </cell>
          <cell r="F37">
            <v>2470</v>
          </cell>
          <cell r="G37">
            <v>2470</v>
          </cell>
          <cell r="H37">
            <v>2470</v>
          </cell>
          <cell r="I37">
            <v>2470</v>
          </cell>
          <cell r="J37">
            <v>2470</v>
          </cell>
          <cell r="K37">
            <v>2470</v>
          </cell>
          <cell r="L37">
            <v>2470</v>
          </cell>
          <cell r="M37">
            <v>2470</v>
          </cell>
          <cell r="N37">
            <v>2470</v>
          </cell>
          <cell r="O37">
            <v>2470</v>
          </cell>
          <cell r="P37">
            <v>2470</v>
          </cell>
          <cell r="Q37">
            <v>2470</v>
          </cell>
          <cell r="R37">
            <v>2470</v>
          </cell>
          <cell r="S37">
            <v>2470</v>
          </cell>
          <cell r="T37">
            <v>2470</v>
          </cell>
          <cell r="U37">
            <v>2470</v>
          </cell>
          <cell r="V37">
            <v>2470</v>
          </cell>
          <cell r="W37">
            <v>2470</v>
          </cell>
          <cell r="X37">
            <v>2470</v>
          </cell>
          <cell r="Y37">
            <v>2470</v>
          </cell>
          <cell r="Z37">
            <v>2470</v>
          </cell>
          <cell r="AA37">
            <v>2470</v>
          </cell>
          <cell r="AB37">
            <v>2470</v>
          </cell>
        </row>
        <row r="39">
          <cell r="C39">
            <v>28.822576420439177</v>
          </cell>
          <cell r="D39">
            <v>30.024318443067411</v>
          </cell>
          <cell r="E39">
            <v>33.624974852347151</v>
          </cell>
          <cell r="F39">
            <v>37.990460725855066</v>
          </cell>
          <cell r="G39">
            <v>42.559363765427022</v>
          </cell>
          <cell r="H39">
            <v>47.017050655499531</v>
          </cell>
          <cell r="I39">
            <v>51.782785104467273</v>
          </cell>
          <cell r="J39">
            <v>56.841962539216951</v>
          </cell>
          <cell r="K39">
            <v>62.217687917220132</v>
          </cell>
          <cell r="L39">
            <v>67.929767343653069</v>
          </cell>
          <cell r="M39">
            <v>72.985964193484094</v>
          </cell>
          <cell r="N39">
            <v>78.286457009700328</v>
          </cell>
          <cell r="O39">
            <v>83.763825591127343</v>
          </cell>
          <cell r="P39">
            <v>89.437183174912548</v>
          </cell>
          <cell r="Q39">
            <v>95.313542560810902</v>
          </cell>
          <cell r="R39">
            <v>100.59482609618468</v>
          </cell>
          <cell r="S39">
            <v>106.0964615318304</v>
          </cell>
          <cell r="T39">
            <v>111.61996072983342</v>
          </cell>
          <cell r="U39">
            <v>117.24245923277371</v>
          </cell>
          <cell r="V39">
            <v>122.96573143438721</v>
          </cell>
          <cell r="W39">
            <v>128.79158353139223</v>
          </cell>
          <cell r="X39">
            <v>134.72185409350334</v>
          </cell>
          <cell r="Y39">
            <v>140.75841464366243</v>
          </cell>
          <cell r="Z39">
            <v>146.90317024866883</v>
          </cell>
          <cell r="AA39">
            <v>153.15806012039599</v>
          </cell>
          <cell r="AB39">
            <v>159.52505822778355</v>
          </cell>
        </row>
        <row r="41">
          <cell r="D41">
            <v>1</v>
          </cell>
          <cell r="E41">
            <v>2</v>
          </cell>
          <cell r="F41">
            <v>3</v>
          </cell>
          <cell r="G41">
            <v>4</v>
          </cell>
          <cell r="H41">
            <v>5</v>
          </cell>
          <cell r="I41">
            <v>6</v>
          </cell>
          <cell r="J41">
            <v>7</v>
          </cell>
          <cell r="K41">
            <v>8</v>
          </cell>
          <cell r="L41">
            <v>9</v>
          </cell>
          <cell r="M41">
            <v>10</v>
          </cell>
          <cell r="N41">
            <v>11</v>
          </cell>
          <cell r="O41">
            <v>12</v>
          </cell>
          <cell r="P41">
            <v>13</v>
          </cell>
          <cell r="Q41">
            <v>14</v>
          </cell>
          <cell r="R41">
            <v>15</v>
          </cell>
          <cell r="S41">
            <v>16</v>
          </cell>
          <cell r="T41">
            <v>17</v>
          </cell>
          <cell r="U41">
            <v>18</v>
          </cell>
          <cell r="V41">
            <v>19</v>
          </cell>
          <cell r="W41">
            <v>20</v>
          </cell>
          <cell r="X41">
            <v>21</v>
          </cell>
          <cell r="Y41">
            <v>22</v>
          </cell>
          <cell r="Z41">
            <v>23</v>
          </cell>
          <cell r="AA41">
            <v>24</v>
          </cell>
          <cell r="AB41">
            <v>25</v>
          </cell>
          <cell r="AC41">
            <v>26</v>
          </cell>
        </row>
        <row r="44">
          <cell r="C44">
            <v>1.6172087338563206</v>
          </cell>
          <cell r="D44">
            <v>1.8529668652028675</v>
          </cell>
          <cell r="E44">
            <v>1.8950145878589821</v>
          </cell>
          <cell r="F44">
            <v>1.9878936909743068</v>
          </cell>
          <cell r="G44">
            <v>2.0427921429411025</v>
          </cell>
          <cell r="H44">
            <v>2.0289084580577792</v>
          </cell>
          <cell r="I44">
            <v>2.0169910608393615</v>
          </cell>
          <cell r="J44">
            <v>2.0198534565148138</v>
          </cell>
          <cell r="K44">
            <v>2.0198534565148138</v>
          </cell>
          <cell r="L44">
            <v>2.0198534565148138</v>
          </cell>
          <cell r="M44">
            <v>2.0198534565148134</v>
          </cell>
          <cell r="N44">
            <v>2.0031019446081317</v>
          </cell>
          <cell r="O44">
            <v>2.0090212765957447</v>
          </cell>
          <cell r="P44">
            <v>2.0090212765957447</v>
          </cell>
          <cell r="Q44">
            <v>2.0090212765957443</v>
          </cell>
          <cell r="R44">
            <v>2.0090212765957447</v>
          </cell>
          <cell r="S44">
            <v>2.0281693468496682</v>
          </cell>
          <cell r="T44">
            <v>2.0602121772924957</v>
          </cell>
          <cell r="U44">
            <v>2.0602121772924962</v>
          </cell>
          <cell r="V44">
            <v>2.0602121772924962</v>
          </cell>
          <cell r="W44">
            <v>2.0602121772924962</v>
          </cell>
          <cell r="X44">
            <v>2.0602121772924962</v>
          </cell>
          <cell r="Y44">
            <v>2.0602121772924957</v>
          </cell>
          <cell r="Z44">
            <v>2.0602121772924957</v>
          </cell>
          <cell r="AA44">
            <v>2.0602121772924962</v>
          </cell>
          <cell r="AB44">
            <v>2.0602121772924962</v>
          </cell>
        </row>
        <row r="45">
          <cell r="C45">
            <v>0.33486481934004386</v>
          </cell>
          <cell r="D45">
            <v>0.23575813134654688</v>
          </cell>
          <cell r="E45">
            <v>4.2047722656114672E-2</v>
          </cell>
          <cell r="F45">
            <v>9.2879103115324657E-2</v>
          </cell>
          <cell r="G45">
            <v>5.4898451966795658E-2</v>
          </cell>
          <cell r="H45">
            <v>-1.3883684883323255E-2</v>
          </cell>
          <cell r="I45">
            <v>-1.1917397218417669E-2</v>
          </cell>
          <cell r="J45">
            <v>2.8623956754523228E-3</v>
          </cell>
          <cell r="K45">
            <v>0</v>
          </cell>
          <cell r="L45">
            <v>0</v>
          </cell>
          <cell r="M45">
            <v>-4.4408920985006262E-16</v>
          </cell>
          <cell r="N45">
            <v>-1.6751511906681671E-2</v>
          </cell>
          <cell r="O45">
            <v>5.9193319876129635E-3</v>
          </cell>
          <cell r="P45">
            <v>0</v>
          </cell>
          <cell r="Q45">
            <v>-4.4408920985006262E-16</v>
          </cell>
          <cell r="R45">
            <v>4.4408920985006262E-16</v>
          </cell>
          <cell r="S45">
            <v>1.914807025392351E-2</v>
          </cell>
          <cell r="T45">
            <v>3.2042830442827519E-2</v>
          </cell>
          <cell r="U45">
            <v>4.4408920985006262E-16</v>
          </cell>
          <cell r="V45">
            <v>0</v>
          </cell>
          <cell r="W45">
            <v>0</v>
          </cell>
          <cell r="X45">
            <v>0</v>
          </cell>
          <cell r="Y45">
            <v>-4.4408920985006262E-16</v>
          </cell>
          <cell r="Z45">
            <v>0</v>
          </cell>
          <cell r="AA45">
            <v>4.4408920985006262E-16</v>
          </cell>
          <cell r="AB45">
            <v>0</v>
          </cell>
        </row>
        <row r="46">
          <cell r="C46">
            <v>9.5426712753357048</v>
          </cell>
          <cell r="D46">
            <v>9.486575090296455</v>
          </cell>
          <cell r="E46">
            <v>3.1437366886592808</v>
          </cell>
          <cell r="F46">
            <v>2.3937145238754018</v>
          </cell>
          <cell r="G46">
            <v>2.0930608151202255</v>
          </cell>
          <cell r="H46">
            <v>1.9647490499711482</v>
          </cell>
          <cell r="I46">
            <v>1.8325321293555097</v>
          </cell>
          <cell r="J46">
            <v>1.8667361449172493</v>
          </cell>
          <cell r="K46">
            <v>1.8670738031554825</v>
          </cell>
          <cell r="L46">
            <v>1.8586046511627907</v>
          </cell>
          <cell r="M46">
            <v>1.8586046511627898</v>
          </cell>
          <cell r="N46">
            <v>1.8892317012247664</v>
          </cell>
          <cell r="O46">
            <v>1.8905379101016728</v>
          </cell>
          <cell r="P46">
            <v>1.8919989735290825</v>
          </cell>
          <cell r="Q46">
            <v>1.8704680851063826</v>
          </cell>
          <cell r="R46">
            <v>1.8704680851063831</v>
          </cell>
          <cell r="S46">
            <v>2.0644182395120967</v>
          </cell>
          <cell r="T46">
            <v>2.0717157570991698</v>
          </cell>
          <cell r="U46">
            <v>2.0797274263596934</v>
          </cell>
          <cell r="V46">
            <v>1.9337079207920798</v>
          </cell>
          <cell r="W46">
            <v>1.9337079207920789</v>
          </cell>
          <cell r="X46">
            <v>1.9337079207920804</v>
          </cell>
          <cell r="Y46">
            <v>1.9337079207920782</v>
          </cell>
          <cell r="Z46">
            <v>1.9337079207920804</v>
          </cell>
          <cell r="AA46">
            <v>1.9337079207920789</v>
          </cell>
          <cell r="AB46">
            <v>1.9337079207920795</v>
          </cell>
        </row>
        <row r="47">
          <cell r="C47" t="str">
            <v>NM</v>
          </cell>
          <cell r="D47">
            <v>25.290438032558981</v>
          </cell>
          <cell r="E47">
            <v>2.1040320010618481</v>
          </cell>
          <cell r="F47">
            <v>2.6925288923116377</v>
          </cell>
          <cell r="G47">
            <v>3.6130458489663795</v>
          </cell>
          <cell r="H47">
            <v>2.0922940054431631</v>
          </cell>
          <cell r="I47">
            <v>2.0284253846153857</v>
          </cell>
          <cell r="J47">
            <v>2.248519633692494</v>
          </cell>
          <cell r="K47">
            <v>2.2117395348837241</v>
          </cell>
          <cell r="L47">
            <v>2.211739534883717</v>
          </cell>
          <cell r="M47">
            <v>2.211739534883721</v>
          </cell>
          <cell r="N47">
            <v>1.862517503059973</v>
          </cell>
          <cell r="O47">
            <v>2.2598985041551241</v>
          </cell>
          <cell r="P47">
            <v>2.1697429787234084</v>
          </cell>
          <cell r="Q47">
            <v>2.1697429787233991</v>
          </cell>
          <cell r="R47">
            <v>2.1697429787234044</v>
          </cell>
          <cell r="S47">
            <v>1.8985251063829829</v>
          </cell>
          <cell r="T47">
            <v>2.9062878955733118</v>
          </cell>
          <cell r="U47">
            <v>2.2044270297029707</v>
          </cell>
          <cell r="V47">
            <v>2.2044270297029711</v>
          </cell>
          <cell r="W47">
            <v>2.2044270297029716</v>
          </cell>
          <cell r="X47">
            <v>2.2044270297029702</v>
          </cell>
          <cell r="Y47">
            <v>2.2044270297029716</v>
          </cell>
          <cell r="Z47">
            <v>2.2044270297029649</v>
          </cell>
          <cell r="AA47">
            <v>2.2044270297029764</v>
          </cell>
          <cell r="AB47">
            <v>2.2044270297029702</v>
          </cell>
        </row>
        <row r="48">
          <cell r="C48">
            <v>4691.3010948295905</v>
          </cell>
          <cell r="D48">
            <v>5909.7107791829258</v>
          </cell>
          <cell r="E48">
            <v>7002.7657929495372</v>
          </cell>
          <cell r="F48">
            <v>8340.518930881708</v>
          </cell>
          <cell r="G48">
            <v>10123.394640162907</v>
          </cell>
          <cell r="H48">
            <v>12244.079668421226</v>
          </cell>
          <cell r="I48">
            <v>14565.046432443634</v>
          </cell>
          <cell r="J48">
            <v>17333.958014978241</v>
          </cell>
          <cell r="K48">
            <v>20627.410037824109</v>
          </cell>
          <cell r="L48">
            <v>24546.617945010687</v>
          </cell>
          <cell r="M48">
            <v>29210.475354562717</v>
          </cell>
          <cell r="N48">
            <v>33866.264779124052</v>
          </cell>
          <cell r="O48">
            <v>39292.238384244156</v>
          </cell>
          <cell r="P48">
            <v>45578.996525723225</v>
          </cell>
          <cell r="Q48">
            <v>52871.635969838935</v>
          </cell>
          <cell r="R48">
            <v>61331.097725013162</v>
          </cell>
          <cell r="S48">
            <v>69959.356860475222</v>
          </cell>
          <cell r="T48">
            <v>79831.623592783581</v>
          </cell>
          <cell r="U48">
            <v>91008.050895773282</v>
          </cell>
          <cell r="V48">
            <v>103749.17802118156</v>
          </cell>
          <cell r="W48">
            <v>118274.06294414699</v>
          </cell>
          <cell r="X48">
            <v>134832.4317563276</v>
          </cell>
          <cell r="Y48">
            <v>153708.97220221348</v>
          </cell>
          <cell r="Z48">
            <v>175228.22831052338</v>
          </cell>
          <cell r="AA48">
            <v>199760.18027399667</v>
          </cell>
          <cell r="AB48">
            <v>227726.60551235624</v>
          </cell>
        </row>
        <row r="49">
          <cell r="C49">
            <v>4697.2650815105171</v>
          </cell>
          <cell r="D49">
            <v>5306.3186988261568</v>
          </cell>
          <cell r="E49">
            <v>5608.1482760641866</v>
          </cell>
          <cell r="F49">
            <v>5959.9725964786603</v>
          </cell>
          <cell r="G49">
            <v>6476.4189017800381</v>
          </cell>
          <cell r="H49">
            <v>6991.3653871256629</v>
          </cell>
          <cell r="I49">
            <v>7421.7522971001745</v>
          </cell>
          <cell r="J49">
            <v>7887.5297322467759</v>
          </cell>
          <cell r="K49">
            <v>8381.0450015362167</v>
          </cell>
          <cell r="L49">
            <v>8905.4390540809618</v>
          </cell>
          <cell r="M49">
            <v>9462.6439461205318</v>
          </cell>
          <cell r="N49">
            <v>9786.7000157860366</v>
          </cell>
          <cell r="O49">
            <v>10140.670764368651</v>
          </cell>
          <cell r="P49">
            <v>10503.520172219542</v>
          </cell>
          <cell r="Q49">
            <v>10879.352911827966</v>
          </cell>
          <cell r="R49">
            <v>11268.633547555555</v>
          </cell>
          <cell r="S49">
            <v>11458.830851520013</v>
          </cell>
          <cell r="T49">
            <v>11686.943883263752</v>
          </cell>
          <cell r="U49">
            <v>11896.412424818267</v>
          </cell>
          <cell r="V49">
            <v>12109.635332812739</v>
          </cell>
          <cell r="W49">
            <v>12326.679897863985</v>
          </cell>
          <cell r="X49">
            <v>12547.614616658391</v>
          </cell>
          <cell r="Y49">
            <v>12772.509213568665</v>
          </cell>
          <cell r="Z49">
            <v>13001.434662657979</v>
          </cell>
          <cell r="AA49">
            <v>13234.463210078604</v>
          </cell>
          <cell r="AB49">
            <v>13471.668396871873</v>
          </cell>
        </row>
        <row r="50">
          <cell r="C50">
            <v>4697.2650815105171</v>
          </cell>
          <cell r="D50">
            <v>5306.3186988261568</v>
          </cell>
          <cell r="E50">
            <v>10914.466974890343</v>
          </cell>
          <cell r="F50">
            <v>16874.439571369003</v>
          </cell>
          <cell r="G50">
            <v>23350.858473149041</v>
          </cell>
          <cell r="H50">
            <v>30342.223860274702</v>
          </cell>
          <cell r="I50">
            <v>37763.976157374876</v>
          </cell>
          <cell r="J50">
            <v>45651.505889621651</v>
          </cell>
          <cell r="K50">
            <v>54032.550891157865</v>
          </cell>
          <cell r="L50">
            <v>62937.989945238827</v>
          </cell>
          <cell r="M50">
            <v>72400.633891359364</v>
          </cell>
          <cell r="N50">
            <v>82187.333907145396</v>
          </cell>
          <cell r="O50">
            <v>92328.004671514049</v>
          </cell>
          <cell r="P50">
            <v>102831.52484373358</v>
          </cell>
          <cell r="Q50">
            <v>113710.87775556155</v>
          </cell>
          <cell r="R50">
            <v>124979.51130311711</v>
          </cell>
          <cell r="S50">
            <v>136438.34215463712</v>
          </cell>
          <cell r="T50">
            <v>148125.28603790086</v>
          </cell>
          <cell r="U50">
            <v>160021.69846271913</v>
          </cell>
          <cell r="V50">
            <v>172131.33379553186</v>
          </cell>
          <cell r="W50">
            <v>184458.01369339583</v>
          </cell>
          <cell r="X50">
            <v>197005.62831005422</v>
          </cell>
          <cell r="Y50">
            <v>209778.13752362289</v>
          </cell>
          <cell r="Z50">
            <v>222779.57218628086</v>
          </cell>
          <cell r="AA50">
            <v>236014.03539635945</v>
          </cell>
          <cell r="AB50">
            <v>249485.70379323134</v>
          </cell>
        </row>
        <row r="51">
          <cell r="B51" t="str">
            <v>Economic Profit2</v>
          </cell>
          <cell r="C51">
            <v>4697.2650815105171</v>
          </cell>
          <cell r="D51">
            <v>5942.6907184885731</v>
          </cell>
          <cell r="E51">
            <v>7033.9468747106084</v>
          </cell>
          <cell r="F51">
            <v>8371.7000067076315</v>
          </cell>
          <cell r="G51">
            <v>10188.121703244953</v>
          </cell>
          <cell r="H51">
            <v>12317.171568574611</v>
          </cell>
          <cell r="I51">
            <v>14643.511899907904</v>
          </cell>
          <cell r="J51">
            <v>17428.88468163104</v>
          </cell>
          <cell r="K51">
            <v>20740.372771140937</v>
          </cell>
          <cell r="L51">
            <v>24681.043597657714</v>
          </cell>
          <cell r="M51">
            <v>29370.441881212679</v>
          </cell>
          <cell r="N51">
            <v>34019.196836948817</v>
          </cell>
          <cell r="O51">
            <v>39477.010811781132</v>
          </cell>
          <cell r="P51">
            <v>45793.332541666117</v>
          </cell>
          <cell r="Q51">
            <v>53120.265748332691</v>
          </cell>
          <cell r="R51">
            <v>61619.508268065918</v>
          </cell>
          <cell r="S51">
            <v>70174.136789831959</v>
          </cell>
          <cell r="T51">
            <v>80154.429484092063</v>
          </cell>
          <cell r="U51">
            <v>91376.049611864961</v>
          </cell>
          <cell r="V51">
            <v>104168.69655752608</v>
          </cell>
          <cell r="W51">
            <v>118752.31407557975</v>
          </cell>
          <cell r="X51">
            <v>135377.63804616092</v>
          </cell>
          <cell r="Y51">
            <v>154330.50737262348</v>
          </cell>
          <cell r="Z51">
            <v>175936.77840479076</v>
          </cell>
          <cell r="AA51">
            <v>200567.92738146149</v>
          </cell>
          <cell r="AB51">
            <v>228647.43721486614</v>
          </cell>
          <cell r="AC51">
            <v>260658.07842494742</v>
          </cell>
        </row>
        <row r="52">
          <cell r="C52">
            <v>3085.6533333333318</v>
          </cell>
          <cell r="D52">
            <v>3135.0266666666648</v>
          </cell>
          <cell r="E52">
            <v>3135.0266666666648</v>
          </cell>
          <cell r="F52">
            <v>3135.0266666666648</v>
          </cell>
          <cell r="G52">
            <v>3135.0266666666648</v>
          </cell>
          <cell r="H52">
            <v>3135.0266666666648</v>
          </cell>
          <cell r="I52">
            <v>3135.0266666666648</v>
          </cell>
          <cell r="J52">
            <v>3135.0266666666648</v>
          </cell>
          <cell r="K52">
            <v>3135.0266666666648</v>
          </cell>
          <cell r="L52">
            <v>3135.0266666666648</v>
          </cell>
          <cell r="M52">
            <v>3135.0266666666648</v>
          </cell>
          <cell r="N52">
            <v>3135.0266666666648</v>
          </cell>
          <cell r="O52">
            <v>3135.0266666666648</v>
          </cell>
          <cell r="P52">
            <v>3135.0266666666648</v>
          </cell>
          <cell r="Q52">
            <v>3135.0266666666648</v>
          </cell>
          <cell r="R52">
            <v>3135.0266666666648</v>
          </cell>
          <cell r="S52">
            <v>3135.0266666666648</v>
          </cell>
          <cell r="T52">
            <v>3135.0266666666648</v>
          </cell>
          <cell r="U52">
            <v>3135.0266666666648</v>
          </cell>
          <cell r="V52">
            <v>3135.0266666666648</v>
          </cell>
          <cell r="W52">
            <v>3135.0266666666648</v>
          </cell>
          <cell r="X52">
            <v>3135.0266666666648</v>
          </cell>
          <cell r="Y52">
            <v>3135.0266666666648</v>
          </cell>
          <cell r="Z52">
            <v>3135.0266666666648</v>
          </cell>
          <cell r="AA52">
            <v>3135.0266666666648</v>
          </cell>
          <cell r="AB52">
            <v>3135.0266666666648</v>
          </cell>
        </row>
        <row r="54">
          <cell r="C54">
            <v>49197.033031482904</v>
          </cell>
          <cell r="D54">
            <v>58651.799064997474</v>
          </cell>
          <cell r="E54">
            <v>69806.507693599182</v>
          </cell>
          <cell r="F54">
            <v>84952.541955763256</v>
          </cell>
          <cell r="G54">
            <v>102705.39211583966</v>
          </cell>
          <cell r="H54">
            <v>122103.3273150266</v>
          </cell>
          <cell r="I54">
            <v>145328.85455096548</v>
          </cell>
          <cell r="J54">
            <v>172941.33691564892</v>
          </cell>
          <cell r="K54">
            <v>205800.19092962221</v>
          </cell>
          <cell r="L54">
            <v>244902.22720625042</v>
          </cell>
          <cell r="M54">
            <v>283665.36352542613</v>
          </cell>
          <cell r="N54">
            <v>329174.75025919644</v>
          </cell>
          <cell r="O54">
            <v>381842.71030066791</v>
          </cell>
          <cell r="P54">
            <v>442937.54394877475</v>
          </cell>
          <cell r="Q54">
            <v>513807.55098057864</v>
          </cell>
          <cell r="R54">
            <v>585139.38815129385</v>
          </cell>
          <cell r="S54">
            <v>668358.97057637281</v>
          </cell>
          <cell r="T54">
            <v>761929.22645706509</v>
          </cell>
          <cell r="U54">
            <v>868599.3181610544</v>
          </cell>
          <cell r="V54">
            <v>990203.22270360216</v>
          </cell>
          <cell r="W54">
            <v>1128831.6738821066</v>
          </cell>
          <cell r="X54">
            <v>1286868.1082256017</v>
          </cell>
          <cell r="Y54">
            <v>1467029.6433771858</v>
          </cell>
          <cell r="Z54">
            <v>1672413.7934499921</v>
          </cell>
          <cell r="AA54">
            <v>1906551.7245329912</v>
          </cell>
          <cell r="AB54">
            <v>2173468.9659676105</v>
          </cell>
        </row>
        <row r="55">
          <cell r="C55">
            <v>49197.033031482904</v>
          </cell>
          <cell r="D55">
            <v>52371.081188883683</v>
          </cell>
          <cell r="E55">
            <v>55656.554243740451</v>
          </cell>
          <cell r="F55">
            <v>60479.331754826329</v>
          </cell>
          <cell r="G55">
            <v>65288.103360789028</v>
          </cell>
          <cell r="H55">
            <v>69307.224592142491</v>
          </cell>
          <cell r="I55">
            <v>73656.836383992602</v>
          </cell>
          <cell r="J55">
            <v>78265.474915577535</v>
          </cell>
          <cell r="K55">
            <v>83162.471597709198</v>
          </cell>
          <cell r="L55">
            <v>88365.868726917601</v>
          </cell>
          <cell r="M55">
            <v>91392.030999879673</v>
          </cell>
          <cell r="N55">
            <v>94697.548240147764</v>
          </cell>
          <cell r="O55">
            <v>98085.9778719038</v>
          </cell>
          <cell r="P55">
            <v>101595.65093163375</v>
          </cell>
          <cell r="Q55">
            <v>105230.90570297471</v>
          </cell>
          <cell r="R55">
            <v>107007.04248779235</v>
          </cell>
          <cell r="S55">
            <v>109137.25116231725</v>
          </cell>
          <cell r="T55">
            <v>111093.350298121</v>
          </cell>
          <cell r="U55">
            <v>113084.50917556518</v>
          </cell>
          <cell r="V55">
            <v>115111.35618073781</v>
          </cell>
          <cell r="W55">
            <v>117174.53096247619</v>
          </cell>
          <cell r="X55">
            <v>119274.68463423231</v>
          </cell>
          <cell r="Y55">
            <v>121412.47997955658</v>
          </cell>
          <cell r="Z55">
            <v>123588.59166126442</v>
          </cell>
          <cell r="AA55">
            <v>125803.70643435189</v>
          </cell>
          <cell r="AB55">
            <v>128058.52336272725</v>
          </cell>
        </row>
        <row r="56">
          <cell r="C56">
            <v>53894.29811299342</v>
          </cell>
          <cell r="D56">
            <v>57677.399887709842</v>
          </cell>
          <cell r="E56">
            <v>66571.021218630791</v>
          </cell>
          <cell r="F56">
            <v>77353.771326195332</v>
          </cell>
          <cell r="G56">
            <v>88638.961833938069</v>
          </cell>
          <cell r="H56">
            <v>99649.448452417186</v>
          </cell>
          <cell r="I56">
            <v>111420.81254136749</v>
          </cell>
          <cell r="J56">
            <v>123916.98080519919</v>
          </cell>
          <cell r="K56">
            <v>137195.02248886705</v>
          </cell>
          <cell r="L56">
            <v>151303.85867215644</v>
          </cell>
          <cell r="M56">
            <v>163792.66489123902</v>
          </cell>
          <cell r="N56">
            <v>176884.88214729316</v>
          </cell>
          <cell r="O56">
            <v>190413.98254341783</v>
          </cell>
          <cell r="P56">
            <v>204427.17577536733</v>
          </cell>
          <cell r="Q56">
            <v>218941.78345853626</v>
          </cell>
          <cell r="R56">
            <v>231986.55379090947</v>
          </cell>
          <cell r="S56">
            <v>245575.59331695439</v>
          </cell>
          <cell r="T56">
            <v>259218.63633602188</v>
          </cell>
          <cell r="U56">
            <v>273106.20763828431</v>
          </cell>
          <cell r="V56">
            <v>287242.68997626967</v>
          </cell>
          <cell r="W56">
            <v>301632.54465587204</v>
          </cell>
          <cell r="X56">
            <v>316280.3129442865</v>
          </cell>
          <cell r="Y56">
            <v>331190.61750317947</v>
          </cell>
          <cell r="Z56">
            <v>346368.16384754528</v>
          </cell>
          <cell r="AA56">
            <v>361817.74183071137</v>
          </cell>
          <cell r="AB56">
            <v>377544.22715595859</v>
          </cell>
        </row>
        <row r="58">
          <cell r="C58">
            <v>56979.951446326755</v>
          </cell>
          <cell r="D58">
            <v>60812.426554376507</v>
          </cell>
          <cell r="E58">
            <v>69706.047885297448</v>
          </cell>
          <cell r="F58">
            <v>80488.797992862004</v>
          </cell>
          <cell r="G58">
            <v>91773.988500604726</v>
          </cell>
          <cell r="H58">
            <v>102784.47511908386</v>
          </cell>
          <cell r="I58">
            <v>114555.83920803416</v>
          </cell>
          <cell r="J58">
            <v>127052.00747186586</v>
          </cell>
          <cell r="K58">
            <v>140330.04915553372</v>
          </cell>
          <cell r="L58">
            <v>154438.88533882311</v>
          </cell>
          <cell r="M58">
            <v>166927.69155790569</v>
          </cell>
          <cell r="N58">
            <v>180019.90881395983</v>
          </cell>
          <cell r="O58">
            <v>193549.00921008451</v>
          </cell>
          <cell r="P58">
            <v>207562.202442034</v>
          </cell>
          <cell r="Q58">
            <v>222076.81012520293</v>
          </cell>
          <cell r="R58">
            <v>235121.58045757614</v>
          </cell>
          <cell r="S58">
            <v>248710.61998362106</v>
          </cell>
          <cell r="T58">
            <v>262353.66300268855</v>
          </cell>
          <cell r="U58">
            <v>276241.23430495098</v>
          </cell>
          <cell r="V58">
            <v>290377.71664293634</v>
          </cell>
          <cell r="W58">
            <v>304767.57132253872</v>
          </cell>
          <cell r="X58">
            <v>319415.33961095317</v>
          </cell>
          <cell r="Y58">
            <v>334325.64416984614</v>
          </cell>
          <cell r="Z58">
            <v>349503.19051421195</v>
          </cell>
          <cell r="AA58">
            <v>364952.76849737804</v>
          </cell>
          <cell r="AB58">
            <v>380679.25382262527</v>
          </cell>
        </row>
        <row r="59">
          <cell r="C59">
            <v>13347.64</v>
          </cell>
          <cell r="D59">
            <v>13347.64</v>
          </cell>
          <cell r="E59">
            <v>13347.64</v>
          </cell>
          <cell r="F59">
            <v>13347.64</v>
          </cell>
          <cell r="G59">
            <v>13347.64</v>
          </cell>
          <cell r="H59">
            <v>13347.64</v>
          </cell>
          <cell r="I59">
            <v>13347.64</v>
          </cell>
          <cell r="J59">
            <v>13347.64</v>
          </cell>
          <cell r="K59">
            <v>13347.64</v>
          </cell>
          <cell r="L59">
            <v>13347.64</v>
          </cell>
          <cell r="M59">
            <v>13347.64</v>
          </cell>
          <cell r="N59">
            <v>13347.64</v>
          </cell>
          <cell r="O59">
            <v>13347.64</v>
          </cell>
          <cell r="P59">
            <v>13347.64</v>
          </cell>
          <cell r="Q59">
            <v>13347.64</v>
          </cell>
          <cell r="R59">
            <v>13347.64</v>
          </cell>
          <cell r="S59">
            <v>13347.64</v>
          </cell>
          <cell r="T59">
            <v>13347.64</v>
          </cell>
          <cell r="U59">
            <v>13347.64</v>
          </cell>
          <cell r="V59">
            <v>13347.64</v>
          </cell>
          <cell r="W59">
            <v>13347.64</v>
          </cell>
          <cell r="X59">
            <v>13347.64</v>
          </cell>
          <cell r="Y59">
            <v>13347.64</v>
          </cell>
          <cell r="Z59">
            <v>13347.64</v>
          </cell>
          <cell r="AA59">
            <v>13347.64</v>
          </cell>
          <cell r="AB59">
            <v>13347.64</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row>
        <row r="61">
          <cell r="C61">
            <v>70327.591446326755</v>
          </cell>
          <cell r="D61">
            <v>74160.066554376506</v>
          </cell>
          <cell r="E61">
            <v>83053.687885297448</v>
          </cell>
          <cell r="F61">
            <v>93836.437992862004</v>
          </cell>
          <cell r="G61">
            <v>105121.62850060473</v>
          </cell>
          <cell r="H61">
            <v>116132.11511908386</v>
          </cell>
          <cell r="I61">
            <v>127903.47920803416</v>
          </cell>
          <cell r="J61">
            <v>140399.64747186587</v>
          </cell>
          <cell r="K61">
            <v>153677.68915553374</v>
          </cell>
          <cell r="L61">
            <v>167786.52533882309</v>
          </cell>
          <cell r="M61">
            <v>180275.33155790571</v>
          </cell>
          <cell r="N61">
            <v>193367.54881395982</v>
          </cell>
          <cell r="O61">
            <v>206896.64921008452</v>
          </cell>
          <cell r="P61">
            <v>220909.84244203399</v>
          </cell>
          <cell r="Q61">
            <v>235424.45012520294</v>
          </cell>
          <cell r="R61">
            <v>248469.22045757616</v>
          </cell>
          <cell r="S61">
            <v>262058.25998362107</v>
          </cell>
          <cell r="T61">
            <v>275701.30300268857</v>
          </cell>
          <cell r="U61">
            <v>289588.87430495099</v>
          </cell>
          <cell r="V61">
            <v>303725.35664293636</v>
          </cell>
          <cell r="W61">
            <v>318115.21132253873</v>
          </cell>
          <cell r="X61">
            <v>332762.97961095319</v>
          </cell>
          <cell r="Y61">
            <v>347673.28416984616</v>
          </cell>
          <cell r="Z61">
            <v>362850.83051421196</v>
          </cell>
          <cell r="AA61">
            <v>378300.40849737806</v>
          </cell>
          <cell r="AB61">
            <v>394026.89382262528</v>
          </cell>
        </row>
        <row r="62">
          <cell r="C62">
            <v>2470</v>
          </cell>
          <cell r="D62">
            <v>2470</v>
          </cell>
          <cell r="E62">
            <v>2470</v>
          </cell>
          <cell r="F62">
            <v>2470</v>
          </cell>
          <cell r="G62">
            <v>2470</v>
          </cell>
          <cell r="H62">
            <v>2470</v>
          </cell>
          <cell r="I62">
            <v>2470</v>
          </cell>
          <cell r="J62">
            <v>2470</v>
          </cell>
          <cell r="K62">
            <v>2470</v>
          </cell>
          <cell r="L62">
            <v>2470</v>
          </cell>
          <cell r="M62">
            <v>2470</v>
          </cell>
          <cell r="N62">
            <v>2470</v>
          </cell>
          <cell r="O62">
            <v>2470</v>
          </cell>
          <cell r="P62">
            <v>2470</v>
          </cell>
          <cell r="Q62">
            <v>2470</v>
          </cell>
          <cell r="R62">
            <v>2470</v>
          </cell>
          <cell r="S62">
            <v>2470</v>
          </cell>
          <cell r="T62">
            <v>2470</v>
          </cell>
          <cell r="U62">
            <v>2470</v>
          </cell>
          <cell r="V62">
            <v>2470</v>
          </cell>
          <cell r="W62">
            <v>2470</v>
          </cell>
          <cell r="X62">
            <v>2470</v>
          </cell>
          <cell r="Y62">
            <v>2470</v>
          </cell>
          <cell r="Z62">
            <v>2470</v>
          </cell>
          <cell r="AA62">
            <v>2470</v>
          </cell>
          <cell r="AB62">
            <v>2470</v>
          </cell>
        </row>
        <row r="64">
          <cell r="C64">
            <v>28.472709087581681</v>
          </cell>
          <cell r="D64">
            <v>30.024318443067411</v>
          </cell>
          <cell r="E64">
            <v>33.624974852347144</v>
          </cell>
          <cell r="F64">
            <v>37.990460725855066</v>
          </cell>
          <cell r="G64">
            <v>42.559363765427015</v>
          </cell>
          <cell r="H64">
            <v>47.017050655499538</v>
          </cell>
          <cell r="I64">
            <v>51.782785104467273</v>
          </cell>
          <cell r="J64">
            <v>56.841962539216951</v>
          </cell>
          <cell r="K64">
            <v>62.217687917220132</v>
          </cell>
          <cell r="L64">
            <v>67.929767343653069</v>
          </cell>
          <cell r="M64">
            <v>72.985964193484094</v>
          </cell>
          <cell r="N64">
            <v>78.286457009700328</v>
          </cell>
          <cell r="O64">
            <v>83.763825591127343</v>
          </cell>
          <cell r="P64">
            <v>89.437183174912548</v>
          </cell>
          <cell r="Q64">
            <v>95.313542560810902</v>
          </cell>
          <cell r="R64">
            <v>100.59482609618468</v>
          </cell>
          <cell r="S64">
            <v>106.0964615318304</v>
          </cell>
          <cell r="T64">
            <v>111.61996072983342</v>
          </cell>
          <cell r="U64">
            <v>117.24245923277368</v>
          </cell>
          <cell r="V64">
            <v>122.96573143438719</v>
          </cell>
          <cell r="W64">
            <v>128.79158353139221</v>
          </cell>
          <cell r="X64">
            <v>134.72185409350331</v>
          </cell>
          <cell r="Y64">
            <v>140.75841464366241</v>
          </cell>
          <cell r="Z64">
            <v>146.9031702486688</v>
          </cell>
          <cell r="AA64">
            <v>153.15806012039599</v>
          </cell>
          <cell r="AB64">
            <v>159.52505822778352</v>
          </cell>
        </row>
        <row r="65">
          <cell r="C65">
            <v>1106.3095797277638</v>
          </cell>
          <cell r="D65">
            <v>1218.4096843533353</v>
          </cell>
          <cell r="E65">
            <v>1093.0550137666114</v>
          </cell>
          <cell r="F65">
            <v>1337.7531379321708</v>
          </cell>
          <cell r="G65">
            <v>1782.8757092811993</v>
          </cell>
          <cell r="H65">
            <v>2120.6850282583182</v>
          </cell>
          <cell r="I65">
            <v>2320.9667640224088</v>
          </cell>
          <cell r="J65">
            <v>2768.9115825346071</v>
          </cell>
          <cell r="K65">
            <v>3293.4520228458678</v>
          </cell>
          <cell r="L65">
            <v>3919.2079071865774</v>
          </cell>
          <cell r="M65">
            <v>4663.8574095520307</v>
          </cell>
          <cell r="N65">
            <v>4655.7894245613352</v>
          </cell>
          <cell r="O65">
            <v>5425.9736051201035</v>
          </cell>
          <cell r="P65">
            <v>6286.7581414790693</v>
          </cell>
          <cell r="Q65">
            <v>7292.6394441157099</v>
          </cell>
          <cell r="R65">
            <v>8459.4617551742267</v>
          </cell>
          <cell r="S65">
            <v>8628.2591354620599</v>
          </cell>
          <cell r="T65">
            <v>9872.2667323083588</v>
          </cell>
          <cell r="U65">
            <v>11176.427302989701</v>
          </cell>
          <cell r="V65">
            <v>12741.127125408282</v>
          </cell>
          <cell r="W65">
            <v>14524.88492296543</v>
          </cell>
          <cell r="X65">
            <v>16558.368812180604</v>
          </cell>
          <cell r="Y65">
            <v>18876.540445885883</v>
          </cell>
          <cell r="Z65">
            <v>21519.256108309899</v>
          </cell>
          <cell r="AA65">
            <v>24531.951963473286</v>
          </cell>
          <cell r="AB65">
            <v>27966.425238359574</v>
          </cell>
        </row>
        <row r="68">
          <cell r="C68">
            <v>0.27522451135763337</v>
          </cell>
          <cell r="D68">
            <v>0.20822977078155205</v>
          </cell>
          <cell r="E68">
            <v>0.23499999999999999</v>
          </cell>
          <cell r="F68">
            <v>0.23500000000000018</v>
          </cell>
          <cell r="G68">
            <v>0.20999999999999994</v>
          </cell>
          <cell r="H68">
            <v>0.21</v>
          </cell>
          <cell r="I68">
            <v>0.18999999999999997</v>
          </cell>
          <cell r="J68">
            <v>0.18999999999999995</v>
          </cell>
          <cell r="K68">
            <v>0.19</v>
          </cell>
          <cell r="L68">
            <v>0.19</v>
          </cell>
          <cell r="M68">
            <v>0.18999999999999986</v>
          </cell>
          <cell r="N68">
            <v>0.15999999999999992</v>
          </cell>
          <cell r="O68">
            <v>0.15999999999999992</v>
          </cell>
          <cell r="P68">
            <v>0.16</v>
          </cell>
          <cell r="Q68">
            <v>0.15999999999999995</v>
          </cell>
          <cell r="R68">
            <v>0.15999999999999998</v>
          </cell>
          <cell r="S68">
            <v>0.1400000000000001</v>
          </cell>
          <cell r="T68">
            <v>0.14000000000000012</v>
          </cell>
          <cell r="U68">
            <v>0.14000000000000015</v>
          </cell>
          <cell r="V68">
            <v>0.14000000000000021</v>
          </cell>
          <cell r="W68">
            <v>0.14000000000000015</v>
          </cell>
          <cell r="X68">
            <v>0.14000000000000015</v>
          </cell>
          <cell r="Y68">
            <v>0.14000000000000007</v>
          </cell>
          <cell r="Z68">
            <v>0.14000000000000001</v>
          </cell>
          <cell r="AA68">
            <v>0.14000000000000018</v>
          </cell>
          <cell r="AB68">
            <v>0.14000000000000021</v>
          </cell>
        </row>
        <row r="69">
          <cell r="C69">
            <v>0.35004090763641249</v>
          </cell>
          <cell r="D69">
            <v>0.36106661333333345</v>
          </cell>
          <cell r="E69">
            <v>0.34590546064391747</v>
          </cell>
          <cell r="F69">
            <v>0.33254099048377711</v>
          </cell>
          <cell r="G69">
            <v>0.33300000000000002</v>
          </cell>
          <cell r="H69">
            <v>0.33300000000000002</v>
          </cell>
          <cell r="I69">
            <v>0.33300000000000002</v>
          </cell>
          <cell r="J69">
            <v>0.33300000000000002</v>
          </cell>
          <cell r="K69">
            <v>0.33300000000000002</v>
          </cell>
          <cell r="L69">
            <v>0.33300000000000002</v>
          </cell>
          <cell r="M69">
            <v>0.33300000000000002</v>
          </cell>
          <cell r="N69">
            <v>0.33300000000000002</v>
          </cell>
          <cell r="O69">
            <v>0.33300000000000002</v>
          </cell>
          <cell r="P69">
            <v>0.33300000000000002</v>
          </cell>
          <cell r="Q69">
            <v>0.33300000000000002</v>
          </cell>
          <cell r="R69">
            <v>0.33300000000000002</v>
          </cell>
          <cell r="S69">
            <v>0.33300000000000002</v>
          </cell>
          <cell r="T69">
            <v>0.33300000000000002</v>
          </cell>
          <cell r="U69">
            <v>0.33300000000000002</v>
          </cell>
          <cell r="V69">
            <v>0.33300000000000002</v>
          </cell>
          <cell r="W69">
            <v>0.33300000000000002</v>
          </cell>
          <cell r="X69">
            <v>0.33300000000000002</v>
          </cell>
          <cell r="Y69">
            <v>0.33300000000000002</v>
          </cell>
          <cell r="Z69">
            <v>0.33300000000000002</v>
          </cell>
          <cell r="AA69">
            <v>0.33300000000000002</v>
          </cell>
          <cell r="AB69">
            <v>0.33300000000000002</v>
          </cell>
        </row>
        <row r="70">
          <cell r="C70">
            <v>-0.46063979526551496</v>
          </cell>
          <cell r="D70">
            <v>-0.10323607427055707</v>
          </cell>
          <cell r="E70">
            <v>-0.10444874274661507</v>
          </cell>
          <cell r="F70">
            <v>-0.10219213410702772</v>
          </cell>
          <cell r="G70">
            <v>-2.9478458049886566E-2</v>
          </cell>
          <cell r="H70">
            <v>-0.14285714285714296</v>
          </cell>
          <cell r="I70">
            <v>-8.3208020050125286E-2</v>
          </cell>
          <cell r="J70">
            <v>-0.1333333333333333</v>
          </cell>
          <cell r="K70">
            <v>-0.13333333333333328</v>
          </cell>
          <cell r="L70">
            <v>-0.1333333333333333</v>
          </cell>
          <cell r="M70">
            <v>-0.13333333333333333</v>
          </cell>
          <cell r="N70">
            <v>-7.2916666666666699E-2</v>
          </cell>
          <cell r="O70">
            <v>-0.125</v>
          </cell>
          <cell r="P70">
            <v>-0.125</v>
          </cell>
          <cell r="Q70">
            <v>-0.125</v>
          </cell>
          <cell r="R70">
            <v>-0.125</v>
          </cell>
          <cell r="S70">
            <v>-6.5126050420168127E-2</v>
          </cell>
          <cell r="T70">
            <v>-0.11764705882352941</v>
          </cell>
          <cell r="U70">
            <v>-0.11764705882352933</v>
          </cell>
          <cell r="V70">
            <v>-0.11764705882352948</v>
          </cell>
          <cell r="W70">
            <v>-0.1176470588235294</v>
          </cell>
          <cell r="X70">
            <v>-0.11764705882352942</v>
          </cell>
          <cell r="Y70">
            <v>-0.11764705882352944</v>
          </cell>
          <cell r="Z70">
            <v>-0.11764705882352947</v>
          </cell>
          <cell r="AA70">
            <v>-0.11764705882352934</v>
          </cell>
          <cell r="AB70">
            <v>-0.11764705882352947</v>
          </cell>
        </row>
        <row r="71">
          <cell r="C71">
            <v>0.31202832479209214</v>
          </cell>
          <cell r="D71">
            <v>0.11524809543542269</v>
          </cell>
          <cell r="E71">
            <v>0.1513739709146219</v>
          </cell>
          <cell r="F71">
            <v>0.1264975332897835</v>
          </cell>
          <cell r="G71">
            <v>0.22205655603791599</v>
          </cell>
          <cell r="H71">
            <v>0.32258064516129037</v>
          </cell>
          <cell r="I71">
            <v>0.25944397283531384</v>
          </cell>
          <cell r="J71">
            <v>0.31249999999999994</v>
          </cell>
          <cell r="K71">
            <v>0.31250000000000017</v>
          </cell>
          <cell r="L71">
            <v>0.31249999999999983</v>
          </cell>
          <cell r="M71">
            <v>0.31250000000000006</v>
          </cell>
          <cell r="N71">
            <v>0.24384469696969716</v>
          </cell>
          <cell r="O71">
            <v>0.30303030303030287</v>
          </cell>
          <cell r="P71">
            <v>0.30303030303030337</v>
          </cell>
          <cell r="Q71">
            <v>0.30303030303030304</v>
          </cell>
          <cell r="R71">
            <v>0.30303030303030298</v>
          </cell>
          <cell r="S71">
            <v>0.19574628270280411</v>
          </cell>
          <cell r="T71">
            <v>0.28985507246376813</v>
          </cell>
          <cell r="U71">
            <v>0.28985507246376813</v>
          </cell>
          <cell r="V71">
            <v>0.28985507246376802</v>
          </cell>
          <cell r="W71">
            <v>0.28985507246376818</v>
          </cell>
          <cell r="X71">
            <v>0.28985507246376813</v>
          </cell>
          <cell r="Y71">
            <v>0.28985507246376829</v>
          </cell>
          <cell r="Z71">
            <v>0.2898550724637679</v>
          </cell>
          <cell r="AA71">
            <v>0.28985507246376813</v>
          </cell>
          <cell r="AB71">
            <v>0.28985507246376824</v>
          </cell>
        </row>
        <row r="74">
          <cell r="C74">
            <v>-3188.64</v>
          </cell>
          <cell r="D74">
            <v>-3500</v>
          </cell>
          <cell r="E74">
            <v>-3929.5454545454545</v>
          </cell>
          <cell r="F74">
            <v>-4448.572916666667</v>
          </cell>
          <cell r="G74">
            <v>-4613.805625</v>
          </cell>
          <cell r="H74">
            <v>-5582.7048062500007</v>
          </cell>
          <cell r="I74">
            <v>-6200.5241381416672</v>
          </cell>
          <cell r="J74">
            <v>-7378.6237243885835</v>
          </cell>
          <cell r="K74">
            <v>-8780.5622320224138</v>
          </cell>
          <cell r="L74">
            <v>-10448.869056106672</v>
          </cell>
          <cell r="M74">
            <v>-12434.154176766939</v>
          </cell>
          <cell r="N74">
            <v>-13522.142667234046</v>
          </cell>
          <cell r="O74">
            <v>-15685.685493991492</v>
          </cell>
          <cell r="P74">
            <v>-18195.395173030131</v>
          </cell>
          <cell r="Q74">
            <v>-21106.65840071495</v>
          </cell>
          <cell r="R74">
            <v>-24483.723744829342</v>
          </cell>
          <cell r="S74">
            <v>-26269.595359158073</v>
          </cell>
          <cell r="T74">
            <v>-29947.338709440206</v>
          </cell>
          <cell r="U74">
            <v>-34139.966128761836</v>
          </cell>
          <cell r="V74">
            <v>-38919.561386788504</v>
          </cell>
          <cell r="W74">
            <v>-44368.2999809389</v>
          </cell>
          <cell r="X74">
            <v>-50579.861978270354</v>
          </cell>
          <cell r="Y74">
            <v>-57661.042655228208</v>
          </cell>
          <cell r="Z74">
            <v>-65733.588626960161</v>
          </cell>
          <cell r="AA74">
            <v>-74936.29103473459</v>
          </cell>
          <cell r="AB74">
            <v>-85427.371779597452</v>
          </cell>
        </row>
        <row r="75">
          <cell r="C75">
            <v>6323.6666666666652</v>
          </cell>
          <cell r="D75">
            <v>7185.0259224999008</v>
          </cell>
          <cell r="E75">
            <v>8134.5714778862839</v>
          </cell>
          <cell r="F75">
            <v>9173.5989418692643</v>
          </cell>
          <cell r="G75">
            <v>10418.270766129033</v>
          </cell>
          <cell r="H75">
            <v>12606.10762701613</v>
          </cell>
          <cell r="I75">
            <v>14532.478448769531</v>
          </cell>
          <cell r="J75">
            <v>17293.649354035741</v>
          </cell>
          <cell r="K75">
            <v>20579.442731302534</v>
          </cell>
          <cell r="L75">
            <v>24489.536850250013</v>
          </cell>
          <cell r="M75">
            <v>29142.548851797514</v>
          </cell>
          <cell r="N75">
            <v>32780.951920567386</v>
          </cell>
          <cell r="O75">
            <v>38025.904227858162</v>
          </cell>
          <cell r="P75">
            <v>44110.048904315474</v>
          </cell>
          <cell r="Q75">
            <v>51167.656729005947</v>
          </cell>
          <cell r="R75">
            <v>59354.481805646894</v>
          </cell>
          <cell r="S75">
            <v>64722.191464592346</v>
          </cell>
          <cell r="T75">
            <v>73783.298269635285</v>
          </cell>
          <cell r="U75">
            <v>84112.960027384237</v>
          </cell>
          <cell r="V75">
            <v>95888.774431218044</v>
          </cell>
          <cell r="W75">
            <v>109313.20285158859</v>
          </cell>
          <cell r="X75">
            <v>124617.05125081101</v>
          </cell>
          <cell r="Y75">
            <v>142063.43842592457</v>
          </cell>
          <cell r="Z75">
            <v>161952.319805554</v>
          </cell>
          <cell r="AA75">
            <v>184625.64457833159</v>
          </cell>
          <cell r="AB75">
            <v>210473.23481929806</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C77">
            <v>3135.0266666666648</v>
          </cell>
          <cell r="D77">
            <v>3685.0259224999008</v>
          </cell>
          <cell r="E77">
            <v>4205.0260233408299</v>
          </cell>
          <cell r="F77">
            <v>4725.0260252025973</v>
          </cell>
          <cell r="G77">
            <v>5804.4651411290333</v>
          </cell>
          <cell r="H77">
            <v>7023.4028207661295</v>
          </cell>
          <cell r="I77">
            <v>8331.9543106278634</v>
          </cell>
          <cell r="J77">
            <v>9915.0256296471562</v>
          </cell>
          <cell r="K77">
            <v>11798.88049928012</v>
          </cell>
          <cell r="L77">
            <v>14040.667794143341</v>
          </cell>
          <cell r="M77">
            <v>16708.394675030577</v>
          </cell>
          <cell r="N77">
            <v>19258.80925333334</v>
          </cell>
          <cell r="O77">
            <v>22340.21873386667</v>
          </cell>
          <cell r="P77">
            <v>25914.653731285343</v>
          </cell>
          <cell r="Q77">
            <v>30060.998328290996</v>
          </cell>
          <cell r="R77">
            <v>34870.758060817549</v>
          </cell>
          <cell r="S77">
            <v>38452.596105434277</v>
          </cell>
          <cell r="T77">
            <v>43835.959560195079</v>
          </cell>
          <cell r="U77">
            <v>49972.993898622401</v>
          </cell>
          <cell r="V77">
            <v>56969.21304442954</v>
          </cell>
          <cell r="W77">
            <v>64944.90287064969</v>
          </cell>
          <cell r="X77">
            <v>74037.189272540651</v>
          </cell>
          <cell r="Y77">
            <v>84402.39577069637</v>
          </cell>
          <cell r="Z77">
            <v>96218.731178593836</v>
          </cell>
          <cell r="AA77">
            <v>109689.353543597</v>
          </cell>
          <cell r="AB77">
            <v>125045.86303970061</v>
          </cell>
        </row>
        <row r="78">
          <cell r="C78">
            <v>3135.0266666666648</v>
          </cell>
          <cell r="D78">
            <v>3410.0262945832828</v>
          </cell>
          <cell r="E78">
            <v>3945.0259729203653</v>
          </cell>
          <cell r="F78">
            <v>4465.026024271714</v>
          </cell>
          <cell r="G78">
            <v>5264.7455831658153</v>
          </cell>
          <cell r="H78">
            <v>6413.9339809475814</v>
          </cell>
          <cell r="I78">
            <v>7677.6785656969969</v>
          </cell>
          <cell r="J78">
            <v>9123.4899701375107</v>
          </cell>
          <cell r="K78">
            <v>10856.953064463638</v>
          </cell>
          <cell r="L78">
            <v>12919.77414671173</v>
          </cell>
          <cell r="M78">
            <v>15374.531234586959</v>
          </cell>
          <cell r="N78">
            <v>17983.601964181958</v>
          </cell>
          <cell r="O78">
            <v>20799.513993600005</v>
          </cell>
          <cell r="P78">
            <v>24127.436232576008</v>
          </cell>
          <cell r="Q78">
            <v>27987.826029788172</v>
          </cell>
          <cell r="R78">
            <v>32465.878194554272</v>
          </cell>
          <cell r="S78">
            <v>36661.677083125913</v>
          </cell>
          <cell r="T78">
            <v>41144.277832814681</v>
          </cell>
          <cell r="U78">
            <v>46904.476729408736</v>
          </cell>
          <cell r="V78">
            <v>53471.103471525974</v>
          </cell>
          <cell r="W78">
            <v>60957.057957539611</v>
          </cell>
          <cell r="X78">
            <v>69491.046071595163</v>
          </cell>
          <cell r="Y78">
            <v>79219.79252161851</v>
          </cell>
          <cell r="Z78">
            <v>90310.563474645111</v>
          </cell>
          <cell r="AA78">
            <v>102954.04236109542</v>
          </cell>
          <cell r="AB78">
            <v>117367.60829164879</v>
          </cell>
        </row>
        <row r="79">
          <cell r="C79">
            <v>1.600093335176981E-2</v>
          </cell>
          <cell r="D79">
            <v>0.17543686683151116</v>
          </cell>
          <cell r="E79">
            <v>0.14111165342580925</v>
          </cell>
          <cell r="F79">
            <v>0.12366154192040774</v>
          </cell>
          <cell r="G79">
            <v>0.22845146464143598</v>
          </cell>
          <cell r="H79">
            <v>0.20999999999999985</v>
          </cell>
          <cell r="I79">
            <v>0.18631303418803394</v>
          </cell>
          <cell r="J79">
            <v>0.18999999999999984</v>
          </cell>
          <cell r="K79">
            <v>0.19000000000000039</v>
          </cell>
          <cell r="L79">
            <v>0.18999999999999986</v>
          </cell>
          <cell r="M79">
            <v>0.19000000000000009</v>
          </cell>
          <cell r="N79">
            <v>0.15264270613107817</v>
          </cell>
          <cell r="O79">
            <v>0.15999999999999975</v>
          </cell>
          <cell r="P79">
            <v>0.16000000000000028</v>
          </cell>
          <cell r="Q79">
            <v>0.15999999999999992</v>
          </cell>
          <cell r="R79">
            <v>0.15999999999999978</v>
          </cell>
          <cell r="S79">
            <v>0.10271752734396253</v>
          </cell>
          <cell r="T79">
            <v>0.14000000000000007</v>
          </cell>
          <cell r="U79">
            <v>0.14000000000000024</v>
          </cell>
          <cell r="V79">
            <v>0.14000000000000007</v>
          </cell>
          <cell r="W79">
            <v>0.14000000000000026</v>
          </cell>
          <cell r="X79">
            <v>0.14000000000000007</v>
          </cell>
          <cell r="Y79">
            <v>0.14000000000000037</v>
          </cell>
          <cell r="Z79">
            <v>0.13999999999999971</v>
          </cell>
          <cell r="AA79">
            <v>0.14000000000000024</v>
          </cell>
          <cell r="AB79">
            <v>0.14000000000000026</v>
          </cell>
        </row>
        <row r="80">
          <cell r="C80">
            <v>-5.8671505999206053</v>
          </cell>
          <cell r="D80">
            <v>-5.232752846617549</v>
          </cell>
          <cell r="E80">
            <v>-5.8179871520342612</v>
          </cell>
          <cell r="F80">
            <v>-6.3717021692397893</v>
          </cell>
          <cell r="G80">
            <v>-7.1276297335203367</v>
          </cell>
          <cell r="H80">
            <v>-7.6651583710407243</v>
          </cell>
          <cell r="I80">
            <v>-7.8932406822488943</v>
          </cell>
          <cell r="J80">
            <v>-8.1506849315068486</v>
          </cell>
          <cell r="K80">
            <v>-8.1506849315068486</v>
          </cell>
          <cell r="L80">
            <v>-8.1506849315068504</v>
          </cell>
          <cell r="M80">
            <v>-8.1506849315068504</v>
          </cell>
          <cell r="N80">
            <v>-8.3353293413173652</v>
          </cell>
          <cell r="O80">
            <v>-8.5925925925925917</v>
          </cell>
          <cell r="P80">
            <v>-8.5925925925925917</v>
          </cell>
          <cell r="Q80">
            <v>-8.5925925925925917</v>
          </cell>
          <cell r="R80">
            <v>-8.5925925925925917</v>
          </cell>
          <cell r="S80">
            <v>-8.7990919409761634</v>
          </cell>
          <cell r="T80">
            <v>-9.0560747663551417</v>
          </cell>
          <cell r="U80">
            <v>-9.0560747663551417</v>
          </cell>
          <cell r="V80">
            <v>-9.05607476635514</v>
          </cell>
          <cell r="W80">
            <v>-9.0560747663551417</v>
          </cell>
          <cell r="X80">
            <v>-9.0560747663551417</v>
          </cell>
          <cell r="Y80">
            <v>-9.05607476635514</v>
          </cell>
          <cell r="Z80">
            <v>-9.05607476635514</v>
          </cell>
          <cell r="AA80">
            <v>-9.05607476635514</v>
          </cell>
          <cell r="AB80">
            <v>-9.05607476635514</v>
          </cell>
        </row>
        <row r="81">
          <cell r="C81">
            <v>2.5961641871303107</v>
          </cell>
          <cell r="D81">
            <v>2.5909243081057753</v>
          </cell>
          <cell r="E81">
            <v>2.8215493443000246</v>
          </cell>
          <cell r="F81">
            <v>3.0842586885479695</v>
          </cell>
          <cell r="G81">
            <v>3.2969430540684987</v>
          </cell>
          <cell r="H81">
            <v>3.3945701357466063</v>
          </cell>
          <cell r="I81">
            <v>3.4271447234722023</v>
          </cell>
          <cell r="J81">
            <v>3.4776255707762562</v>
          </cell>
          <cell r="K81">
            <v>3.4776255707762562</v>
          </cell>
          <cell r="L81">
            <v>3.4776255707762562</v>
          </cell>
          <cell r="M81">
            <v>3.4776255707762558</v>
          </cell>
          <cell r="N81">
            <v>3.4938961779806044</v>
          </cell>
          <cell r="O81">
            <v>3.5444444444444443</v>
          </cell>
          <cell r="P81">
            <v>3.5444444444444443</v>
          </cell>
          <cell r="Q81">
            <v>3.5444444444444438</v>
          </cell>
          <cell r="R81">
            <v>3.5444444444444438</v>
          </cell>
          <cell r="S81">
            <v>3.5992512479201335</v>
          </cell>
          <cell r="T81">
            <v>3.67570093457944</v>
          </cell>
          <cell r="U81">
            <v>3.6757009345794396</v>
          </cell>
          <cell r="V81">
            <v>3.67570093457944</v>
          </cell>
          <cell r="W81">
            <v>3.6757009345794396</v>
          </cell>
          <cell r="X81">
            <v>3.6757009345794396</v>
          </cell>
          <cell r="Y81">
            <v>3.6757009345794391</v>
          </cell>
          <cell r="Z81">
            <v>3.6757009345794391</v>
          </cell>
          <cell r="AA81">
            <v>3.6757009345794396</v>
          </cell>
          <cell r="AB81">
            <v>3.6757009345794396</v>
          </cell>
        </row>
        <row r="82">
          <cell r="C82" t="str">
            <v xml:space="preserve">--  </v>
          </cell>
          <cell r="D82" t="str">
            <v xml:space="preserve">--  </v>
          </cell>
          <cell r="E82" t="str">
            <v xml:space="preserve">--  </v>
          </cell>
          <cell r="F82" t="str">
            <v xml:space="preserve">--  </v>
          </cell>
          <cell r="G82" t="str">
            <v xml:space="preserve">--  </v>
          </cell>
          <cell r="H82" t="str">
            <v xml:space="preserve">--  </v>
          </cell>
          <cell r="I82" t="str">
            <v xml:space="preserve">--  </v>
          </cell>
          <cell r="J82" t="str">
            <v xml:space="preserve">--  </v>
          </cell>
          <cell r="K82" t="str">
            <v xml:space="preserve">--  </v>
          </cell>
          <cell r="L82" t="str">
            <v xml:space="preserve">--  </v>
          </cell>
          <cell r="M82" t="str">
            <v xml:space="preserve">--  </v>
          </cell>
          <cell r="N82" t="str">
            <v xml:space="preserve">--  </v>
          </cell>
          <cell r="O82" t="str">
            <v xml:space="preserve">--  </v>
          </cell>
          <cell r="P82" t="str">
            <v xml:space="preserve">--  </v>
          </cell>
          <cell r="Q82" t="str">
            <v xml:space="preserve">--  </v>
          </cell>
          <cell r="R82" t="str">
            <v xml:space="preserve">--  </v>
          </cell>
          <cell r="S82" t="str">
            <v xml:space="preserve">--  </v>
          </cell>
          <cell r="T82" t="str">
            <v xml:space="preserve">--  </v>
          </cell>
          <cell r="U82" t="str">
            <v xml:space="preserve">--  </v>
          </cell>
          <cell r="V82" t="str">
            <v xml:space="preserve">--  </v>
          </cell>
          <cell r="W82" t="str">
            <v xml:space="preserve">--  </v>
          </cell>
          <cell r="X82" t="str">
            <v xml:space="preserve">--  </v>
          </cell>
          <cell r="Y82" t="str">
            <v xml:space="preserve">--  </v>
          </cell>
          <cell r="Z82" t="str">
            <v xml:space="preserve">--  </v>
          </cell>
          <cell r="AA82" t="str">
            <v xml:space="preserve">--  </v>
          </cell>
          <cell r="AB82" t="str">
            <v xml:space="preserve">--  </v>
          </cell>
        </row>
        <row r="83">
          <cell r="C83">
            <v>4.6200563950545899</v>
          </cell>
          <cell r="D83">
            <v>5.1319252369983737</v>
          </cell>
          <cell r="E83">
            <v>5.4784176703407148</v>
          </cell>
          <cell r="F83">
            <v>5.9778906897532851</v>
          </cell>
          <cell r="G83">
            <v>6.1345109397630706</v>
          </cell>
          <cell r="H83">
            <v>6.0928181923657032</v>
          </cell>
          <cell r="I83">
            <v>6.0570302127308153</v>
          </cell>
          <cell r="J83">
            <v>6.0656259955399818</v>
          </cell>
          <cell r="K83">
            <v>6.0656259955399818</v>
          </cell>
          <cell r="L83">
            <v>6.0656259955399809</v>
          </cell>
          <cell r="M83">
            <v>6.0656259955399801</v>
          </cell>
          <cell r="N83">
            <v>6.0153211549793744</v>
          </cell>
          <cell r="O83">
            <v>6.0330969267139478</v>
          </cell>
          <cell r="P83">
            <v>6.0330969267139469</v>
          </cell>
          <cell r="Q83">
            <v>6.033096926713946</v>
          </cell>
          <cell r="R83">
            <v>6.0330969267139469</v>
          </cell>
          <cell r="S83">
            <v>6.0905986391881921</v>
          </cell>
          <cell r="T83">
            <v>6.1868233552327201</v>
          </cell>
          <cell r="U83">
            <v>6.186823355232721</v>
          </cell>
          <cell r="V83">
            <v>6.1868233552327201</v>
          </cell>
          <cell r="W83">
            <v>6.186823355232721</v>
          </cell>
          <cell r="X83">
            <v>6.186823355232721</v>
          </cell>
          <cell r="Y83">
            <v>6.1868233552327201</v>
          </cell>
          <cell r="Z83">
            <v>6.1868233552327192</v>
          </cell>
          <cell r="AA83">
            <v>6.186823355232721</v>
          </cell>
          <cell r="AB83">
            <v>6.186823355232721</v>
          </cell>
        </row>
        <row r="85">
          <cell r="C85">
            <v>-4.5423754327863914</v>
          </cell>
          <cell r="D85">
            <v>-5</v>
          </cell>
          <cell r="E85">
            <v>-5.5</v>
          </cell>
          <cell r="F85">
            <v>-6</v>
          </cell>
          <cell r="G85">
            <v>-7.0000000000000009</v>
          </cell>
          <cell r="H85">
            <v>-6.9999999999999991</v>
          </cell>
          <cell r="I85">
            <v>-7.5</v>
          </cell>
          <cell r="J85">
            <v>-7.5</v>
          </cell>
          <cell r="K85">
            <v>-7.5</v>
          </cell>
          <cell r="L85">
            <v>-7.5000000000000009</v>
          </cell>
          <cell r="M85">
            <v>-7.5000000000000009</v>
          </cell>
          <cell r="N85">
            <v>-8</v>
          </cell>
          <cell r="O85">
            <v>-8</v>
          </cell>
          <cell r="P85">
            <v>-8</v>
          </cell>
          <cell r="Q85">
            <v>-8</v>
          </cell>
          <cell r="R85">
            <v>-8</v>
          </cell>
          <cell r="S85">
            <v>-8.5</v>
          </cell>
          <cell r="T85">
            <v>-8.5</v>
          </cell>
          <cell r="U85">
            <v>-8.5</v>
          </cell>
          <cell r="V85">
            <v>-8.5</v>
          </cell>
          <cell r="W85">
            <v>-8.5</v>
          </cell>
          <cell r="X85">
            <v>-8.5</v>
          </cell>
          <cell r="Y85">
            <v>-8.5</v>
          </cell>
          <cell r="Z85">
            <v>-8.5</v>
          </cell>
          <cell r="AA85">
            <v>-8.5</v>
          </cell>
          <cell r="AB85">
            <v>-8.5</v>
          </cell>
        </row>
        <row r="86">
          <cell r="C86">
            <v>2.2904433082072644</v>
          </cell>
          <cell r="D86">
            <v>2.4356209968844746</v>
          </cell>
          <cell r="E86">
            <v>2.6568701324652775</v>
          </cell>
          <cell r="F86">
            <v>2.909592807483385</v>
          </cell>
          <cell r="G86">
            <v>3.1</v>
          </cell>
          <cell r="H86">
            <v>3.1</v>
          </cell>
          <cell r="I86">
            <v>3.2</v>
          </cell>
          <cell r="J86">
            <v>3.2</v>
          </cell>
          <cell r="K86">
            <v>3.2</v>
          </cell>
          <cell r="L86">
            <v>3.2</v>
          </cell>
          <cell r="M86">
            <v>3.2</v>
          </cell>
          <cell r="N86">
            <v>3.3</v>
          </cell>
          <cell r="O86">
            <v>3.3</v>
          </cell>
          <cell r="P86">
            <v>3.2999999999999994</v>
          </cell>
          <cell r="Q86">
            <v>3.3</v>
          </cell>
          <cell r="R86">
            <v>3.3</v>
          </cell>
          <cell r="S86">
            <v>3.45</v>
          </cell>
          <cell r="T86">
            <v>3.45</v>
          </cell>
          <cell r="U86">
            <v>3.45</v>
          </cell>
          <cell r="V86">
            <v>3.45</v>
          </cell>
          <cell r="W86">
            <v>3.45</v>
          </cell>
          <cell r="X86">
            <v>3.45</v>
          </cell>
          <cell r="Y86">
            <v>3.4499999999999997</v>
          </cell>
          <cell r="Z86">
            <v>3.45</v>
          </cell>
          <cell r="AA86">
            <v>3.45</v>
          </cell>
          <cell r="AB86">
            <v>3.45</v>
          </cell>
        </row>
        <row r="87">
          <cell r="C87" t="e">
            <v>#DIV/0!</v>
          </cell>
          <cell r="D87" t="e">
            <v>#DIV/0!</v>
          </cell>
          <cell r="E87" t="e">
            <v>#DIV/0!</v>
          </cell>
          <cell r="F87" t="e">
            <v>#DIV/0!</v>
          </cell>
          <cell r="G87" t="e">
            <v>#DIV/0!</v>
          </cell>
          <cell r="H87" t="e">
            <v>#DIV/0!</v>
          </cell>
          <cell r="I87" t="e">
            <v>#DIV/0!</v>
          </cell>
          <cell r="J87" t="e">
            <v>#DIV/0!</v>
          </cell>
          <cell r="K87" t="e">
            <v>#DIV/0!</v>
          </cell>
          <cell r="L87" t="e">
            <v>#DIV/0!</v>
          </cell>
          <cell r="M87" t="e">
            <v>#DIV/0!</v>
          </cell>
          <cell r="N87" t="e">
            <v>#DIV/0!</v>
          </cell>
          <cell r="O87" t="e">
            <v>#DIV/0!</v>
          </cell>
          <cell r="P87" t="e">
            <v>#DIV/0!</v>
          </cell>
          <cell r="Q87" t="e">
            <v>#DIV/0!</v>
          </cell>
          <cell r="R87" t="e">
            <v>#DIV/0!</v>
          </cell>
          <cell r="S87" t="e">
            <v>#DIV/0!</v>
          </cell>
          <cell r="T87" t="e">
            <v>#DIV/0!</v>
          </cell>
          <cell r="U87" t="e">
            <v>#DIV/0!</v>
          </cell>
          <cell r="V87" t="e">
            <v>#DIV/0!</v>
          </cell>
          <cell r="W87" t="e">
            <v>#DIV/0!</v>
          </cell>
          <cell r="X87" t="e">
            <v>#DIV/0!</v>
          </cell>
          <cell r="Y87" t="e">
            <v>#DIV/0!</v>
          </cell>
          <cell r="Z87" t="e">
            <v>#DIV/0!</v>
          </cell>
          <cell r="AA87" t="e">
            <v>#DIV/0!</v>
          </cell>
          <cell r="AB87" t="e">
            <v>#DIV/0!</v>
          </cell>
        </row>
        <row r="88">
          <cell r="C88">
            <v>4.6200563950545899</v>
          </cell>
          <cell r="D88">
            <v>4.7489489539677647</v>
          </cell>
          <cell r="E88">
            <v>5.1396828176652267</v>
          </cell>
          <cell r="F88">
            <v>5.6489503671793093</v>
          </cell>
          <cell r="G88">
            <v>5.5641025641025639</v>
          </cell>
          <cell r="H88">
            <v>5.5641025641025639</v>
          </cell>
          <cell r="I88">
            <v>5.5813953488372103</v>
          </cell>
          <cell r="J88">
            <v>5.5813953488372112</v>
          </cell>
          <cell r="K88">
            <v>5.5813953488372094</v>
          </cell>
          <cell r="L88">
            <v>5.5813953488372094</v>
          </cell>
          <cell r="M88">
            <v>5.5813953488372086</v>
          </cell>
          <cell r="N88">
            <v>5.6170212765957439</v>
          </cell>
          <cell r="O88">
            <v>5.6170212765957448</v>
          </cell>
          <cell r="P88">
            <v>5.617021276595743</v>
          </cell>
          <cell r="Q88">
            <v>5.6170212765957439</v>
          </cell>
          <cell r="R88">
            <v>5.6170212765957448</v>
          </cell>
          <cell r="S88">
            <v>5.8069306930693072</v>
          </cell>
          <cell r="T88">
            <v>5.8069306930693072</v>
          </cell>
          <cell r="U88">
            <v>5.8069306930693072</v>
          </cell>
          <cell r="V88">
            <v>5.8069306930693081</v>
          </cell>
          <cell r="W88">
            <v>5.8069306930693072</v>
          </cell>
          <cell r="X88">
            <v>5.8069306930693081</v>
          </cell>
          <cell r="Y88">
            <v>5.8069306930693063</v>
          </cell>
          <cell r="Z88">
            <v>5.8069306930693081</v>
          </cell>
          <cell r="AA88">
            <v>5.8069306930693072</v>
          </cell>
          <cell r="AB88">
            <v>5.8069306930693072</v>
          </cell>
        </row>
        <row r="91">
          <cell r="C91" t="str">
            <v>N/A</v>
          </cell>
          <cell r="D91" t="str">
            <v>N/A</v>
          </cell>
          <cell r="E91" t="str">
            <v>NM</v>
          </cell>
          <cell r="F91" t="str">
            <v>NM</v>
          </cell>
          <cell r="G91" t="str">
            <v>NM</v>
          </cell>
          <cell r="H91" t="str">
            <v>NM</v>
          </cell>
          <cell r="I91" t="str">
            <v>NM</v>
          </cell>
          <cell r="J91" t="str">
            <v>NM</v>
          </cell>
          <cell r="K91">
            <v>0.25432562418273008</v>
          </cell>
          <cell r="L91">
            <v>0.46631370761856944</v>
          </cell>
          <cell r="M91">
            <v>0.56538777747845093</v>
          </cell>
          <cell r="N91">
            <v>1.7088849457823854</v>
          </cell>
          <cell r="O91">
            <v>1.2466970766485552</v>
          </cell>
          <cell r="P91">
            <v>2.8394438714170476</v>
          </cell>
          <cell r="Q91" t="str">
            <v>NM</v>
          </cell>
        </row>
        <row r="92">
          <cell r="C92">
            <v>9.5426712753357048</v>
          </cell>
          <cell r="D92">
            <v>9.486575090296455</v>
          </cell>
          <cell r="E92">
            <v>3.1437366886592808</v>
          </cell>
          <cell r="F92">
            <v>2.3937145238754018</v>
          </cell>
          <cell r="G92">
            <v>2.0930608151202255</v>
          </cell>
          <cell r="H92">
            <v>1.9647490499711482</v>
          </cell>
          <cell r="I92">
            <v>1.8325321293555097</v>
          </cell>
          <cell r="J92">
            <v>1.8667361449172493</v>
          </cell>
          <cell r="K92">
            <v>1.8670738031554825</v>
          </cell>
          <cell r="L92">
            <v>1.8586046511627907</v>
          </cell>
          <cell r="M92">
            <v>1.8586046511627898</v>
          </cell>
          <cell r="N92">
            <v>1.8892317012247664</v>
          </cell>
          <cell r="O92">
            <v>1.8905379101016728</v>
          </cell>
          <cell r="P92">
            <v>1.8919989735290825</v>
          </cell>
          <cell r="Q92">
            <v>1.8704680851063826</v>
          </cell>
          <cell r="R92">
            <v>1.8704680851063831</v>
          </cell>
          <cell r="S92">
            <v>2.0644182395120967</v>
          </cell>
          <cell r="T92">
            <v>2.0717157570991698</v>
          </cell>
          <cell r="U92">
            <v>2.0797274263596934</v>
          </cell>
          <cell r="V92">
            <v>1.9337079207920798</v>
          </cell>
          <cell r="W92">
            <v>1.9337079207920789</v>
          </cell>
          <cell r="X92">
            <v>1.9337079207920804</v>
          </cell>
          <cell r="Y92">
            <v>1.9337079207920782</v>
          </cell>
          <cell r="Z92">
            <v>1.9337079207920804</v>
          </cell>
          <cell r="AA92">
            <v>1.9337079207920789</v>
          </cell>
          <cell r="AB92">
            <v>1.9337079207920795</v>
          </cell>
        </row>
        <row r="93">
          <cell r="C93" t="str">
            <v>NM</v>
          </cell>
          <cell r="D93">
            <v>25.290438032558981</v>
          </cell>
          <cell r="E93">
            <v>2.1040320010618481</v>
          </cell>
          <cell r="F93">
            <v>2.6925288923116377</v>
          </cell>
          <cell r="G93">
            <v>3.6130458489663795</v>
          </cell>
          <cell r="H93">
            <v>2.0922940054431631</v>
          </cell>
          <cell r="I93">
            <v>2.0284253846153857</v>
          </cell>
          <cell r="J93">
            <v>2.248519633692494</v>
          </cell>
          <cell r="K93">
            <v>2.2117395348837241</v>
          </cell>
          <cell r="L93">
            <v>2.211739534883717</v>
          </cell>
          <cell r="M93">
            <v>2.211739534883721</v>
          </cell>
          <cell r="N93">
            <v>1.862517503059973</v>
          </cell>
          <cell r="O93">
            <v>2.2598985041551241</v>
          </cell>
          <cell r="P93">
            <v>2.1697429787234084</v>
          </cell>
          <cell r="Q93">
            <v>2.1697429787233991</v>
          </cell>
          <cell r="R93">
            <v>2.1697429787234044</v>
          </cell>
          <cell r="S93">
            <v>1.8985251063829829</v>
          </cell>
          <cell r="T93">
            <v>2.9062878955733118</v>
          </cell>
          <cell r="U93">
            <v>2.2044270297029707</v>
          </cell>
          <cell r="V93">
            <v>2.2044270297029711</v>
          </cell>
          <cell r="W93">
            <v>2.2044270297029716</v>
          </cell>
          <cell r="X93">
            <v>2.2044270297029702</v>
          </cell>
          <cell r="Y93">
            <v>2.2044270297029716</v>
          </cell>
          <cell r="Z93">
            <v>2.2044270297029649</v>
          </cell>
          <cell r="AA93">
            <v>2.2044270297029764</v>
          </cell>
          <cell r="AB93">
            <v>2.2044270297029702</v>
          </cell>
        </row>
        <row r="96">
          <cell r="C96">
            <v>1.6172087338563206</v>
          </cell>
          <cell r="D96">
            <v>1.8529668652028675</v>
          </cell>
          <cell r="E96">
            <v>1.8738727919415348</v>
          </cell>
          <cell r="F96">
            <v>1.9111339260999234</v>
          </cell>
          <cell r="G96">
            <v>1.9432308039490394</v>
          </cell>
          <cell r="H96">
            <v>1.9600718862241284</v>
          </cell>
          <cell r="I96">
            <v>1.9694456269765179</v>
          </cell>
          <cell r="J96">
            <v>1.9765689836929226</v>
          </cell>
          <cell r="K96">
            <v>1.9819284042357788</v>
          </cell>
          <cell r="L96">
            <v>1.986106887195221</v>
          </cell>
          <cell r="M96">
            <v>1.9894560154833445</v>
          </cell>
          <cell r="N96">
            <v>1.9906927035599271</v>
          </cell>
          <cell r="O96">
            <v>1.9922136768572662</v>
          </cell>
          <cell r="P96">
            <v>1.9935015618933882</v>
          </cell>
          <cell r="Q96">
            <v>1.9946061259864956</v>
          </cell>
          <cell r="R96">
            <v>1.9955639099107756</v>
          </cell>
          <cell r="S96">
            <v>1.9975863048785347</v>
          </cell>
          <cell r="T96">
            <v>2.0012169081156541</v>
          </cell>
          <cell r="U96">
            <v>2.0044496501887092</v>
          </cell>
          <cell r="V96">
            <v>2.0073465298890723</v>
          </cell>
          <cell r="W96">
            <v>2.0099573010254677</v>
          </cell>
          <cell r="X96">
            <v>2.0123223530762337</v>
          </cell>
          <cell r="Y96">
            <v>2.0144748152054306</v>
          </cell>
          <cell r="Z96">
            <v>2.0164421174103047</v>
          </cell>
          <cell r="AA96">
            <v>2.0182471654699023</v>
          </cell>
          <cell r="AB96">
            <v>2.0199092367389544</v>
          </cell>
        </row>
        <row r="97">
          <cell r="C97">
            <v>0.35004090763641249</v>
          </cell>
          <cell r="D97">
            <v>0.36106661333333345</v>
          </cell>
          <cell r="E97">
            <v>0.35340474417897388</v>
          </cell>
          <cell r="F97">
            <v>0.34630862832105319</v>
          </cell>
          <cell r="G97">
            <v>0.34293241866584756</v>
          </cell>
          <cell r="H97">
            <v>0.34092251274013374</v>
          </cell>
          <cell r="I97">
            <v>0.33958912413519771</v>
          </cell>
          <cell r="J97">
            <v>0.33863989777667308</v>
          </cell>
          <cell r="K97">
            <v>0.3379297196396423</v>
          </cell>
          <cell r="L97">
            <v>0.33737838869982151</v>
          </cell>
          <cell r="M97">
            <v>0.33693797165422684</v>
          </cell>
          <cell r="N97">
            <v>0.33657805809890268</v>
          </cell>
          <cell r="O97">
            <v>0.33627842383510254</v>
          </cell>
          <cell r="P97">
            <v>0.33602509550548254</v>
          </cell>
          <cell r="Q97">
            <v>0.33580810883543616</v>
          </cell>
          <cell r="R97">
            <v>0.33562016706466469</v>
          </cell>
          <cell r="S97">
            <v>0.33545580430214778</v>
          </cell>
          <cell r="T97">
            <v>0.33531084518201093</v>
          </cell>
          <cell r="U97">
            <v>0.33518204521877448</v>
          </cell>
          <cell r="V97">
            <v>0.33506684508404194</v>
          </cell>
          <cell r="W97">
            <v>0.3349631988157169</v>
          </cell>
          <cell r="X97">
            <v>0.33486945124702061</v>
          </cell>
          <cell r="Y97">
            <v>0.33478424895286601</v>
          </cell>
          <cell r="Z97">
            <v>0.33470647448672985</v>
          </cell>
          <cell r="AA97">
            <v>0.33463519709840617</v>
          </cell>
          <cell r="AB97">
            <v>0.33456963530720252</v>
          </cell>
        </row>
        <row r="98">
          <cell r="C98">
            <v>4.6200563950545899</v>
          </cell>
          <cell r="D98">
            <v>5.1319252369983737</v>
          </cell>
          <cell r="E98">
            <v>5.3023419260963687</v>
          </cell>
          <cell r="F98">
            <v>5.5185859369584183</v>
          </cell>
          <cell r="G98">
            <v>5.6665124035488708</v>
          </cell>
          <cell r="H98">
            <v>5.7493178448974467</v>
          </cell>
          <cell r="I98">
            <v>5.7994955874748211</v>
          </cell>
          <cell r="J98">
            <v>5.8367870905643677</v>
          </cell>
          <cell r="K98">
            <v>5.8649129953685204</v>
          </cell>
          <cell r="L98">
            <v>5.8868823662630518</v>
          </cell>
          <cell r="M98">
            <v>5.9045171006281496</v>
          </cell>
          <cell r="N98">
            <v>5.91450528535335</v>
          </cell>
          <cell r="O98">
            <v>5.9242982470804266</v>
          </cell>
          <cell r="P98">
            <v>5.9325972629947881</v>
          </cell>
          <cell r="Q98">
            <v>5.939719957637946</v>
          </cell>
          <cell r="R98">
            <v>5.9458998765300235</v>
          </cell>
          <cell r="S98">
            <v>5.9548419769755787</v>
          </cell>
          <cell r="T98">
            <v>5.9682439052317813</v>
          </cell>
          <cell r="U98">
            <v>5.9801820496691533</v>
          </cell>
          <cell r="V98">
            <v>5.9908837873397669</v>
          </cell>
          <cell r="W98">
            <v>6.0005317244753931</v>
          </cell>
          <cell r="X98">
            <v>6.0092741979972937</v>
          </cell>
          <cell r="Y98">
            <v>6.0172329537792768</v>
          </cell>
          <cell r="Z98">
            <v>6.0245088491416414</v>
          </cell>
          <cell r="AA98">
            <v>6.0311861482891063</v>
          </cell>
          <cell r="AB98">
            <v>6.0373357997185506</v>
          </cell>
        </row>
        <row r="99">
          <cell r="C99" t="str">
            <v>N/A</v>
          </cell>
          <cell r="D99">
            <v>0.20822977078155214</v>
          </cell>
          <cell r="E99">
            <v>0.22154155349509774</v>
          </cell>
          <cell r="F99">
            <v>0.22601132692079595</v>
          </cell>
          <cell r="G99">
            <v>0.22198874109284783</v>
          </cell>
          <cell r="H99">
            <v>0.21958152752787674</v>
          </cell>
          <cell r="I99">
            <v>0.21460069407095195</v>
          </cell>
          <cell r="J99">
            <v>0.21105541501089453</v>
          </cell>
          <cell r="K99">
            <v>0.20840324841475266</v>
          </cell>
          <cell r="L99">
            <v>0.2063444683340494</v>
          </cell>
          <cell r="M99">
            <v>0.20469997001667317</v>
          </cell>
          <cell r="N99">
            <v>0.20056613689391467</v>
          </cell>
          <cell r="O99">
            <v>0.19713211373106532</v>
          </cell>
          <cell r="P99">
            <v>0.194234074932365</v>
          </cell>
          <cell r="Q99">
            <v>0.19175562618453323</v>
          </cell>
          <cell r="R99">
            <v>0.18961179828565422</v>
          </cell>
          <cell r="S99">
            <v>0.18644876074829364</v>
          </cell>
          <cell r="T99">
            <v>0.18366483020552038</v>
          </cell>
          <cell r="U99">
            <v>0.18119570968292265</v>
          </cell>
          <cell r="V99">
            <v>0.17899086276604548</v>
          </cell>
          <cell r="W99">
            <v>0.17701001961301666</v>
          </cell>
          <cell r="X99">
            <v>0.17522069604866597</v>
          </cell>
          <cell r="Y99">
            <v>0.17359639885823763</v>
          </cell>
          <cell r="Z99">
            <v>0.17211530562033572</v>
          </cell>
          <cell r="AA99">
            <v>0.17075927887995013</v>
          </cell>
          <cell r="AB99">
            <v>0.16951311988121565</v>
          </cell>
        </row>
        <row r="100">
          <cell r="C100" t="str">
            <v>N/A</v>
          </cell>
          <cell r="D100">
            <v>0.2462869965979495</v>
          </cell>
          <cell r="E100">
            <v>0.21430435747779275</v>
          </cell>
          <cell r="F100">
            <v>0.20523002989947203</v>
          </cell>
          <cell r="G100">
            <v>0.20683684988355577</v>
          </cell>
          <cell r="H100">
            <v>0.20746881769222036</v>
          </cell>
          <cell r="I100">
            <v>0.20453964083874521</v>
          </cell>
          <cell r="J100">
            <v>0.20245172317627369</v>
          </cell>
          <cell r="K100">
            <v>0.20088816033470347</v>
          </cell>
          <cell r="L100">
            <v>0.19967346165170463</v>
          </cell>
          <cell r="M100">
            <v>0.19870258740595959</v>
          </cell>
          <cell r="N100">
            <v>0.19513144780869851</v>
          </cell>
          <cell r="O100">
            <v>0.19216362653072827</v>
          </cell>
          <cell r="P100">
            <v>0.18965815022324595</v>
          </cell>
          <cell r="Q100">
            <v>0.18751479047975361</v>
          </cell>
          <cell r="R100">
            <v>0.18566033589578601</v>
          </cell>
          <cell r="S100">
            <v>0.18275373061508082</v>
          </cell>
          <cell r="T100">
            <v>0.18019499678835671</v>
          </cell>
          <cell r="U100">
            <v>0.17792521416886964</v>
          </cell>
          <cell r="V100">
            <v>0.17589805651775636</v>
          </cell>
          <cell r="W100">
            <v>0.17407659759821814</v>
          </cell>
          <cell r="X100">
            <v>0.17243104223943662</v>
          </cell>
          <cell r="Y100">
            <v>0.17093708430092835</v>
          </cell>
          <cell r="Z100">
            <v>0.16957469836371009</v>
          </cell>
          <cell r="AA100">
            <v>0.16832723713157716</v>
          </cell>
          <cell r="AB100">
            <v>0.16718074795954818</v>
          </cell>
        </row>
        <row r="101">
          <cell r="C101" t="str">
            <v>N/A</v>
          </cell>
          <cell r="D101">
            <v>0.17543686683151116</v>
          </cell>
          <cell r="E101">
            <v>0.15814710059118076</v>
          </cell>
          <cell r="F101">
            <v>0.1465358931965639</v>
          </cell>
          <cell r="G101">
            <v>0.16648791022548526</v>
          </cell>
          <cell r="H101">
            <v>0.17506331417265786</v>
          </cell>
          <cell r="I101">
            <v>0.17693083169439894</v>
          </cell>
          <cell r="J101">
            <v>0.17878903107669397</v>
          </cell>
          <cell r="K101">
            <v>0.18018460568056427</v>
          </cell>
          <cell r="L101">
            <v>0.18127119477576992</v>
          </cell>
          <cell r="M101">
            <v>0.18214118630743759</v>
          </cell>
          <cell r="N101">
            <v>0.1794285974747023</v>
          </cell>
          <cell r="O101">
            <v>0.17779719352399881</v>
          </cell>
          <cell r="P101">
            <v>0.17641853745997271</v>
          </cell>
          <cell r="Q101">
            <v>0.17523811676220347</v>
          </cell>
          <cell r="R101">
            <v>0.1742160436110447</v>
          </cell>
          <cell r="S101">
            <v>0.16961458882559088</v>
          </cell>
          <cell r="T101">
            <v>0.16785145084090169</v>
          </cell>
          <cell r="U101">
            <v>0.16628644847955432</v>
          </cell>
          <cell r="V101">
            <v>0.16488796098488723</v>
          </cell>
          <cell r="W101">
            <v>0.16363075606229471</v>
          </cell>
          <cell r="X101">
            <v>0.16249445413935848</v>
          </cell>
          <cell r="Y101">
            <v>0.16146241530872452</v>
          </cell>
          <cell r="Z101">
            <v>0.16052091918532474</v>
          </cell>
          <cell r="AA101">
            <v>0.15965855152735076</v>
          </cell>
          <cell r="AB101">
            <v>0.15886573926009984</v>
          </cell>
        </row>
        <row r="102">
          <cell r="C102" t="str">
            <v>N/A</v>
          </cell>
          <cell r="D102">
            <v>4.2300536007880973E-2</v>
          </cell>
          <cell r="E102">
            <v>0.1210754906049738</v>
          </cell>
          <cell r="F102">
            <v>0.14719858618144044</v>
          </cell>
          <cell r="G102">
            <v>0.1498626349061587</v>
          </cell>
          <cell r="H102">
            <v>0.16337114540289144</v>
          </cell>
          <cell r="I102">
            <v>0.16972819958907692</v>
          </cell>
          <cell r="J102">
            <v>0.17234560371200591</v>
          </cell>
          <cell r="K102">
            <v>0.17453799950361804</v>
          </cell>
          <cell r="L102">
            <v>0.17624603039547515</v>
          </cell>
          <cell r="M102">
            <v>0.1776142433035619</v>
          </cell>
          <cell r="N102">
            <v>0.17775552048614962</v>
          </cell>
          <cell r="O102">
            <v>0.17595478482515969</v>
          </cell>
          <cell r="P102">
            <v>0.17471974096416787</v>
          </cell>
          <cell r="Q102">
            <v>0.1736621643794376</v>
          </cell>
          <cell r="R102">
            <v>0.17274636819203582</v>
          </cell>
          <cell r="S102">
            <v>0.17266658735038276</v>
          </cell>
          <cell r="T102">
            <v>0.16960120717856841</v>
          </cell>
          <cell r="U102">
            <v>0.16793671295435897</v>
          </cell>
          <cell r="V102">
            <v>0.16644943664380585</v>
          </cell>
          <cell r="W102">
            <v>0.16511250734354332</v>
          </cell>
          <cell r="X102">
            <v>0.16390422506234903</v>
          </cell>
          <cell r="Y102">
            <v>0.16280687401789184</v>
          </cell>
          <cell r="Z102">
            <v>0.16180584839479573</v>
          </cell>
          <cell r="AA102">
            <v>0.16088899861779349</v>
          </cell>
          <cell r="AB102">
            <v>0.16004613586731797</v>
          </cell>
        </row>
        <row r="105">
          <cell r="C105" t="str">
            <v>N/A</v>
          </cell>
          <cell r="D105">
            <v>0.14578089173706665</v>
          </cell>
          <cell r="E105">
            <v>2.2692107152985308E-2</v>
          </cell>
          <cell r="F105">
            <v>4.9012342021208966E-2</v>
          </cell>
          <cell r="G105">
            <v>2.7616392272913126E-2</v>
          </cell>
          <cell r="H105">
            <v>-6.7964256330721451E-3</v>
          </cell>
          <cell r="I105">
            <v>-5.8737973963723933E-3</v>
          </cell>
          <cell r="J105">
            <v>1.419141478128827E-3</v>
          </cell>
          <cell r="K105">
            <v>0</v>
          </cell>
          <cell r="L105">
            <v>0</v>
          </cell>
          <cell r="M105">
            <v>-2.2204460492503131E-16</v>
          </cell>
          <cell r="N105">
            <v>-8.2934293340199972E-3</v>
          </cell>
          <cell r="O105">
            <v>2.9550827423168169E-3</v>
          </cell>
          <cell r="P105">
            <v>0</v>
          </cell>
          <cell r="Q105">
            <v>-2.2204460492503131E-16</v>
          </cell>
          <cell r="R105">
            <v>2.2204460492503131E-16</v>
          </cell>
          <cell r="S105">
            <v>9.5310440347200487E-3</v>
          </cell>
          <cell r="T105">
            <v>1.5798892973409417E-2</v>
          </cell>
          <cell r="U105">
            <v>2.2204460492503131E-16</v>
          </cell>
          <cell r="V105">
            <v>0</v>
          </cell>
          <cell r="W105">
            <v>0</v>
          </cell>
          <cell r="X105">
            <v>0</v>
          </cell>
          <cell r="Y105">
            <v>-2.2204460492503131E-16</v>
          </cell>
          <cell r="Z105">
            <v>0</v>
          </cell>
          <cell r="AA105">
            <v>2.2204460492503131E-16</v>
          </cell>
          <cell r="AB105">
            <v>0</v>
          </cell>
        </row>
        <row r="106">
          <cell r="C106" t="str">
            <v>N/A</v>
          </cell>
          <cell r="D106" t="str">
            <v>N/A</v>
          </cell>
          <cell r="E106" t="str">
            <v>N/A</v>
          </cell>
          <cell r="F106" t="str">
            <v>N/A</v>
          </cell>
          <cell r="G106" t="str">
            <v>N/A</v>
          </cell>
          <cell r="H106">
            <v>4.6403719973358459E-2</v>
          </cell>
          <cell r="I106">
            <v>1.7108453838055704E-2</v>
          </cell>
          <cell r="J106">
            <v>1.2841437307074877E-2</v>
          </cell>
          <cell r="K106">
            <v>3.1949592496003376E-3</v>
          </cell>
          <cell r="L106">
            <v>-2.2559728719027117E-3</v>
          </cell>
          <cell r="M106">
            <v>-8.941960774673241E-4</v>
          </cell>
          <cell r="N106">
            <v>-1.3810206530004976E-3</v>
          </cell>
          <cell r="O106">
            <v>-1.0748791201453667E-3</v>
          </cell>
          <cell r="P106">
            <v>-1.0748791201453667E-3</v>
          </cell>
          <cell r="Q106">
            <v>-1.0748791201453667E-3</v>
          </cell>
          <cell r="R106">
            <v>-1.0748791201452557E-3</v>
          </cell>
          <cell r="S106">
            <v>2.4904230158366847E-3</v>
          </cell>
          <cell r="T106">
            <v>5.0449430393475492E-3</v>
          </cell>
          <cell r="U106">
            <v>5.0449430393475492E-3</v>
          </cell>
          <cell r="V106">
            <v>5.0449430393475492E-3</v>
          </cell>
          <cell r="W106">
            <v>5.0449430393475492E-3</v>
          </cell>
          <cell r="X106">
            <v>3.1399974117825025E-3</v>
          </cell>
          <cell r="Y106">
            <v>0</v>
          </cell>
          <cell r="Z106">
            <v>0</v>
          </cell>
          <cell r="AA106">
            <v>0</v>
          </cell>
          <cell r="AB106">
            <v>0</v>
          </cell>
        </row>
        <row r="107">
          <cell r="C107" t="str">
            <v>N/A</v>
          </cell>
          <cell r="D107" t="str">
            <v>N/A</v>
          </cell>
          <cell r="E107" t="str">
            <v>N/A</v>
          </cell>
          <cell r="F107" t="str">
            <v>N/A</v>
          </cell>
          <cell r="G107" t="str">
            <v>N/A</v>
          </cell>
          <cell r="H107" t="str">
            <v>N/A</v>
          </cell>
          <cell r="I107" t="str">
            <v>N/A</v>
          </cell>
          <cell r="J107" t="str">
            <v>N/A</v>
          </cell>
          <cell r="K107" t="str">
            <v>N/A</v>
          </cell>
          <cell r="L107" t="str">
            <v>N/A</v>
          </cell>
          <cell r="M107">
            <v>2.2481310279807154E-2</v>
          </cell>
          <cell r="N107">
            <v>7.821316532332423E-3</v>
          </cell>
          <cell r="O107">
            <v>5.8592124120033784E-3</v>
          </cell>
          <cell r="P107">
            <v>1.0577635353856696E-3</v>
          </cell>
          <cell r="Q107">
            <v>-1.6656006597350892E-3</v>
          </cell>
          <cell r="R107">
            <v>-9.8454168362316352E-4</v>
          </cell>
          <cell r="S107">
            <v>5.5282870881767643E-4</v>
          </cell>
          <cell r="T107">
            <v>1.9803596953720248E-3</v>
          </cell>
          <cell r="U107">
            <v>1.9803596953720248E-3</v>
          </cell>
          <cell r="V107">
            <v>1.9803596953720248E-3</v>
          </cell>
          <cell r="W107">
            <v>1.9803596953720248E-3</v>
          </cell>
          <cell r="X107">
            <v>2.8151576185131422E-3</v>
          </cell>
          <cell r="Y107">
            <v>2.5192980882451366E-3</v>
          </cell>
          <cell r="Z107">
            <v>2.5192980882451366E-3</v>
          </cell>
          <cell r="AA107">
            <v>2.5192980882451366E-3</v>
          </cell>
          <cell r="AB107">
            <v>2.5192980882451366E-3</v>
          </cell>
        </row>
        <row r="110">
          <cell r="C110">
            <v>0</v>
          </cell>
          <cell r="D110">
            <v>0.75</v>
          </cell>
          <cell r="E110">
            <v>1.75</v>
          </cell>
          <cell r="F110">
            <v>2.75</v>
          </cell>
          <cell r="G110">
            <v>3.75</v>
          </cell>
          <cell r="H110">
            <v>4.75</v>
          </cell>
          <cell r="I110">
            <v>5.75</v>
          </cell>
          <cell r="J110">
            <v>6.75</v>
          </cell>
          <cell r="K110">
            <v>7.75</v>
          </cell>
          <cell r="L110">
            <v>8.75</v>
          </cell>
          <cell r="M110">
            <v>9.75</v>
          </cell>
          <cell r="N110">
            <v>10.75</v>
          </cell>
          <cell r="O110">
            <v>11.75</v>
          </cell>
          <cell r="P110">
            <v>12.75</v>
          </cell>
          <cell r="Q110">
            <v>13.75</v>
          </cell>
          <cell r="R110">
            <v>14.75</v>
          </cell>
          <cell r="S110">
            <v>15.75</v>
          </cell>
          <cell r="T110">
            <v>16.75</v>
          </cell>
          <cell r="U110">
            <v>17.75</v>
          </cell>
          <cell r="V110">
            <v>18.75</v>
          </cell>
          <cell r="W110">
            <v>19.75</v>
          </cell>
          <cell r="X110">
            <v>20.75</v>
          </cell>
          <cell r="Y110">
            <v>21.75</v>
          </cell>
          <cell r="Z110">
            <v>22.75</v>
          </cell>
          <cell r="AA110">
            <v>23.75</v>
          </cell>
          <cell r="AB110">
            <v>24.75</v>
          </cell>
          <cell r="AC110">
            <v>25.75</v>
          </cell>
        </row>
        <row r="114">
          <cell r="D114" t="str">
            <v>1999E</v>
          </cell>
          <cell r="E114" t="str">
            <v>2000E</v>
          </cell>
          <cell r="F114" t="str">
            <v>2001E</v>
          </cell>
          <cell r="G114" t="str">
            <v>2002E</v>
          </cell>
          <cell r="H114" t="str">
            <v>2003E</v>
          </cell>
          <cell r="I114" t="str">
            <v>2004E</v>
          </cell>
          <cell r="J114" t="str">
            <v>2005E</v>
          </cell>
          <cell r="K114" t="str">
            <v>2006E</v>
          </cell>
          <cell r="L114" t="str">
            <v>2007E</v>
          </cell>
          <cell r="M114" t="str">
            <v>2008E</v>
          </cell>
          <cell r="N114" t="str">
            <v>2009E</v>
          </cell>
          <cell r="O114" t="str">
            <v>2010E</v>
          </cell>
          <cell r="P114" t="str">
            <v>2011E</v>
          </cell>
          <cell r="Q114" t="str">
            <v>2012E</v>
          </cell>
          <cell r="R114" t="str">
            <v>2013E</v>
          </cell>
          <cell r="S114" t="str">
            <v>2014E</v>
          </cell>
          <cell r="T114" t="str">
            <v>2015E</v>
          </cell>
          <cell r="U114" t="str">
            <v>2016E</v>
          </cell>
          <cell r="V114" t="str">
            <v>2017E</v>
          </cell>
          <cell r="W114" t="str">
            <v>2018E</v>
          </cell>
          <cell r="X114" t="str">
            <v>2019E</v>
          </cell>
          <cell r="Y114" t="str">
            <v>2020E</v>
          </cell>
          <cell r="Z114" t="str">
            <v>2021E</v>
          </cell>
          <cell r="AA114" t="str">
            <v>2022E</v>
          </cell>
        </row>
        <row r="116">
          <cell r="D116">
            <v>4738.9993000000013</v>
          </cell>
          <cell r="E116">
            <v>7475.881768166666</v>
          </cell>
          <cell r="F116">
            <v>8875.9970636858325</v>
          </cell>
          <cell r="G116">
            <v>10754.780911875001</v>
          </cell>
          <cell r="H116">
            <v>13013.284903368751</v>
          </cell>
          <cell r="I116">
            <v>15485.809035008813</v>
          </cell>
          <cell r="J116">
            <v>18428.112751660487</v>
          </cell>
          <cell r="K116">
            <v>21929.454174475981</v>
          </cell>
          <cell r="L116">
            <v>26096.050467626417</v>
          </cell>
          <cell r="M116">
            <v>31054.300056475433</v>
          </cell>
          <cell r="N116">
            <v>36022.988065511498</v>
          </cell>
          <cell r="O116">
            <v>41786.666155993335</v>
          </cell>
          <cell r="P116">
            <v>48472.532740952272</v>
          </cell>
          <cell r="Q116">
            <v>56228.13797950463</v>
          </cell>
          <cell r="R116">
            <v>65224.640056225369</v>
          </cell>
          <cell r="S116">
            <v>74356.089664096929</v>
          </cell>
          <cell r="T116">
            <v>84765.942217070507</v>
          </cell>
          <cell r="U116">
            <v>96633.174127460385</v>
          </cell>
          <cell r="V116">
            <v>110161.81850530487</v>
          </cell>
          <cell r="W116">
            <v>125584.47309604756</v>
          </cell>
          <cell r="X116">
            <v>143166.29932949424</v>
          </cell>
          <cell r="Y116">
            <v>163209.58123562345</v>
          </cell>
          <cell r="Z116">
            <v>186058.92260861074</v>
          </cell>
          <cell r="AA116">
            <v>212107.17177381626</v>
          </cell>
          <cell r="AB116">
            <v>241802.17582215057</v>
          </cell>
          <cell r="AC116">
            <v>275654.48043725168</v>
          </cell>
        </row>
        <row r="117">
          <cell r="D117">
            <v>412.49944187492702</v>
          </cell>
          <cell r="E117">
            <v>520.00010084092901</v>
          </cell>
          <cell r="F117">
            <v>520.00000186176749</v>
          </cell>
          <cell r="G117">
            <v>1079.439115926436</v>
          </cell>
          <cell r="H117">
            <v>1218.9376796370962</v>
          </cell>
          <cell r="I117">
            <v>1308.5514898617339</v>
          </cell>
          <cell r="J117">
            <v>1583.0713190192928</v>
          </cell>
          <cell r="K117">
            <v>1883.8548696329635</v>
          </cell>
          <cell r="L117">
            <v>2241.7872948632212</v>
          </cell>
          <cell r="M117">
            <v>2667.7268808872359</v>
          </cell>
          <cell r="N117">
            <v>2550.4145783027634</v>
          </cell>
          <cell r="O117">
            <v>3081.4094805333298</v>
          </cell>
          <cell r="P117">
            <v>3574.4349974186734</v>
          </cell>
          <cell r="Q117">
            <v>4146.3445970056528</v>
          </cell>
          <cell r="R117">
            <v>4809.7597325265524</v>
          </cell>
          <cell r="S117">
            <v>3581.8380446167284</v>
          </cell>
          <cell r="T117">
            <v>5383.3634547608017</v>
          </cell>
          <cell r="U117">
            <v>6137.0343384273219</v>
          </cell>
          <cell r="V117">
            <v>6996.2191458071393</v>
          </cell>
          <cell r="W117">
            <v>7975.6898262201503</v>
          </cell>
          <cell r="X117">
            <v>9092.2864018909604</v>
          </cell>
          <cell r="Y117">
            <v>10365.20649815572</v>
          </cell>
          <cell r="Z117">
            <v>11816.335407897466</v>
          </cell>
          <cell r="AA117">
            <v>13470.622365003161</v>
          </cell>
          <cell r="AB117">
            <v>15356.509496103608</v>
          </cell>
          <cell r="AC117">
            <v>0</v>
          </cell>
        </row>
        <row r="118">
          <cell r="D118">
            <v>5768.6664775000991</v>
          </cell>
          <cell r="E118">
            <v>6955.881667325737</v>
          </cell>
          <cell r="F118">
            <v>8355.9970618240659</v>
          </cell>
          <cell r="G118">
            <v>9675.341795948565</v>
          </cell>
          <cell r="H118">
            <v>11794.347223731655</v>
          </cell>
          <cell r="I118">
            <v>14177.25754514708</v>
          </cell>
          <cell r="J118">
            <v>16845.041432641192</v>
          </cell>
          <cell r="K118">
            <v>20045.599304843017</v>
          </cell>
          <cell r="L118">
            <v>23854.263172763196</v>
          </cell>
          <cell r="M118">
            <v>28386.573175588197</v>
          </cell>
          <cell r="N118">
            <v>33472.573487208734</v>
          </cell>
          <cell r="O118">
            <v>38705.256675460005</v>
          </cell>
          <cell r="P118">
            <v>44898.097743533595</v>
          </cell>
          <cell r="Q118">
            <v>52081.793382498974</v>
          </cell>
          <cell r="R118">
            <v>60414.880323698817</v>
          </cell>
          <cell r="S118">
            <v>70774.251619480201</v>
          </cell>
          <cell r="T118">
            <v>79382.578762309713</v>
          </cell>
          <cell r="U118">
            <v>90496.13978903307</v>
          </cell>
          <cell r="V118">
            <v>103165.59935949772</v>
          </cell>
          <cell r="W118">
            <v>117608.7832698274</v>
          </cell>
          <cell r="X118">
            <v>134074.01292760327</v>
          </cell>
          <cell r="Y118">
            <v>152844.37473746773</v>
          </cell>
          <cell r="Z118">
            <v>174242.58720071329</v>
          </cell>
          <cell r="AA118">
            <v>198636.54940881309</v>
          </cell>
          <cell r="AB118">
            <v>226445.66632604698</v>
          </cell>
          <cell r="AC118">
            <v>275654.48043725168</v>
          </cell>
        </row>
        <row r="120">
          <cell r="D120">
            <v>5298.8677664348606</v>
          </cell>
          <cell r="E120">
            <v>5705.1890298769104</v>
          </cell>
          <cell r="F120">
            <v>6119.6464681047219</v>
          </cell>
          <cell r="G120">
            <v>6327.0981708727559</v>
          </cell>
          <cell r="H120">
            <v>6886.8776571685521</v>
          </cell>
          <cell r="I120">
            <v>7391.8116048865113</v>
          </cell>
          <cell r="J120">
            <v>7842.2547512008232</v>
          </cell>
          <cell r="K120">
            <v>8332.9372077819153</v>
          </cell>
          <cell r="L120">
            <v>8854.3212012085987</v>
          </cell>
          <cell r="M120">
            <v>9408.3276975802964</v>
          </cell>
          <cell r="N120">
            <v>9906.0102626710013</v>
          </cell>
          <cell r="O120">
            <v>10227.97890347541</v>
          </cell>
          <cell r="P120">
            <v>10593.95233608872</v>
          </cell>
          <cell r="Q120">
            <v>10973.020883058714</v>
          </cell>
          <cell r="R120">
            <v>11365.653108507089</v>
          </cell>
          <cell r="S120">
            <v>11888.743708826983</v>
          </cell>
          <cell r="T120">
            <v>11906.828105688259</v>
          </cell>
          <cell r="U120">
            <v>12120.237697002412</v>
          </cell>
          <cell r="V120">
            <v>12337.472291353537</v>
          </cell>
          <cell r="W120">
            <v>12558.600445399001</v>
          </cell>
          <cell r="X120">
            <v>12783.691944557375</v>
          </cell>
          <cell r="Y120">
            <v>13012.817825031852</v>
          </cell>
          <cell r="Z120">
            <v>13246.05039622846</v>
          </cell>
          <cell r="AA120">
            <v>13483.463263576006</v>
          </cell>
          <cell r="AB120">
            <v>13725.131351755137</v>
          </cell>
          <cell r="AC120">
            <v>14918.589134337726</v>
          </cell>
        </row>
        <row r="121">
          <cell r="D121">
            <v>5298.8677664348606</v>
          </cell>
          <cell r="E121">
            <v>11004.056796311772</v>
          </cell>
          <cell r="F121">
            <v>17123.703264416494</v>
          </cell>
          <cell r="G121">
            <v>23450.80143528925</v>
          </cell>
          <cell r="H121">
            <v>30337.679092457802</v>
          </cell>
          <cell r="I121">
            <v>37729.490697344314</v>
          </cell>
          <cell r="J121">
            <v>45571.745448545138</v>
          </cell>
          <cell r="K121">
            <v>53904.682656327052</v>
          </cell>
          <cell r="L121">
            <v>62759.003857535652</v>
          </cell>
          <cell r="M121">
            <v>72167.331555115947</v>
          </cell>
          <cell r="N121">
            <v>82073.341817786946</v>
          </cell>
          <cell r="O121">
            <v>92301.320721262353</v>
          </cell>
          <cell r="P121">
            <v>102895.27305735108</v>
          </cell>
          <cell r="Q121">
            <v>113868.29394040979</v>
          </cell>
          <cell r="R121">
            <v>125233.94704891687</v>
          </cell>
          <cell r="S121">
            <v>137122.69075774387</v>
          </cell>
          <cell r="T121">
            <v>149029.51886343214</v>
          </cell>
          <cell r="U121">
            <v>161149.75656043456</v>
          </cell>
          <cell r="V121">
            <v>173487.2288517881</v>
          </cell>
          <cell r="W121">
            <v>186045.8292971871</v>
          </cell>
          <cell r="X121">
            <v>198829.52124174449</v>
          </cell>
          <cell r="Y121">
            <v>211842.33906677633</v>
          </cell>
          <cell r="Z121">
            <v>225088.3894630048</v>
          </cell>
          <cell r="AA121">
            <v>238571.85272658081</v>
          </cell>
          <cell r="AB121">
            <v>252296.98407833595</v>
          </cell>
          <cell r="AC121">
            <v>267215.57321267365</v>
          </cell>
        </row>
        <row r="123">
          <cell r="D123">
            <v>62336.824987497377</v>
          </cell>
          <cell r="E123">
            <v>74011.533716940015</v>
          </cell>
          <cell r="F123">
            <v>89677.567980965847</v>
          </cell>
          <cell r="G123">
            <v>108509.85725696868</v>
          </cell>
          <cell r="H123">
            <v>129126.73013579272</v>
          </cell>
          <cell r="I123">
            <v>153660.80886159334</v>
          </cell>
          <cell r="J123">
            <v>182856.36254529608</v>
          </cell>
          <cell r="K123">
            <v>217599.07142890233</v>
          </cell>
          <cell r="L123">
            <v>258942.89500039374</v>
          </cell>
          <cell r="M123">
            <v>300373.75820045674</v>
          </cell>
          <cell r="N123">
            <v>348433.55951252976</v>
          </cell>
          <cell r="O123">
            <v>404182.92903453455</v>
          </cell>
          <cell r="P123">
            <v>468852.19768006005</v>
          </cell>
          <cell r="Q123">
            <v>543868.54930886964</v>
          </cell>
          <cell r="R123">
            <v>620010.14621211146</v>
          </cell>
          <cell r="S123">
            <v>706811.56668180716</v>
          </cell>
          <cell r="T123">
            <v>805765.18601726019</v>
          </cell>
          <cell r="U123">
            <v>918572.31205967686</v>
          </cell>
          <cell r="V123">
            <v>1047172.4357480317</v>
          </cell>
          <cell r="W123">
            <v>1193776.5767527563</v>
          </cell>
          <cell r="X123">
            <v>1360905.2974981423</v>
          </cell>
          <cell r="Y123">
            <v>1551432.0391478823</v>
          </cell>
          <cell r="Z123">
            <v>1768632.5246285859</v>
          </cell>
          <cell r="AA123">
            <v>2016241.0780765882</v>
          </cell>
          <cell r="AB123">
            <v>2298514.8290073108</v>
          </cell>
        </row>
        <row r="124">
          <cell r="D124">
            <v>57260.130027708874</v>
          </cell>
          <cell r="E124">
            <v>60703.992741812937</v>
          </cell>
          <cell r="F124">
            <v>65676.783764107735</v>
          </cell>
          <cell r="G124">
            <v>70958.993888951416</v>
          </cell>
          <cell r="H124">
            <v>75398.830969304094</v>
          </cell>
          <cell r="I124">
            <v>80116.464453181397</v>
          </cell>
          <cell r="J124">
            <v>85129.275798599556</v>
          </cell>
          <cell r="K124">
            <v>90455.734004950224</v>
          </cell>
          <cell r="L124">
            <v>96115.463659434943</v>
          </cell>
          <cell r="M124">
            <v>99554.628571156733</v>
          </cell>
          <cell r="N124">
            <v>103116.85230026016</v>
          </cell>
          <cell r="O124">
            <v>106806.5380879169</v>
          </cell>
          <cell r="P124">
            <v>110628.24673030539</v>
          </cell>
          <cell r="Q124">
            <v>114586.70221618097</v>
          </cell>
          <cell r="R124">
            <v>116640.47347019866</v>
          </cell>
          <cell r="S124">
            <v>118731.05507203376</v>
          </cell>
          <cell r="T124">
            <v>120859.10678440514</v>
          </cell>
          <cell r="U124">
            <v>123025.3001951534</v>
          </cell>
          <cell r="V124">
            <v>125230.31892918606</v>
          </cell>
          <cell r="W124">
            <v>127474.85886422147</v>
          </cell>
          <cell r="X124">
            <v>129759.62835039952</v>
          </cell>
          <cell r="Y124">
            <v>132085.34843382848</v>
          </cell>
          <cell r="Z124">
            <v>134452.75308413876</v>
          </cell>
          <cell r="AA124">
            <v>136862.58942611484</v>
          </cell>
          <cell r="AB124">
            <v>139315.61797547896</v>
          </cell>
        </row>
        <row r="126">
          <cell r="D126">
            <v>62558.997794143732</v>
          </cell>
          <cell r="E126">
            <v>71708.049538124702</v>
          </cell>
          <cell r="F126">
            <v>82800.487028524221</v>
          </cell>
          <cell r="G126">
            <v>94409.795324240666</v>
          </cell>
          <cell r="H126">
            <v>105736.51006176189</v>
          </cell>
          <cell r="I126">
            <v>117845.95515052571</v>
          </cell>
          <cell r="J126">
            <v>130701.0212471447</v>
          </cell>
          <cell r="K126">
            <v>144360.41666127727</v>
          </cell>
          <cell r="L126">
            <v>158874.46751697059</v>
          </cell>
          <cell r="M126">
            <v>171721.96012627269</v>
          </cell>
          <cell r="N126">
            <v>185190.1941180471</v>
          </cell>
          <cell r="O126">
            <v>199107.85880917925</v>
          </cell>
          <cell r="P126">
            <v>213523.51978765646</v>
          </cell>
          <cell r="Q126">
            <v>228454.99615659076</v>
          </cell>
          <cell r="R126">
            <v>241874.42051911552</v>
          </cell>
          <cell r="S126">
            <v>255853.74582977762</v>
          </cell>
          <cell r="T126">
            <v>269888.6256478373</v>
          </cell>
          <cell r="U126">
            <v>284175.05675558792</v>
          </cell>
          <cell r="V126">
            <v>298717.54778097419</v>
          </cell>
          <cell r="W126">
            <v>313520.68816140859</v>
          </cell>
          <cell r="X126">
            <v>328589.14959214401</v>
          </cell>
          <cell r="Y126">
            <v>343927.68750060478</v>
          </cell>
          <cell r="Z126">
            <v>359541.14254714357</v>
          </cell>
          <cell r="AA126">
            <v>375434.44215269561</v>
          </cell>
          <cell r="AB126">
            <v>391612.60205381492</v>
          </cell>
        </row>
        <row r="128">
          <cell r="D128">
            <v>62558.997794143732</v>
          </cell>
          <cell r="E128">
            <v>71708.049538124702</v>
          </cell>
          <cell r="F128">
            <v>82800.487028524221</v>
          </cell>
          <cell r="G128">
            <v>94409.795324240666</v>
          </cell>
          <cell r="H128">
            <v>105736.51006176189</v>
          </cell>
          <cell r="I128">
            <v>117845.95515052571</v>
          </cell>
          <cell r="J128">
            <v>130701.0212471447</v>
          </cell>
          <cell r="K128">
            <v>144360.41666127727</v>
          </cell>
          <cell r="L128">
            <v>158874.46751697059</v>
          </cell>
          <cell r="M128">
            <v>171721.96012627269</v>
          </cell>
          <cell r="N128">
            <v>185190.1941180471</v>
          </cell>
          <cell r="O128">
            <v>199107.85880917925</v>
          </cell>
          <cell r="P128">
            <v>213523.51978765646</v>
          </cell>
          <cell r="Q128">
            <v>228454.99615659076</v>
          </cell>
          <cell r="R128">
            <v>241874.42051911552</v>
          </cell>
          <cell r="S128">
            <v>255853.74582977762</v>
          </cell>
          <cell r="T128">
            <v>269888.6256478373</v>
          </cell>
          <cell r="U128">
            <v>284175.05675558792</v>
          </cell>
          <cell r="V128">
            <v>298717.54778097419</v>
          </cell>
          <cell r="W128">
            <v>313520.68816140859</v>
          </cell>
          <cell r="X128">
            <v>328589.14959214401</v>
          </cell>
          <cell r="Y128">
            <v>343927.68750060478</v>
          </cell>
          <cell r="Z128">
            <v>359541.14254714357</v>
          </cell>
          <cell r="AA128">
            <v>375434.44215269561</v>
          </cell>
          <cell r="AB128">
            <v>391612.60205381492</v>
          </cell>
        </row>
        <row r="130">
          <cell r="D130">
            <v>16451.400000000001</v>
          </cell>
          <cell r="E130">
            <v>16451.400000000001</v>
          </cell>
          <cell r="F130">
            <v>16451.400000000001</v>
          </cell>
          <cell r="G130">
            <v>16451.400000000001</v>
          </cell>
          <cell r="H130">
            <v>16451.400000000001</v>
          </cell>
          <cell r="I130">
            <v>16451.400000000001</v>
          </cell>
          <cell r="J130">
            <v>16451.400000000001</v>
          </cell>
          <cell r="K130">
            <v>16451.400000000001</v>
          </cell>
          <cell r="L130">
            <v>16451.400000000001</v>
          </cell>
          <cell r="M130">
            <v>16451.400000000001</v>
          </cell>
          <cell r="N130">
            <v>16451.400000000001</v>
          </cell>
          <cell r="O130">
            <v>16451.400000000001</v>
          </cell>
          <cell r="P130">
            <v>16451.400000000001</v>
          </cell>
          <cell r="Q130">
            <v>16451.400000000001</v>
          </cell>
          <cell r="R130">
            <v>16451.400000000001</v>
          </cell>
          <cell r="S130">
            <v>16451.400000000001</v>
          </cell>
          <cell r="T130">
            <v>16451.400000000001</v>
          </cell>
          <cell r="U130">
            <v>16451.400000000001</v>
          </cell>
          <cell r="V130">
            <v>16451.400000000001</v>
          </cell>
          <cell r="W130">
            <v>16451.400000000001</v>
          </cell>
          <cell r="X130">
            <v>16451.400000000001</v>
          </cell>
          <cell r="Y130">
            <v>16451.400000000001</v>
          </cell>
          <cell r="Z130">
            <v>16451.400000000001</v>
          </cell>
          <cell r="AA130">
            <v>16451.400000000001</v>
          </cell>
          <cell r="AB130">
            <v>16451.400000000001</v>
          </cell>
        </row>
        <row r="131">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row>
        <row r="132">
          <cell r="D132">
            <v>980</v>
          </cell>
          <cell r="E132">
            <v>980</v>
          </cell>
          <cell r="F132">
            <v>980</v>
          </cell>
          <cell r="G132">
            <v>980</v>
          </cell>
          <cell r="H132">
            <v>980</v>
          </cell>
          <cell r="I132">
            <v>980</v>
          </cell>
          <cell r="J132">
            <v>980</v>
          </cell>
          <cell r="K132">
            <v>980</v>
          </cell>
          <cell r="L132">
            <v>980</v>
          </cell>
          <cell r="M132">
            <v>980</v>
          </cell>
          <cell r="N132">
            <v>980</v>
          </cell>
          <cell r="O132">
            <v>980</v>
          </cell>
          <cell r="P132">
            <v>980</v>
          </cell>
          <cell r="Q132">
            <v>980</v>
          </cell>
          <cell r="R132">
            <v>980</v>
          </cell>
          <cell r="S132">
            <v>980</v>
          </cell>
          <cell r="T132">
            <v>980</v>
          </cell>
          <cell r="U132">
            <v>980</v>
          </cell>
          <cell r="V132">
            <v>980</v>
          </cell>
          <cell r="W132">
            <v>980</v>
          </cell>
          <cell r="X132">
            <v>980</v>
          </cell>
          <cell r="Y132">
            <v>980</v>
          </cell>
          <cell r="Z132">
            <v>980</v>
          </cell>
          <cell r="AA132">
            <v>980</v>
          </cell>
          <cell r="AB132">
            <v>980</v>
          </cell>
        </row>
        <row r="134">
          <cell r="D134">
            <v>78030.397794143733</v>
          </cell>
          <cell r="E134">
            <v>87179.449538124696</v>
          </cell>
          <cell r="F134">
            <v>98271.887028524216</v>
          </cell>
          <cell r="G134">
            <v>109881.19532424066</v>
          </cell>
          <cell r="H134">
            <v>121207.91006176188</v>
          </cell>
          <cell r="I134">
            <v>133317.35515052572</v>
          </cell>
          <cell r="J134">
            <v>146172.4212471447</v>
          </cell>
          <cell r="K134">
            <v>159831.81666127726</v>
          </cell>
          <cell r="L134">
            <v>174345.86751697058</v>
          </cell>
          <cell r="M134">
            <v>187193.36012627269</v>
          </cell>
          <cell r="N134">
            <v>200661.5941180471</v>
          </cell>
          <cell r="O134">
            <v>214579.25880917924</v>
          </cell>
          <cell r="P134">
            <v>228994.91978765646</v>
          </cell>
          <cell r="Q134">
            <v>243926.39615659075</v>
          </cell>
          <cell r="R134">
            <v>257345.82051911551</v>
          </cell>
          <cell r="S134">
            <v>271325.14582977764</v>
          </cell>
          <cell r="T134">
            <v>285360.02564783732</v>
          </cell>
          <cell r="U134">
            <v>299646.45675558795</v>
          </cell>
          <cell r="V134">
            <v>314188.94778097421</v>
          </cell>
          <cell r="W134">
            <v>328992.08816140861</v>
          </cell>
          <cell r="X134">
            <v>344060.54959214403</v>
          </cell>
          <cell r="Y134">
            <v>359399.0875006048</v>
          </cell>
          <cell r="Z134">
            <v>375012.54254714359</v>
          </cell>
          <cell r="AA134">
            <v>390905.84215269564</v>
          </cell>
          <cell r="AB134">
            <v>407084.00205381494</v>
          </cell>
        </row>
        <row r="136">
          <cell r="D136">
            <v>2470</v>
          </cell>
          <cell r="E136">
            <v>2470</v>
          </cell>
          <cell r="F136">
            <v>2470</v>
          </cell>
          <cell r="G136">
            <v>2470</v>
          </cell>
          <cell r="H136">
            <v>2470</v>
          </cell>
          <cell r="I136">
            <v>2470</v>
          </cell>
          <cell r="J136">
            <v>2470</v>
          </cell>
          <cell r="K136">
            <v>2470</v>
          </cell>
          <cell r="L136">
            <v>2470</v>
          </cell>
          <cell r="M136">
            <v>2470</v>
          </cell>
          <cell r="N136">
            <v>2470</v>
          </cell>
          <cell r="O136">
            <v>2470</v>
          </cell>
          <cell r="P136">
            <v>2470</v>
          </cell>
          <cell r="Q136">
            <v>2470</v>
          </cell>
          <cell r="R136">
            <v>2470</v>
          </cell>
          <cell r="S136">
            <v>2470</v>
          </cell>
          <cell r="T136">
            <v>2470</v>
          </cell>
          <cell r="U136">
            <v>2470</v>
          </cell>
          <cell r="V136">
            <v>2470</v>
          </cell>
          <cell r="W136">
            <v>2470</v>
          </cell>
          <cell r="X136">
            <v>2470</v>
          </cell>
          <cell r="Y136">
            <v>2470</v>
          </cell>
          <cell r="Z136">
            <v>2470</v>
          </cell>
          <cell r="AA136">
            <v>2470</v>
          </cell>
          <cell r="AB136">
            <v>2470</v>
          </cell>
        </row>
        <row r="138">
          <cell r="D138">
            <v>31.591254167669529</v>
          </cell>
          <cell r="E138">
            <v>35.295323699645628</v>
          </cell>
          <cell r="F138">
            <v>39.786189080374179</v>
          </cell>
          <cell r="G138">
            <v>44.486313896453709</v>
          </cell>
          <cell r="H138">
            <v>49.072028365085785</v>
          </cell>
          <cell r="I138">
            <v>53.974637712763446</v>
          </cell>
          <cell r="J138">
            <v>59.179117913823767</v>
          </cell>
          <cell r="K138">
            <v>64.709237514687146</v>
          </cell>
          <cell r="L138">
            <v>70.585371464360563</v>
          </cell>
          <cell r="M138">
            <v>75.786785476223756</v>
          </cell>
          <cell r="N138">
            <v>81.239511788683032</v>
          </cell>
          <cell r="O138">
            <v>86.874193849870139</v>
          </cell>
          <cell r="P138">
            <v>92.710493841156463</v>
          </cell>
          <cell r="Q138">
            <v>98.75562597432824</v>
          </cell>
          <cell r="R138">
            <v>104.18859130328563</v>
          </cell>
          <cell r="S138">
            <v>109.84823717804763</v>
          </cell>
          <cell r="T138">
            <v>115.53037475620944</v>
          </cell>
          <cell r="U138">
            <v>121.3143549617765</v>
          </cell>
          <cell r="V138">
            <v>127.20200315019198</v>
          </cell>
          <cell r="W138">
            <v>133.19517739328285</v>
          </cell>
          <cell r="X138">
            <v>139.29576906564535</v>
          </cell>
          <cell r="Y138">
            <v>145.50570344154042</v>
          </cell>
          <cell r="Z138">
            <v>151.82694030248729</v>
          </cell>
          <cell r="AA138">
            <v>158.26147455574721</v>
          </cell>
          <cell r="AB138">
            <v>164.81133686389268</v>
          </cell>
        </row>
        <row r="142">
          <cell r="C142">
            <v>0</v>
          </cell>
          <cell r="D142" t="str">
            <v>1999E</v>
          </cell>
          <cell r="E142" t="str">
            <v>2000E</v>
          </cell>
          <cell r="F142" t="str">
            <v>2001E</v>
          </cell>
          <cell r="G142" t="str">
            <v>2002E</v>
          </cell>
          <cell r="H142" t="str">
            <v>2003E</v>
          </cell>
          <cell r="I142" t="str">
            <v>2004E</v>
          </cell>
          <cell r="J142" t="str">
            <v>2005E</v>
          </cell>
          <cell r="K142" t="str">
            <v>2006E</v>
          </cell>
          <cell r="L142" t="str">
            <v>2007E</v>
          </cell>
          <cell r="M142" t="str">
            <v>2008E</v>
          </cell>
          <cell r="N142" t="str">
            <v>2009E</v>
          </cell>
          <cell r="O142" t="str">
            <v>2010E</v>
          </cell>
          <cell r="P142" t="str">
            <v>2011E</v>
          </cell>
          <cell r="Q142" t="str">
            <v>2012E</v>
          </cell>
          <cell r="R142" t="str">
            <v>2013E</v>
          </cell>
          <cell r="S142" t="str">
            <v>2014E</v>
          </cell>
          <cell r="T142" t="str">
            <v>2015E</v>
          </cell>
          <cell r="U142" t="str">
            <v>2016E</v>
          </cell>
          <cell r="V142" t="str">
            <v>2017E</v>
          </cell>
          <cell r="W142" t="str">
            <v>2018E</v>
          </cell>
        </row>
        <row r="144">
          <cell r="V144" t="str">
            <v>2017E</v>
          </cell>
          <cell r="W144" t="str">
            <v>2018E</v>
          </cell>
          <cell r="X144" t="str">
            <v>2019E</v>
          </cell>
          <cell r="Y144" t="str">
            <v>2020E</v>
          </cell>
          <cell r="Z144" t="str">
            <v>2021E</v>
          </cell>
          <cell r="AA144" t="str">
            <v>2022E</v>
          </cell>
        </row>
        <row r="145">
          <cell r="V145">
            <v>18.75</v>
          </cell>
          <cell r="W145">
            <v>19.75</v>
          </cell>
          <cell r="X145">
            <v>20.75</v>
          </cell>
          <cell r="Y145">
            <v>21.75</v>
          </cell>
          <cell r="Z145">
            <v>22.75</v>
          </cell>
          <cell r="AA145">
            <v>23.75</v>
          </cell>
        </row>
        <row r="146">
          <cell r="D146">
            <v>4738.9993000000013</v>
          </cell>
          <cell r="E146">
            <v>7475.881768166666</v>
          </cell>
          <cell r="F146">
            <v>8875.9970636858325</v>
          </cell>
          <cell r="G146">
            <v>10754.780911875001</v>
          </cell>
          <cell r="H146">
            <v>13013.284903368751</v>
          </cell>
          <cell r="I146">
            <v>15485.809035008813</v>
          </cell>
          <cell r="J146">
            <v>18428.112751660487</v>
          </cell>
          <cell r="K146">
            <v>21929.454174475981</v>
          </cell>
          <cell r="L146">
            <v>26096.050467626417</v>
          </cell>
          <cell r="M146">
            <v>31054.300056475433</v>
          </cell>
          <cell r="N146">
            <v>36022.988065511498</v>
          </cell>
          <cell r="O146">
            <v>41786.666155993335</v>
          </cell>
          <cell r="P146">
            <v>48472.532740952272</v>
          </cell>
          <cell r="Q146">
            <v>56228.13797950463</v>
          </cell>
          <cell r="R146">
            <v>65224.640056225369</v>
          </cell>
          <cell r="S146">
            <v>74356.089664096929</v>
          </cell>
          <cell r="T146">
            <v>84765.942217070507</v>
          </cell>
          <cell r="U146">
            <v>96633.174127460385</v>
          </cell>
          <cell r="V146">
            <v>110161.81850530487</v>
          </cell>
          <cell r="W146">
            <v>125584.47309604756</v>
          </cell>
          <cell r="X146">
            <v>143166.29932949424</v>
          </cell>
          <cell r="Y146">
            <v>163209.58123562345</v>
          </cell>
          <cell r="Z146">
            <v>186058.92260861074</v>
          </cell>
          <cell r="AA146">
            <v>212107.17177381626</v>
          </cell>
          <cell r="AB146">
            <v>241802.17582215057</v>
          </cell>
          <cell r="AC146">
            <v>275654.48043725168</v>
          </cell>
        </row>
        <row r="147">
          <cell r="D147">
            <v>875</v>
          </cell>
          <cell r="E147">
            <v>1080.625</v>
          </cell>
          <cell r="F147">
            <v>1334.5718750000003</v>
          </cell>
          <cell r="G147">
            <v>1614.8319687500002</v>
          </cell>
          <cell r="H147">
            <v>1953.9466821875003</v>
          </cell>
          <cell r="I147">
            <v>2325.1965518031252</v>
          </cell>
          <cell r="J147">
            <v>2766.9838966457191</v>
          </cell>
          <cell r="K147">
            <v>3292.7108370084056</v>
          </cell>
          <cell r="L147">
            <v>3918.3258960400026</v>
          </cell>
          <cell r="M147">
            <v>4662.8078162876027</v>
          </cell>
          <cell r="N147">
            <v>5408.857066893619</v>
          </cell>
          <cell r="O147">
            <v>6274.2741975965973</v>
          </cell>
          <cell r="P147">
            <v>7278.1580692120524</v>
          </cell>
          <cell r="Q147">
            <v>8442.6633602859802</v>
          </cell>
          <cell r="R147">
            <v>9793.4894979317378</v>
          </cell>
          <cell r="S147">
            <v>11164.578027642181</v>
          </cell>
          <cell r="T147">
            <v>12727.618951512088</v>
          </cell>
          <cell r="U147">
            <v>14509.485604723783</v>
          </cell>
          <cell r="V147">
            <v>16540.813589385114</v>
          </cell>
          <cell r="W147">
            <v>18856.527491899033</v>
          </cell>
          <cell r="X147">
            <v>21496.441340764901</v>
          </cell>
          <cell r="Y147">
            <v>24505.94312847199</v>
          </cell>
          <cell r="Z147">
            <v>27936.775166458068</v>
          </cell>
          <cell r="AA147">
            <v>31847.923689762203</v>
          </cell>
          <cell r="AB147">
            <v>36306.633006328913</v>
          </cell>
          <cell r="AC147">
            <v>41389.561627214971</v>
          </cell>
        </row>
        <row r="148">
          <cell r="D148">
            <v>3863.9993000000013</v>
          </cell>
          <cell r="E148">
            <v>6395.256768166666</v>
          </cell>
          <cell r="F148">
            <v>7541.4251886858319</v>
          </cell>
          <cell r="G148">
            <v>9139.9489431250004</v>
          </cell>
          <cell r="H148">
            <v>11059.33822118125</v>
          </cell>
          <cell r="I148">
            <v>13160.612483205688</v>
          </cell>
          <cell r="J148">
            <v>15661.128855014767</v>
          </cell>
          <cell r="K148">
            <v>18636.743337467575</v>
          </cell>
          <cell r="L148">
            <v>22177.724571586416</v>
          </cell>
          <cell r="M148">
            <v>26391.492240187828</v>
          </cell>
          <cell r="N148">
            <v>30614.130998617879</v>
          </cell>
          <cell r="O148">
            <v>35512.391958396736</v>
          </cell>
          <cell r="P148">
            <v>41194.374671740217</v>
          </cell>
          <cell r="Q148">
            <v>47785.47461921865</v>
          </cell>
          <cell r="R148">
            <v>55431.15055829363</v>
          </cell>
          <cell r="S148">
            <v>63191.51163645475</v>
          </cell>
          <cell r="T148">
            <v>72038.323265558414</v>
          </cell>
          <cell r="U148">
            <v>82123.6885227366</v>
          </cell>
          <cell r="V148">
            <v>93621.004915919752</v>
          </cell>
          <cell r="W148">
            <v>106727.94560414852</v>
          </cell>
          <cell r="X148">
            <v>121669.85798872935</v>
          </cell>
          <cell r="Y148">
            <v>138703.63810715146</v>
          </cell>
          <cell r="Z148">
            <v>158122.14744215267</v>
          </cell>
          <cell r="AA148">
            <v>180259.24808405404</v>
          </cell>
          <cell r="AB148">
            <v>205495.54281582165</v>
          </cell>
          <cell r="AC148">
            <v>234264.9188100367</v>
          </cell>
        </row>
        <row r="149">
          <cell r="D149">
            <v>412.49944187492702</v>
          </cell>
          <cell r="E149">
            <v>520.00010084092901</v>
          </cell>
          <cell r="F149">
            <v>520.00000186176749</v>
          </cell>
          <cell r="G149">
            <v>1079.439115926436</v>
          </cell>
          <cell r="H149">
            <v>1218.9376796370962</v>
          </cell>
          <cell r="I149">
            <v>1308.5514898617339</v>
          </cell>
          <cell r="J149">
            <v>1583.0713190192928</v>
          </cell>
          <cell r="K149">
            <v>1883.8548696329635</v>
          </cell>
          <cell r="L149">
            <v>2241.7872948632212</v>
          </cell>
          <cell r="M149">
            <v>2667.7268808872359</v>
          </cell>
          <cell r="N149">
            <v>2550.4145783027634</v>
          </cell>
          <cell r="O149">
            <v>3081.4094805333298</v>
          </cell>
          <cell r="P149">
            <v>3574.4349974186734</v>
          </cell>
          <cell r="Q149">
            <v>4146.3445970056528</v>
          </cell>
          <cell r="R149">
            <v>4809.7597325265524</v>
          </cell>
          <cell r="S149">
            <v>3581.8380446167284</v>
          </cell>
          <cell r="T149">
            <v>5383.3634547608017</v>
          </cell>
          <cell r="U149">
            <v>6137.0343384273219</v>
          </cell>
          <cell r="V149">
            <v>6996.2191458071393</v>
          </cell>
          <cell r="W149">
            <v>7975.6898262201503</v>
          </cell>
          <cell r="X149">
            <v>9092.2864018909604</v>
          </cell>
          <cell r="Y149">
            <v>10365.20649815572</v>
          </cell>
          <cell r="Z149">
            <v>11816.335407897466</v>
          </cell>
          <cell r="AA149">
            <v>13470.622365003161</v>
          </cell>
          <cell r="AB149">
            <v>15356.509496103608</v>
          </cell>
          <cell r="AC149">
            <v>0</v>
          </cell>
        </row>
        <row r="150">
          <cell r="D150">
            <v>4893.6664775000991</v>
          </cell>
          <cell r="E150">
            <v>5875.256667325737</v>
          </cell>
          <cell r="F150">
            <v>7021.4251868240653</v>
          </cell>
          <cell r="G150">
            <v>8060.5098271985644</v>
          </cell>
          <cell r="H150">
            <v>9840.4005415441534</v>
          </cell>
          <cell r="I150">
            <v>11852.060993343955</v>
          </cell>
          <cell r="J150">
            <v>14078.057535995473</v>
          </cell>
          <cell r="K150">
            <v>16752.888467834611</v>
          </cell>
          <cell r="L150">
            <v>19935.937276723194</v>
          </cell>
          <cell r="M150">
            <v>23723.765359300596</v>
          </cell>
          <cell r="N150">
            <v>28063.716420315115</v>
          </cell>
          <cell r="O150">
            <v>32430.982477863407</v>
          </cell>
          <cell r="P150">
            <v>37619.93967432154</v>
          </cell>
          <cell r="Q150">
            <v>43639.130022212994</v>
          </cell>
          <cell r="R150">
            <v>50621.390825767077</v>
          </cell>
          <cell r="S150">
            <v>59609.673591838022</v>
          </cell>
          <cell r="T150">
            <v>66654.95981079762</v>
          </cell>
          <cell r="U150">
            <v>75986.654184309285</v>
          </cell>
          <cell r="V150">
            <v>86624.785770112605</v>
          </cell>
          <cell r="W150">
            <v>98752.255777928367</v>
          </cell>
          <cell r="X150">
            <v>112577.57158683837</v>
          </cell>
          <cell r="Y150">
            <v>128338.43160899574</v>
          </cell>
          <cell r="Z150">
            <v>146305.81203425521</v>
          </cell>
          <cell r="AA150">
            <v>166788.62571905088</v>
          </cell>
          <cell r="AB150">
            <v>190139.03331971806</v>
          </cell>
          <cell r="AC150">
            <v>234264.9188100367</v>
          </cell>
        </row>
        <row r="152">
          <cell r="D152">
            <v>4495.1275409053414</v>
          </cell>
          <cell r="E152">
            <v>4818.8643063884783</v>
          </cell>
          <cell r="F152">
            <v>5142.2516699915668</v>
          </cell>
          <cell r="G152">
            <v>5271.0940925441419</v>
          </cell>
          <cell r="H152">
            <v>5745.9419619925247</v>
          </cell>
          <cell r="I152">
            <v>6179.4886432327785</v>
          </cell>
          <cell r="J152">
            <v>6554.0778893785409</v>
          </cell>
          <cell r="K152">
            <v>6964.1603390581622</v>
          </cell>
          <cell r="L152">
            <v>7399.9012594446704</v>
          </cell>
          <cell r="M152">
            <v>7862.9060767627807</v>
          </cell>
          <cell r="N152">
            <v>8305.290986202941</v>
          </cell>
          <cell r="O152">
            <v>8569.9833328550176</v>
          </cell>
          <cell r="P152">
            <v>8876.6310339661377</v>
          </cell>
          <cell r="Q152">
            <v>9194.2510799400879</v>
          </cell>
          <cell r="R152">
            <v>9523.2360788132246</v>
          </cell>
          <cell r="S152">
            <v>10013.304495403991</v>
          </cell>
          <cell r="T152">
            <v>9997.7748421993256</v>
          </cell>
          <cell r="U152">
            <v>10176.967908915842</v>
          </cell>
          <cell r="V152">
            <v>10359.372705808935</v>
          </cell>
          <cell r="W152">
            <v>10545.046797665653</v>
          </cell>
          <cell r="X152">
            <v>10734.04878102371</v>
          </cell>
          <cell r="Y152">
            <v>10926.43830266383</v>
          </cell>
          <cell r="Z152">
            <v>11122.276078433593</v>
          </cell>
          <cell r="AA152">
            <v>11321.623912408601</v>
          </cell>
          <cell r="AB152">
            <v>11524.544716397151</v>
          </cell>
          <cell r="AC152">
            <v>12678.560735788516</v>
          </cell>
        </row>
        <row r="153">
          <cell r="D153">
            <v>4495.1275409053414</v>
          </cell>
          <cell r="E153">
            <v>9313.9918472938189</v>
          </cell>
          <cell r="F153">
            <v>14456.243517285386</v>
          </cell>
          <cell r="G153">
            <v>19727.337609829527</v>
          </cell>
          <cell r="H153">
            <v>25473.279571822051</v>
          </cell>
          <cell r="I153">
            <v>31652.768215054828</v>
          </cell>
          <cell r="J153">
            <v>38206.846104433367</v>
          </cell>
          <cell r="K153">
            <v>45171.006443491526</v>
          </cell>
          <cell r="L153">
            <v>52570.907702936194</v>
          </cell>
          <cell r="M153">
            <v>60433.813779698976</v>
          </cell>
          <cell r="N153">
            <v>68739.104765901924</v>
          </cell>
          <cell r="O153">
            <v>77309.08809875694</v>
          </cell>
          <cell r="P153">
            <v>86185.719132723083</v>
          </cell>
          <cell r="Q153">
            <v>95379.970212663175</v>
          </cell>
          <cell r="R153">
            <v>104903.2062914764</v>
          </cell>
          <cell r="S153">
            <v>114916.51078688039</v>
          </cell>
          <cell r="T153">
            <v>124914.28562907972</v>
          </cell>
          <cell r="U153">
            <v>135091.25353799557</v>
          </cell>
          <cell r="V153">
            <v>145450.62624380449</v>
          </cell>
          <cell r="W153">
            <v>155995.67304147015</v>
          </cell>
          <cell r="X153">
            <v>166729.72182249386</v>
          </cell>
          <cell r="Y153">
            <v>177656.16012515768</v>
          </cell>
          <cell r="Z153">
            <v>188778.43620359126</v>
          </cell>
          <cell r="AA153">
            <v>200100.06011599986</v>
          </cell>
          <cell r="AB153">
            <v>211624.60483239702</v>
          </cell>
          <cell r="AC153">
            <v>224303.16556818553</v>
          </cell>
        </row>
        <row r="155">
          <cell r="D155">
            <v>53326.151251463438</v>
          </cell>
          <cell r="E155">
            <v>62883.351652938094</v>
          </cell>
          <cell r="F155">
            <v>76212.46768352353</v>
          </cell>
          <cell r="G155">
            <v>92217.085897063458</v>
          </cell>
          <cell r="H155">
            <v>109738.33221750554</v>
          </cell>
          <cell r="I155">
            <v>130588.61533883157</v>
          </cell>
          <cell r="J155">
            <v>155400.45225320957</v>
          </cell>
          <cell r="K155">
            <v>184926.5381813194</v>
          </cell>
          <cell r="L155">
            <v>220062.58043577004</v>
          </cell>
          <cell r="M155">
            <v>255272.59330549324</v>
          </cell>
          <cell r="N155">
            <v>296116.20823437214</v>
          </cell>
          <cell r="O155">
            <v>343494.8015518717</v>
          </cell>
          <cell r="P155">
            <v>398453.96980017115</v>
          </cell>
          <cell r="Q155">
            <v>462206.60496819852</v>
          </cell>
          <cell r="R155">
            <v>526915.52966374636</v>
          </cell>
          <cell r="S155">
            <v>600683.70381667092</v>
          </cell>
          <cell r="T155">
            <v>684779.42235100491</v>
          </cell>
          <cell r="U155">
            <v>780648.54148014577</v>
          </cell>
          <cell r="V155">
            <v>889939.33728736627</v>
          </cell>
          <cell r="W155">
            <v>1014530.8445075977</v>
          </cell>
          <cell r="X155">
            <v>1156565.1627386615</v>
          </cell>
          <cell r="Y155">
            <v>1318484.2855220742</v>
          </cell>
          <cell r="Z155">
            <v>1503072.0854951644</v>
          </cell>
          <cell r="AA155">
            <v>1713502.177464488</v>
          </cell>
          <cell r="AB155">
            <v>1953392.4823095163</v>
          </cell>
        </row>
        <row r="156">
          <cell r="D156">
            <v>48983.283238254218</v>
          </cell>
          <cell r="E156">
            <v>51576.697990344641</v>
          </cell>
          <cell r="F156">
            <v>55815.404820548021</v>
          </cell>
          <cell r="G156">
            <v>60304.490302021761</v>
          </cell>
          <cell r="H156">
            <v>64077.685178117295</v>
          </cell>
          <cell r="I156">
            <v>68086.965286037041</v>
          </cell>
          <cell r="J156">
            <v>72347.102255266276</v>
          </cell>
          <cell r="K156">
            <v>76873.791962164905</v>
          </cell>
          <cell r="L156">
            <v>81683.712359219484</v>
          </cell>
          <cell r="M156">
            <v>84606.48614305511</v>
          </cell>
          <cell r="N156">
            <v>87633.841444365244</v>
          </cell>
          <cell r="O156">
            <v>90769.520356998444</v>
          </cell>
          <cell r="P156">
            <v>94017.398872902166</v>
          </cell>
          <cell r="Q156">
            <v>97381.491673210854</v>
          </cell>
          <cell r="R156">
            <v>99126.888865063724</v>
          </cell>
          <cell r="S156">
            <v>100903.56932548214</v>
          </cell>
          <cell r="T156">
            <v>102712.09375371369</v>
          </cell>
          <cell r="U156">
            <v>104553.03289858381</v>
          </cell>
          <cell r="V156">
            <v>106426.96773861759</v>
          </cell>
          <cell r="W156">
            <v>108334.48966538942</v>
          </cell>
          <cell r="X156">
            <v>110276.20067015935</v>
          </cell>
          <cell r="Y156">
            <v>112252.71353385424</v>
          </cell>
          <cell r="Z156">
            <v>114264.65202045425</v>
          </cell>
          <cell r="AA156">
            <v>116312.65107384535</v>
          </cell>
          <cell r="AB156">
            <v>118397.35701819982</v>
          </cell>
        </row>
        <row r="158">
          <cell r="D158">
            <v>53478.41077915956</v>
          </cell>
          <cell r="E158">
            <v>60890.689837638463</v>
          </cell>
          <cell r="F158">
            <v>70271.648337833409</v>
          </cell>
          <cell r="G158">
            <v>80031.827911851287</v>
          </cell>
          <cell r="H158">
            <v>89550.964749939347</v>
          </cell>
          <cell r="I158">
            <v>99739.733501091861</v>
          </cell>
          <cell r="J158">
            <v>110553.94835969964</v>
          </cell>
          <cell r="K158">
            <v>122044.79840565643</v>
          </cell>
          <cell r="L158">
            <v>134254.62006215568</v>
          </cell>
          <cell r="M158">
            <v>145040.29992275409</v>
          </cell>
          <cell r="N158">
            <v>156372.94621026717</v>
          </cell>
          <cell r="O158">
            <v>168078.6084557554</v>
          </cell>
          <cell r="P158">
            <v>180203.11800562526</v>
          </cell>
          <cell r="Q158">
            <v>192761.46188587404</v>
          </cell>
          <cell r="R158">
            <v>204030.0951565401</v>
          </cell>
          <cell r="S158">
            <v>215820.08011236251</v>
          </cell>
          <cell r="T158">
            <v>227626.37938279341</v>
          </cell>
          <cell r="U158">
            <v>239644.28643657936</v>
          </cell>
          <cell r="V158">
            <v>251877.59398242208</v>
          </cell>
          <cell r="W158">
            <v>264330.16270685958</v>
          </cell>
          <cell r="X158">
            <v>277005.92249265319</v>
          </cell>
          <cell r="Y158">
            <v>289908.87365901191</v>
          </cell>
          <cell r="Z158">
            <v>303043.08822404552</v>
          </cell>
          <cell r="AA158">
            <v>316412.71118984523</v>
          </cell>
          <cell r="AB158">
            <v>330021.96185059682</v>
          </cell>
        </row>
        <row r="159">
          <cell r="D159">
            <v>17242</v>
          </cell>
        </row>
        <row r="160">
          <cell r="D160">
            <v>3953</v>
          </cell>
        </row>
        <row r="161">
          <cell r="D161">
            <v>15812</v>
          </cell>
        </row>
        <row r="162">
          <cell r="D162">
            <v>790.6</v>
          </cell>
        </row>
        <row r="163">
          <cell r="D163">
            <v>16451.400000000001</v>
          </cell>
          <cell r="E163">
            <v>16451.400000000001</v>
          </cell>
          <cell r="F163">
            <v>16451.400000000001</v>
          </cell>
          <cell r="G163">
            <v>16451.400000000001</v>
          </cell>
          <cell r="H163">
            <v>16451.400000000001</v>
          </cell>
          <cell r="I163">
            <v>16451.400000000001</v>
          </cell>
          <cell r="J163">
            <v>16451.400000000001</v>
          </cell>
          <cell r="K163">
            <v>16451.400000000001</v>
          </cell>
          <cell r="L163">
            <v>16451.400000000001</v>
          </cell>
          <cell r="M163">
            <v>16451.400000000001</v>
          </cell>
          <cell r="N163">
            <v>16451.400000000001</v>
          </cell>
          <cell r="O163">
            <v>16451.400000000001</v>
          </cell>
          <cell r="P163">
            <v>16451.400000000001</v>
          </cell>
          <cell r="Q163">
            <v>16451.400000000001</v>
          </cell>
          <cell r="R163">
            <v>16451.400000000001</v>
          </cell>
          <cell r="S163">
            <v>16451.400000000001</v>
          </cell>
          <cell r="T163">
            <v>16451.400000000001</v>
          </cell>
          <cell r="U163">
            <v>16451.400000000001</v>
          </cell>
          <cell r="V163">
            <v>16451.400000000001</v>
          </cell>
          <cell r="W163">
            <v>16451.400000000001</v>
          </cell>
          <cell r="X163">
            <v>16451.400000000001</v>
          </cell>
          <cell r="Y163">
            <v>16451.400000000001</v>
          </cell>
          <cell r="Z163">
            <v>16451.400000000001</v>
          </cell>
          <cell r="AA163">
            <v>16451.400000000001</v>
          </cell>
          <cell r="AB163">
            <v>16451.400000000001</v>
          </cell>
        </row>
        <row r="164">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row>
        <row r="165">
          <cell r="D165">
            <v>980</v>
          </cell>
          <cell r="E165">
            <v>980</v>
          </cell>
          <cell r="F165">
            <v>980</v>
          </cell>
          <cell r="G165">
            <v>980</v>
          </cell>
          <cell r="H165">
            <v>980</v>
          </cell>
          <cell r="I165">
            <v>980</v>
          </cell>
          <cell r="J165">
            <v>980</v>
          </cell>
          <cell r="K165">
            <v>980</v>
          </cell>
          <cell r="L165">
            <v>980</v>
          </cell>
          <cell r="M165">
            <v>980</v>
          </cell>
          <cell r="N165">
            <v>980</v>
          </cell>
          <cell r="O165">
            <v>980</v>
          </cell>
          <cell r="P165">
            <v>980</v>
          </cell>
          <cell r="Q165">
            <v>980</v>
          </cell>
          <cell r="R165">
            <v>980</v>
          </cell>
          <cell r="S165">
            <v>980</v>
          </cell>
          <cell r="T165">
            <v>980</v>
          </cell>
          <cell r="U165">
            <v>980</v>
          </cell>
          <cell r="V165">
            <v>980</v>
          </cell>
          <cell r="W165">
            <v>980</v>
          </cell>
          <cell r="X165">
            <v>980</v>
          </cell>
          <cell r="Y165">
            <v>980</v>
          </cell>
          <cell r="Z165">
            <v>980</v>
          </cell>
          <cell r="AA165">
            <v>980</v>
          </cell>
          <cell r="AB165">
            <v>980</v>
          </cell>
        </row>
        <row r="166">
          <cell r="D166">
            <v>22059.334750878072</v>
          </cell>
          <cell r="E166">
            <v>22059.334750878072</v>
          </cell>
          <cell r="F166">
            <v>22059.334750878072</v>
          </cell>
          <cell r="G166">
            <v>22059.334750878072</v>
          </cell>
          <cell r="H166">
            <v>22059.334750878072</v>
          </cell>
          <cell r="I166">
            <v>22059.334750878072</v>
          </cell>
          <cell r="J166">
            <v>22059.334750878072</v>
          </cell>
          <cell r="K166">
            <v>22059.334750878072</v>
          </cell>
          <cell r="L166">
            <v>22059.334750878072</v>
          </cell>
          <cell r="M166">
            <v>22059.334750878072</v>
          </cell>
          <cell r="N166">
            <v>22059.334750878072</v>
          </cell>
          <cell r="O166">
            <v>22059.334750878072</v>
          </cell>
          <cell r="P166">
            <v>22059.334750878072</v>
          </cell>
          <cell r="Q166">
            <v>22059.334750878072</v>
          </cell>
          <cell r="R166">
            <v>22059.334750878072</v>
          </cell>
          <cell r="S166">
            <v>22059.334750878072</v>
          </cell>
          <cell r="T166">
            <v>22059.334750878072</v>
          </cell>
          <cell r="U166">
            <v>22059.334750878072</v>
          </cell>
          <cell r="V166">
            <v>22059.334750878072</v>
          </cell>
          <cell r="W166">
            <v>22059.334750878072</v>
          </cell>
          <cell r="X166">
            <v>22059.334750878072</v>
          </cell>
          <cell r="Y166">
            <v>22059.334750878072</v>
          </cell>
          <cell r="Z166">
            <v>22059.334750878072</v>
          </cell>
          <cell r="AA166">
            <v>22059.334750878072</v>
          </cell>
          <cell r="AB166">
            <v>22059.334750878072</v>
          </cell>
        </row>
        <row r="167">
          <cell r="D167">
            <v>6587.9347508780702</v>
          </cell>
          <cell r="E167">
            <v>6587.9347508780702</v>
          </cell>
          <cell r="F167">
            <v>6587.9347508780702</v>
          </cell>
          <cell r="G167">
            <v>6587.9347508780702</v>
          </cell>
          <cell r="H167">
            <v>6587.9347508780702</v>
          </cell>
          <cell r="I167">
            <v>6587.9347508780702</v>
          </cell>
          <cell r="J167">
            <v>6587.9347508780702</v>
          </cell>
          <cell r="K167">
            <v>6587.9347508780702</v>
          </cell>
          <cell r="L167">
            <v>6587.9347508780702</v>
          </cell>
          <cell r="M167">
            <v>6587.9347508780702</v>
          </cell>
          <cell r="N167">
            <v>6587.9347508780702</v>
          </cell>
          <cell r="O167">
            <v>6587.9347508780702</v>
          </cell>
          <cell r="P167">
            <v>6587.9347508780702</v>
          </cell>
          <cell r="Q167">
            <v>6587.9347508780702</v>
          </cell>
          <cell r="R167">
            <v>6587.9347508780702</v>
          </cell>
          <cell r="S167">
            <v>6587.9347508780702</v>
          </cell>
          <cell r="T167">
            <v>6587.9347508780702</v>
          </cell>
          <cell r="U167">
            <v>6587.9347508780702</v>
          </cell>
          <cell r="V167">
            <v>6587.9347508780702</v>
          </cell>
          <cell r="W167">
            <v>6587.9347508780702</v>
          </cell>
          <cell r="X167">
            <v>6587.9347508780702</v>
          </cell>
          <cell r="Y167">
            <v>6587.9347508780702</v>
          </cell>
          <cell r="Z167">
            <v>6587.9347508780702</v>
          </cell>
          <cell r="AA167">
            <v>6587.9347508780702</v>
          </cell>
        </row>
        <row r="169">
          <cell r="C169">
            <v>0</v>
          </cell>
          <cell r="D169">
            <v>46890.47602828149</v>
          </cell>
          <cell r="E169">
            <v>54302.755086760393</v>
          </cell>
          <cell r="F169">
            <v>63683.713586955339</v>
          </cell>
          <cell r="G169">
            <v>73443.89316097321</v>
          </cell>
          <cell r="H169">
            <v>82963.029999061284</v>
          </cell>
          <cell r="I169">
            <v>93151.798750213784</v>
          </cell>
          <cell r="J169">
            <v>103966.01360882158</v>
          </cell>
          <cell r="K169">
            <v>115456.86365477837</v>
          </cell>
          <cell r="L169">
            <v>127666.6853112776</v>
          </cell>
          <cell r="M169">
            <v>138452.36517187601</v>
          </cell>
          <cell r="N169">
            <v>149785.01145938909</v>
          </cell>
          <cell r="O169">
            <v>161490.67370487732</v>
          </cell>
          <cell r="P169">
            <v>173615.18325474719</v>
          </cell>
          <cell r="Q169">
            <v>186173.52713499597</v>
          </cell>
          <cell r="R169">
            <v>197442.16040566203</v>
          </cell>
          <cell r="S169">
            <v>209232.14536148444</v>
          </cell>
          <cell r="T169">
            <v>221038.44463191534</v>
          </cell>
          <cell r="U169">
            <v>233056.35168570129</v>
          </cell>
          <cell r="V169">
            <v>245289.65923154401</v>
          </cell>
          <cell r="W169">
            <v>257742.22795598151</v>
          </cell>
          <cell r="X169">
            <v>270417.98774177511</v>
          </cell>
          <cell r="Y169">
            <v>283320.93890813383</v>
          </cell>
          <cell r="Z169">
            <v>296455.15347316745</v>
          </cell>
          <cell r="AA169">
            <v>309824.77643896715</v>
          </cell>
          <cell r="AB169" t="e">
            <v>#REF!</v>
          </cell>
        </row>
        <row r="171">
          <cell r="D171">
            <v>2470</v>
          </cell>
          <cell r="E171">
            <v>2470</v>
          </cell>
          <cell r="F171">
            <v>2470</v>
          </cell>
          <cell r="G171">
            <v>2470</v>
          </cell>
          <cell r="H171">
            <v>2470</v>
          </cell>
          <cell r="I171">
            <v>2470</v>
          </cell>
          <cell r="J171">
            <v>2470</v>
          </cell>
          <cell r="K171">
            <v>2470</v>
          </cell>
          <cell r="L171">
            <v>2470</v>
          </cell>
          <cell r="M171">
            <v>2470</v>
          </cell>
          <cell r="N171">
            <v>2470</v>
          </cell>
          <cell r="O171">
            <v>2470</v>
          </cell>
          <cell r="P171">
            <v>2470</v>
          </cell>
          <cell r="Q171">
            <v>2470</v>
          </cell>
          <cell r="R171">
            <v>2470</v>
          </cell>
          <cell r="S171">
            <v>2470</v>
          </cell>
          <cell r="T171">
            <v>2470</v>
          </cell>
          <cell r="U171">
            <v>2470</v>
          </cell>
          <cell r="V171">
            <v>2470</v>
          </cell>
          <cell r="W171">
            <v>2470</v>
          </cell>
          <cell r="X171">
            <v>2470</v>
          </cell>
          <cell r="Y171">
            <v>2470</v>
          </cell>
          <cell r="Z171">
            <v>2470</v>
          </cell>
          <cell r="AA171">
            <v>2470</v>
          </cell>
          <cell r="AB171">
            <v>2470</v>
          </cell>
        </row>
        <row r="173">
          <cell r="D173">
            <v>18.983998392016797</v>
          </cell>
          <cell r="E173">
            <v>21.984921087757243</v>
          </cell>
          <cell r="F173">
            <v>25.782879994718762</v>
          </cell>
          <cell r="G173">
            <v>29.734369700798869</v>
          </cell>
          <cell r="H173">
            <v>33.588271254680684</v>
          </cell>
          <cell r="I173">
            <v>37.713278846240399</v>
          </cell>
          <cell r="J173">
            <v>42.091503485352867</v>
          </cell>
          <cell r="K173">
            <v>46.743669495861688</v>
          </cell>
          <cell r="L173">
            <v>51.686917130071905</v>
          </cell>
          <cell r="M173">
            <v>56.05358913841134</v>
          </cell>
          <cell r="N173">
            <v>60.641705044287079</v>
          </cell>
          <cell r="O173">
            <v>65.380839556630491</v>
          </cell>
          <cell r="P173">
            <v>70.289547876415867</v>
          </cell>
          <cell r="Q173">
            <v>75.373897625504441</v>
          </cell>
          <cell r="R173">
            <v>79.93609733022754</v>
          </cell>
          <cell r="S173">
            <v>84.70937059169411</v>
          </cell>
          <cell r="T173">
            <v>89.489248838832125</v>
          </cell>
          <cell r="U173">
            <v>94.354798253320354</v>
          </cell>
          <cell r="V173">
            <v>99.307554344754664</v>
          </cell>
          <cell r="W173">
            <v>104.34908014412207</v>
          </cell>
          <cell r="X173">
            <v>109.48096669707495</v>
          </cell>
          <cell r="Y173">
            <v>114.70483356604609</v>
          </cell>
          <cell r="Z173">
            <v>120.02232934136335</v>
          </cell>
          <cell r="AA173">
            <v>125.43513216152516</v>
          </cell>
          <cell r="AB173" t="e">
            <v>#REF!</v>
          </cell>
        </row>
        <row r="176">
          <cell r="D176">
            <v>781.30077458477695</v>
          </cell>
          <cell r="E176">
            <v>861.57961366053041</v>
          </cell>
          <cell r="F176">
            <v>950.10712240741759</v>
          </cell>
          <cell r="G176">
            <v>1026.5217269911645</v>
          </cell>
          <cell r="H176">
            <v>1109.0821562466547</v>
          </cell>
          <cell r="I176">
            <v>1178.4763769449855</v>
          </cell>
          <cell r="J176">
            <v>1252.2125283462913</v>
          </cell>
          <cell r="K176">
            <v>1330.5622809447384</v>
          </cell>
          <cell r="L176">
            <v>1413.81430340016</v>
          </cell>
          <cell r="M176">
            <v>1502.2753260971913</v>
          </cell>
          <cell r="N176">
            <v>1556.0291383616313</v>
          </cell>
          <cell r="O176">
            <v>1611.7063479439701</v>
          </cell>
          <cell r="P176">
            <v>1669.3757770744205</v>
          </cell>
          <cell r="Q176">
            <v>1729.1087105525919</v>
          </cell>
          <cell r="R176">
            <v>1790.9789838621589</v>
          </cell>
          <cell r="S176">
            <v>1823.0792283274061</v>
          </cell>
          <cell r="T176">
            <v>1855.7548149401678</v>
          </cell>
          <cell r="U176">
            <v>1889.0160557274155</v>
          </cell>
          <cell r="V176">
            <v>1922.87344754162</v>
          </cell>
          <cell r="W176">
            <v>1957.3376753734356</v>
          </cell>
          <cell r="X176">
            <v>1992.4196157237539</v>
          </cell>
          <cell r="Y176">
            <v>2028.1303400362003</v>
          </cell>
          <cell r="Z176">
            <v>2064.4811181911477</v>
          </cell>
          <cell r="AA176">
            <v>2101.4834220623602</v>
          </cell>
          <cell r="AB176">
            <v>2139.1489291373769</v>
          </cell>
        </row>
        <row r="177">
          <cell r="D177">
            <v>781.30077458477695</v>
          </cell>
          <cell r="E177">
            <v>1642.8803882453074</v>
          </cell>
          <cell r="F177">
            <v>2592.9875106527252</v>
          </cell>
          <cell r="G177">
            <v>3619.5092376438897</v>
          </cell>
          <cell r="H177">
            <v>4728.5913938905442</v>
          </cell>
          <cell r="I177">
            <v>5907.0677708355297</v>
          </cell>
          <cell r="J177">
            <v>7159.2802991818207</v>
          </cell>
          <cell r="K177">
            <v>8489.8425801265585</v>
          </cell>
          <cell r="L177">
            <v>9903.656883526719</v>
          </cell>
          <cell r="M177">
            <v>11405.93220962391</v>
          </cell>
          <cell r="N177">
            <v>12961.961347985542</v>
          </cell>
          <cell r="O177">
            <v>14573.667695929511</v>
          </cell>
          <cell r="P177">
            <v>16243.043473003931</v>
          </cell>
          <cell r="Q177">
            <v>17972.152183556522</v>
          </cell>
          <cell r="R177">
            <v>19763.13116741868</v>
          </cell>
          <cell r="S177">
            <v>21586.210395746086</v>
          </cell>
          <cell r="T177">
            <v>23441.965210686252</v>
          </cell>
          <cell r="U177">
            <v>25330.981266413666</v>
          </cell>
          <cell r="V177">
            <v>27253.854713955287</v>
          </cell>
          <cell r="W177">
            <v>29211.192389328724</v>
          </cell>
          <cell r="X177">
            <v>31203.612005052477</v>
          </cell>
          <cell r="Y177">
            <v>33231.742345088678</v>
          </cell>
          <cell r="Z177">
            <v>35296.223463279828</v>
          </cell>
          <cell r="AA177">
            <v>37397.706885342188</v>
          </cell>
          <cell r="AB177">
            <v>39536.855814479568</v>
          </cell>
        </row>
        <row r="178">
          <cell r="D178">
            <v>9010.6737360339412</v>
          </cell>
          <cell r="E178">
            <v>11128.18206400192</v>
          </cell>
          <cell r="F178">
            <v>13465.100297442321</v>
          </cell>
          <cell r="G178">
            <v>16292.771359905208</v>
          </cell>
          <cell r="H178">
            <v>19388.397918287195</v>
          </cell>
          <cell r="I178">
            <v>23072.193522761765</v>
          </cell>
          <cell r="J178">
            <v>27455.910292086501</v>
          </cell>
          <cell r="K178">
            <v>32672.533247582935</v>
          </cell>
          <cell r="L178">
            <v>38880.314564623688</v>
          </cell>
          <cell r="M178">
            <v>45101.164894963476</v>
          </cell>
          <cell r="N178">
            <v>52317.351278157628</v>
          </cell>
          <cell r="O178">
            <v>60688.127482662843</v>
          </cell>
          <cell r="P178">
            <v>70398.227879888887</v>
          </cell>
          <cell r="Q178">
            <v>81661.944340671122</v>
          </cell>
          <cell r="R178">
            <v>93094.616548365084</v>
          </cell>
          <cell r="S178">
            <v>106127.86286513619</v>
          </cell>
          <cell r="T178">
            <v>120985.7636662553</v>
          </cell>
          <cell r="U178">
            <v>137923.77057953103</v>
          </cell>
          <cell r="V178">
            <v>157233.09846066541</v>
          </cell>
          <cell r="W178">
            <v>179245.73224515861</v>
          </cell>
          <cell r="X178">
            <v>204340.13475948083</v>
          </cell>
          <cell r="Y178">
            <v>232947.75362580814</v>
          </cell>
          <cell r="Z178">
            <v>265560.43913342134</v>
          </cell>
          <cell r="AA178">
            <v>302738.90061210032</v>
          </cell>
          <cell r="AB178">
            <v>345122.34669779445</v>
          </cell>
        </row>
        <row r="179">
          <cell r="D179">
            <v>8045.7672794217424</v>
          </cell>
          <cell r="E179">
            <v>8872.4717672151</v>
          </cell>
          <cell r="F179">
            <v>9586.0612202172942</v>
          </cell>
          <cell r="G179">
            <v>10357.04278680362</v>
          </cell>
          <cell r="H179">
            <v>11005.073150362789</v>
          </cell>
          <cell r="I179">
            <v>11693.65016036719</v>
          </cell>
          <cell r="J179">
            <v>12425.310782104869</v>
          </cell>
          <cell r="K179">
            <v>13202.750716380557</v>
          </cell>
          <cell r="L179">
            <v>14028.834331446673</v>
          </cell>
          <cell r="M179">
            <v>14530.808446205399</v>
          </cell>
          <cell r="N179">
            <v>15050.743997098771</v>
          </cell>
          <cell r="O179">
            <v>15589.283673019572</v>
          </cell>
          <cell r="P179">
            <v>16147.093159296373</v>
          </cell>
          <cell r="Q179">
            <v>16724.861960542792</v>
          </cell>
          <cell r="R179">
            <v>17024.626593415924</v>
          </cell>
          <cell r="S179">
            <v>17329.763996200913</v>
          </cell>
          <cell r="T179">
            <v>17640.370466637258</v>
          </cell>
          <cell r="U179">
            <v>17956.54402843722</v>
          </cell>
          <cell r="V179">
            <v>18278.384462220991</v>
          </cell>
          <cell r="W179">
            <v>18605.993337006221</v>
          </cell>
          <cell r="X179">
            <v>18939.474042262013</v>
          </cell>
          <cell r="Y179">
            <v>19278.931820537433</v>
          </cell>
          <cell r="Z179">
            <v>19624.473800674768</v>
          </cell>
          <cell r="AA179">
            <v>19976.209031618149</v>
          </cell>
          <cell r="AB179">
            <v>20334.248516828087</v>
          </cell>
        </row>
        <row r="180">
          <cell r="D180">
            <v>8827.0680540065187</v>
          </cell>
          <cell r="E180">
            <v>10515.352155460407</v>
          </cell>
          <cell r="F180">
            <v>12179.048730870019</v>
          </cell>
          <cell r="G180">
            <v>13976.55202444751</v>
          </cell>
          <cell r="H180">
            <v>15733.664544253334</v>
          </cell>
          <cell r="I180">
            <v>17600.717931202718</v>
          </cell>
          <cell r="J180">
            <v>19584.59108128669</v>
          </cell>
          <cell r="K180">
            <v>21692.593296507115</v>
          </cell>
          <cell r="L180">
            <v>23932.491214973394</v>
          </cell>
          <cell r="M180">
            <v>25936.740655829308</v>
          </cell>
          <cell r="N180">
            <v>28012.705345084312</v>
          </cell>
          <cell r="O180">
            <v>30162.951368949085</v>
          </cell>
          <cell r="P180">
            <v>32390.136632300302</v>
          </cell>
          <cell r="Q180">
            <v>34697.014144099317</v>
          </cell>
          <cell r="R180">
            <v>36787.757760834604</v>
          </cell>
          <cell r="S180">
            <v>38915.974391946998</v>
          </cell>
          <cell r="T180">
            <v>41082.335677323514</v>
          </cell>
          <cell r="U180">
            <v>43287.525294850886</v>
          </cell>
          <cell r="V180">
            <v>45532.239176176277</v>
          </cell>
          <cell r="W180">
            <v>47817.185726334945</v>
          </cell>
          <cell r="X180">
            <v>50143.086047314486</v>
          </cell>
          <cell r="Y180">
            <v>52510.674165626115</v>
          </cell>
          <cell r="Z180">
            <v>54920.6972639546</v>
          </cell>
          <cell r="AA180">
            <v>57373.915916960337</v>
          </cell>
          <cell r="AB180">
            <v>59871.104331307652</v>
          </cell>
        </row>
        <row r="182">
          <cell r="D182">
            <v>22059.334750878072</v>
          </cell>
        </row>
        <row r="183">
          <cell r="D183">
            <v>52510.674165626115</v>
          </cell>
        </row>
        <row r="184">
          <cell r="D184">
            <v>74570.008916504186</v>
          </cell>
        </row>
        <row r="186">
          <cell r="D186">
            <v>105.4375</v>
          </cell>
        </row>
        <row r="187">
          <cell r="D187">
            <v>2470</v>
          </cell>
        </row>
        <row r="188">
          <cell r="D188">
            <v>260430.625</v>
          </cell>
        </row>
        <row r="190">
          <cell r="D190">
            <v>980</v>
          </cell>
        </row>
        <row r="192">
          <cell r="D192">
            <v>283469.95975087804</v>
          </cell>
        </row>
        <row r="194">
          <cell r="D194">
            <v>7.7818950446334703E-2</v>
          </cell>
        </row>
        <row r="196">
          <cell r="D196">
            <v>0.26306141568594626</v>
          </cell>
        </row>
      </sheetData>
      <sheetData sheetId="10" refreshError="1"/>
      <sheetData sheetId="11" refreshError="1"/>
      <sheetData sheetId="12" refreshError="1"/>
      <sheetData sheetId="13" refreshError="1"/>
      <sheetData sheetId="14" refreshError="1"/>
      <sheetData sheetId="15" refreshError="1">
        <row r="1">
          <cell r="F1" t="str">
            <v>Capitalization of Material Operating Leases</v>
          </cell>
        </row>
        <row r="5">
          <cell r="C5">
            <v>0</v>
          </cell>
          <cell r="E5">
            <v>0</v>
          </cell>
          <cell r="G5">
            <v>0</v>
          </cell>
          <cell r="I5">
            <v>0</v>
          </cell>
          <cell r="K5">
            <v>0</v>
          </cell>
          <cell r="M5">
            <v>0</v>
          </cell>
          <cell r="O5">
            <v>0</v>
          </cell>
          <cell r="Q5">
            <v>30.35</v>
          </cell>
          <cell r="S5">
            <v>46.93</v>
          </cell>
          <cell r="U5">
            <v>60</v>
          </cell>
          <cell r="W5">
            <v>67</v>
          </cell>
          <cell r="Y5">
            <v>78</v>
          </cell>
          <cell r="AA5">
            <v>89</v>
          </cell>
          <cell r="AC5">
            <v>89</v>
          </cell>
          <cell r="AE5">
            <v>85</v>
          </cell>
        </row>
        <row r="6">
          <cell r="C6">
            <v>0</v>
          </cell>
          <cell r="E6">
            <v>0</v>
          </cell>
          <cell r="G6">
            <v>0</v>
          </cell>
          <cell r="I6">
            <v>0</v>
          </cell>
          <cell r="K6">
            <v>0</v>
          </cell>
          <cell r="M6">
            <v>0</v>
          </cell>
          <cell r="O6">
            <v>0</v>
          </cell>
          <cell r="Q6">
            <v>30.346</v>
          </cell>
          <cell r="S6">
            <v>41.137999999999998</v>
          </cell>
          <cell r="U6">
            <v>52</v>
          </cell>
          <cell r="W6">
            <v>49</v>
          </cell>
          <cell r="Y6">
            <v>62.5</v>
          </cell>
          <cell r="AA6">
            <v>76</v>
          </cell>
          <cell r="AC6">
            <v>76</v>
          </cell>
          <cell r="AE6">
            <v>72</v>
          </cell>
        </row>
        <row r="7">
          <cell r="C7">
            <v>0</v>
          </cell>
          <cell r="E7">
            <v>0</v>
          </cell>
          <cell r="G7">
            <v>0</v>
          </cell>
          <cell r="I7">
            <v>0</v>
          </cell>
          <cell r="K7">
            <v>0</v>
          </cell>
          <cell r="M7">
            <v>0</v>
          </cell>
          <cell r="O7">
            <v>0</v>
          </cell>
          <cell r="Q7">
            <v>27.276</v>
          </cell>
          <cell r="S7">
            <v>35.174999999999997</v>
          </cell>
          <cell r="U7">
            <v>37</v>
          </cell>
          <cell r="W7">
            <v>38</v>
          </cell>
          <cell r="Y7">
            <v>48</v>
          </cell>
          <cell r="AA7">
            <v>58</v>
          </cell>
          <cell r="AC7">
            <v>58</v>
          </cell>
          <cell r="AE7">
            <v>52</v>
          </cell>
        </row>
        <row r="8">
          <cell r="C8">
            <v>0</v>
          </cell>
          <cell r="E8">
            <v>0</v>
          </cell>
          <cell r="G8">
            <v>0</v>
          </cell>
          <cell r="I8">
            <v>0</v>
          </cell>
          <cell r="K8">
            <v>0</v>
          </cell>
          <cell r="M8">
            <v>0</v>
          </cell>
          <cell r="O8">
            <v>0</v>
          </cell>
          <cell r="Q8">
            <v>22.753</v>
          </cell>
          <cell r="S8">
            <v>28.431999999999999</v>
          </cell>
          <cell r="U8">
            <v>28</v>
          </cell>
          <cell r="W8">
            <v>32</v>
          </cell>
          <cell r="Y8">
            <v>30</v>
          </cell>
          <cell r="AA8">
            <v>28</v>
          </cell>
          <cell r="AC8">
            <v>28</v>
          </cell>
          <cell r="AE8">
            <v>25</v>
          </cell>
        </row>
        <row r="9">
          <cell r="C9">
            <v>0</v>
          </cell>
          <cell r="E9">
            <v>0</v>
          </cell>
          <cell r="G9">
            <v>0</v>
          </cell>
          <cell r="I9">
            <v>0</v>
          </cell>
          <cell r="K9">
            <v>0</v>
          </cell>
          <cell r="M9">
            <v>0</v>
          </cell>
          <cell r="O9">
            <v>0</v>
          </cell>
          <cell r="Q9">
            <v>18.087</v>
          </cell>
          <cell r="S9">
            <v>20.033999999999999</v>
          </cell>
          <cell r="U9">
            <v>24</v>
          </cell>
          <cell r="W9">
            <v>24</v>
          </cell>
          <cell r="Y9">
            <v>24</v>
          </cell>
          <cell r="AA9">
            <v>24</v>
          </cell>
          <cell r="AC9">
            <v>24</v>
          </cell>
          <cell r="AE9">
            <v>17</v>
          </cell>
        </row>
        <row r="10">
          <cell r="C10">
            <v>0</v>
          </cell>
          <cell r="E10">
            <v>0</v>
          </cell>
          <cell r="G10">
            <v>0</v>
          </cell>
          <cell r="I10">
            <v>0</v>
          </cell>
          <cell r="K10">
            <v>0</v>
          </cell>
          <cell r="M10">
            <v>0</v>
          </cell>
          <cell r="O10">
            <v>0</v>
          </cell>
          <cell r="Q10">
            <v>75.519000000000005</v>
          </cell>
          <cell r="S10">
            <v>70.558999999999997</v>
          </cell>
          <cell r="U10">
            <v>55</v>
          </cell>
          <cell r="W10">
            <v>22</v>
          </cell>
          <cell r="Y10">
            <v>20.5</v>
          </cell>
          <cell r="AA10">
            <v>19</v>
          </cell>
          <cell r="AC10">
            <v>19</v>
          </cell>
          <cell r="AE10">
            <v>17</v>
          </cell>
        </row>
        <row r="15">
          <cell r="C15">
            <v>0</v>
          </cell>
          <cell r="E15">
            <v>0</v>
          </cell>
          <cell r="G15">
            <v>0</v>
          </cell>
          <cell r="I15">
            <v>0</v>
          </cell>
          <cell r="K15">
            <v>0</v>
          </cell>
          <cell r="M15">
            <v>0</v>
          </cell>
          <cell r="O15">
            <v>0</v>
          </cell>
          <cell r="Q15">
            <v>4</v>
          </cell>
          <cell r="S15">
            <v>4</v>
          </cell>
          <cell r="U15">
            <v>2</v>
          </cell>
          <cell r="W15">
            <v>1</v>
          </cell>
          <cell r="Y15">
            <v>1</v>
          </cell>
          <cell r="AA15">
            <v>1</v>
          </cell>
          <cell r="AC15">
            <v>1</v>
          </cell>
          <cell r="AE15">
            <v>1</v>
          </cell>
        </row>
        <row r="16">
          <cell r="C16" t="str">
            <v xml:space="preserve"> </v>
          </cell>
          <cell r="E16" t="str">
            <v xml:space="preserve"> </v>
          </cell>
          <cell r="G16" t="str">
            <v xml:space="preserve"> </v>
          </cell>
          <cell r="I16" t="str">
            <v xml:space="preserve"> </v>
          </cell>
          <cell r="K16" t="str">
            <v xml:space="preserve"> </v>
          </cell>
          <cell r="M16" t="str">
            <v xml:space="preserve"> </v>
          </cell>
          <cell r="O16" t="str">
            <v xml:space="preserve"> </v>
          </cell>
          <cell r="Q16">
            <v>18.879750000000001</v>
          </cell>
          <cell r="S16">
            <v>17.639749999999999</v>
          </cell>
          <cell r="U16">
            <v>27.5</v>
          </cell>
          <cell r="W16">
            <v>22</v>
          </cell>
          <cell r="Y16">
            <v>20.5</v>
          </cell>
          <cell r="AA16">
            <v>19</v>
          </cell>
          <cell r="AC16">
            <v>19</v>
          </cell>
          <cell r="AE16">
            <v>17</v>
          </cell>
        </row>
        <row r="19">
          <cell r="D19" t="str">
            <v>PV of Operating Leases</v>
          </cell>
          <cell r="F19" t="str">
            <v>PV of Operating Leases</v>
          </cell>
          <cell r="H19" t="str">
            <v>PV of Operating Leases</v>
          </cell>
          <cell r="J19" t="str">
            <v>PV of Operating Leases</v>
          </cell>
          <cell r="L19" t="str">
            <v>PV of Operating Leases</v>
          </cell>
          <cell r="N19" t="str">
            <v>PV of Operating Leases</v>
          </cell>
          <cell r="P19" t="str">
            <v>PV of Operating Leases</v>
          </cell>
          <cell r="R19" t="str">
            <v>PV of Operating Leases</v>
          </cell>
          <cell r="T19" t="str">
            <v>PV of Operating Leases</v>
          </cell>
          <cell r="V19" t="str">
            <v>PV of Operating Leases</v>
          </cell>
          <cell r="X19" t="str">
            <v>PV of Operating Leases</v>
          </cell>
          <cell r="Z19" t="str">
            <v>PV of Operating Leases</v>
          </cell>
          <cell r="AB19" t="str">
            <v>PV of Operating Leases</v>
          </cell>
          <cell r="AD19" t="str">
            <v>PV of Operating Leases</v>
          </cell>
          <cell r="AF19" t="str">
            <v>PV of Operating Leases</v>
          </cell>
        </row>
        <row r="20">
          <cell r="B20" t="str">
            <v>Years</v>
          </cell>
        </row>
        <row r="21">
          <cell r="B21">
            <v>1</v>
          </cell>
          <cell r="D21">
            <v>0</v>
          </cell>
          <cell r="F21">
            <v>0</v>
          </cell>
          <cell r="H21">
            <v>0</v>
          </cell>
          <cell r="J21">
            <v>0</v>
          </cell>
          <cell r="L21">
            <v>0</v>
          </cell>
          <cell r="N21">
            <v>0</v>
          </cell>
          <cell r="P21">
            <v>0</v>
          </cell>
          <cell r="R21">
            <v>27.959465684016585</v>
          </cell>
          <cell r="T21">
            <v>43.530284760226323</v>
          </cell>
          <cell r="V21">
            <v>56.053811659192824</v>
          </cell>
          <cell r="X21">
            <v>63.261259560003779</v>
          </cell>
          <cell r="Z21">
            <v>72.842734404183787</v>
          </cell>
          <cell r="AB21">
            <v>83.591622053160521</v>
          </cell>
          <cell r="AD21">
            <v>83.458364591147784</v>
          </cell>
          <cell r="AF21">
            <v>79.707426856714179</v>
          </cell>
        </row>
        <row r="22">
          <cell r="B22">
            <v>2</v>
          </cell>
          <cell r="D22">
            <v>0</v>
          </cell>
          <cell r="F22">
            <v>0</v>
          </cell>
          <cell r="H22">
            <v>0</v>
          </cell>
          <cell r="J22">
            <v>0</v>
          </cell>
          <cell r="L22">
            <v>0</v>
          </cell>
          <cell r="N22">
            <v>0</v>
          </cell>
          <cell r="P22">
            <v>0</v>
          </cell>
          <cell r="R22">
            <v>25.753828416582142</v>
          </cell>
          <cell r="T22">
            <v>35.393627982031241</v>
          </cell>
          <cell r="V22">
            <v>45.384874910905992</v>
          </cell>
          <cell r="X22">
            <v>43.683974402938361</v>
          </cell>
          <cell r="Z22">
            <v>54.508382185635078</v>
          </cell>
          <cell r="AB22">
            <v>67.043871365782209</v>
          </cell>
          <cell r="AD22">
            <v>66.830285966090173</v>
          </cell>
          <cell r="AF22">
            <v>63.312902494190695</v>
          </cell>
        </row>
        <row r="23">
          <cell r="B23">
            <v>3</v>
          </cell>
          <cell r="D23">
            <v>0</v>
          </cell>
          <cell r="F23">
            <v>0</v>
          </cell>
          <cell r="H23">
            <v>0</v>
          </cell>
          <cell r="J23">
            <v>0</v>
          </cell>
          <cell r="L23">
            <v>0</v>
          </cell>
          <cell r="N23">
            <v>0</v>
          </cell>
          <cell r="P23">
            <v>0</v>
          </cell>
          <cell r="R23">
            <v>21.325105991314558</v>
          </cell>
          <cell r="T23">
            <v>28.070940780070622</v>
          </cell>
          <cell r="V23">
            <v>30.169174207045565</v>
          </cell>
          <cell r="X23">
            <v>31.986939764252245</v>
          </cell>
          <cell r="Z23">
            <v>39.094543816368827</v>
          </cell>
          <cell r="AB23">
            <v>48.055846460522218</v>
          </cell>
          <cell r="AD23">
            <v>47.82638816817564</v>
          </cell>
          <cell r="AF23">
            <v>42.878830771467818</v>
          </cell>
        </row>
        <row r="24">
          <cell r="B24">
            <v>4</v>
          </cell>
          <cell r="D24">
            <v>0</v>
          </cell>
          <cell r="F24">
            <v>0</v>
          </cell>
          <cell r="H24">
            <v>0</v>
          </cell>
          <cell r="J24">
            <v>0</v>
          </cell>
          <cell r="L24">
            <v>0</v>
          </cell>
          <cell r="N24">
            <v>0</v>
          </cell>
          <cell r="P24">
            <v>0</v>
          </cell>
          <cell r="R24">
            <v>16.387750966657173</v>
          </cell>
          <cell r="T24">
            <v>21.046080455685132</v>
          </cell>
          <cell r="V24">
            <v>21.329153986316701</v>
          </cell>
          <cell r="X24">
            <v>25.433264401653634</v>
          </cell>
          <cell r="Z24">
            <v>22.818537434843591</v>
          </cell>
          <cell r="AB24">
            <v>21.789587821316385</v>
          </cell>
          <cell r="AD24">
            <v>21.650976354685408</v>
          </cell>
          <cell r="AF24">
            <v>19.331228888111969</v>
          </cell>
        </row>
        <row r="25">
          <cell r="B25">
            <v>5</v>
          </cell>
          <cell r="D25">
            <v>0</v>
          </cell>
          <cell r="F25">
            <v>0</v>
          </cell>
          <cell r="H25">
            <v>0</v>
          </cell>
          <cell r="J25">
            <v>0</v>
          </cell>
          <cell r="L25">
            <v>0</v>
          </cell>
          <cell r="N25">
            <v>0</v>
          </cell>
          <cell r="P25">
            <v>0</v>
          </cell>
          <cell r="R25">
            <v>12.00099900205721</v>
          </cell>
          <cell r="T25">
            <v>13.755375145208065</v>
          </cell>
          <cell r="V25">
            <v>17.079719719984546</v>
          </cell>
          <cell r="X25">
            <v>18.010526202662852</v>
          </cell>
          <cell r="Z25">
            <v>17.047842685725509</v>
          </cell>
          <cell r="AB25">
            <v>17.541832968092731</v>
          </cell>
          <cell r="AD25">
            <v>17.402456613454138</v>
          </cell>
          <cell r="AF25">
            <v>12.32674010119668</v>
          </cell>
        </row>
        <row r="26">
          <cell r="B26">
            <v>6</v>
          </cell>
          <cell r="D26">
            <v>0</v>
          </cell>
          <cell r="F26">
            <v>0</v>
          </cell>
          <cell r="H26">
            <v>0</v>
          </cell>
          <cell r="J26">
            <v>0</v>
          </cell>
          <cell r="L26">
            <v>0</v>
          </cell>
          <cell r="N26">
            <v>0</v>
          </cell>
          <cell r="P26">
            <v>0</v>
          </cell>
          <cell r="R26">
            <v>11.540304613941652</v>
          </cell>
          <cell r="T26">
            <v>11.234096485361954</v>
          </cell>
          <cell r="V26">
            <v>18.283363396065916</v>
          </cell>
          <cell r="X26">
            <v>15.588375997646695</v>
          </cell>
          <cell r="Z26">
            <v>13.598897049611386</v>
          </cell>
          <cell r="AB26">
            <v>13.043377883979911</v>
          </cell>
          <cell r="AD26">
            <v>12.919115546684663</v>
          </cell>
          <cell r="AF26">
            <v>11.559208647033646</v>
          </cell>
        </row>
        <row r="27">
          <cell r="B27">
            <v>7</v>
          </cell>
          <cell r="D27">
            <v>0</v>
          </cell>
          <cell r="F27">
            <v>0</v>
          </cell>
          <cell r="H27">
            <v>0</v>
          </cell>
          <cell r="J27">
            <v>0</v>
          </cell>
          <cell r="L27">
            <v>0</v>
          </cell>
          <cell r="N27">
            <v>0</v>
          </cell>
          <cell r="P27">
            <v>0</v>
          </cell>
          <cell r="R27">
            <v>10.631326221963752</v>
          </cell>
          <cell r="T27">
            <v>10.420273152176936</v>
          </cell>
          <cell r="V27">
            <v>17.080870138327651</v>
          </cell>
          <cell r="X27">
            <v>0</v>
          </cell>
          <cell r="Z27">
            <v>0</v>
          </cell>
          <cell r="AB27">
            <v>0</v>
          </cell>
          <cell r="AD27">
            <v>0</v>
          </cell>
          <cell r="AF27">
            <v>0</v>
          </cell>
        </row>
        <row r="28">
          <cell r="B28">
            <v>8</v>
          </cell>
          <cell r="D28">
            <v>0</v>
          </cell>
          <cell r="F28">
            <v>0</v>
          </cell>
          <cell r="H28">
            <v>0</v>
          </cell>
          <cell r="J28">
            <v>0</v>
          </cell>
          <cell r="L28">
            <v>0</v>
          </cell>
          <cell r="N28">
            <v>0</v>
          </cell>
          <cell r="P28">
            <v>0</v>
          </cell>
          <cell r="R28">
            <v>9.7939440091789525</v>
          </cell>
          <cell r="T28">
            <v>9.6654050201066077</v>
          </cell>
          <cell r="V28">
            <v>0</v>
          </cell>
          <cell r="X28">
            <v>0</v>
          </cell>
          <cell r="Z28">
            <v>0</v>
          </cell>
          <cell r="AB28">
            <v>0</v>
          </cell>
          <cell r="AD28">
            <v>0</v>
          </cell>
          <cell r="AF28">
            <v>0</v>
          </cell>
        </row>
        <row r="29">
          <cell r="B29">
            <v>9</v>
          </cell>
          <cell r="D29">
            <v>0</v>
          </cell>
          <cell r="F29">
            <v>0</v>
          </cell>
          <cell r="H29">
            <v>0</v>
          </cell>
          <cell r="J29">
            <v>0</v>
          </cell>
          <cell r="L29">
            <v>0</v>
          </cell>
          <cell r="N29">
            <v>0</v>
          </cell>
          <cell r="P29">
            <v>0</v>
          </cell>
          <cell r="R29">
            <v>9.0225186634536669</v>
          </cell>
          <cell r="T29">
            <v>8.9652212411711414</v>
          </cell>
          <cell r="V29">
            <v>0</v>
          </cell>
          <cell r="X29">
            <v>0</v>
          </cell>
          <cell r="Z29">
            <v>0</v>
          </cell>
          <cell r="AB29">
            <v>0</v>
          </cell>
          <cell r="AD29">
            <v>0</v>
          </cell>
          <cell r="AF29">
            <v>0</v>
          </cell>
        </row>
        <row r="30">
          <cell r="B30">
            <v>10</v>
          </cell>
          <cell r="D30">
            <v>0</v>
          </cell>
          <cell r="F30">
            <v>0</v>
          </cell>
          <cell r="H30">
            <v>0</v>
          </cell>
          <cell r="J30">
            <v>0</v>
          </cell>
          <cell r="L30">
            <v>0</v>
          </cell>
          <cell r="N30">
            <v>0</v>
          </cell>
          <cell r="P30">
            <v>0</v>
          </cell>
          <cell r="R30">
            <v>0</v>
          </cell>
          <cell r="T30">
            <v>0</v>
          </cell>
          <cell r="V30">
            <v>0</v>
          </cell>
          <cell r="X30">
            <v>0</v>
          </cell>
          <cell r="Z30">
            <v>0</v>
          </cell>
          <cell r="AB30">
            <v>0</v>
          </cell>
          <cell r="AD30">
            <v>0</v>
          </cell>
          <cell r="AF30">
            <v>0</v>
          </cell>
        </row>
        <row r="31">
          <cell r="B31">
            <v>11</v>
          </cell>
          <cell r="D31">
            <v>0</v>
          </cell>
          <cell r="F31">
            <v>0</v>
          </cell>
          <cell r="H31">
            <v>0</v>
          </cell>
          <cell r="J31">
            <v>0</v>
          </cell>
          <cell r="L31">
            <v>0</v>
          </cell>
          <cell r="N31">
            <v>0</v>
          </cell>
          <cell r="P31">
            <v>0</v>
          </cell>
          <cell r="R31">
            <v>0</v>
          </cell>
          <cell r="T31">
            <v>0</v>
          </cell>
          <cell r="V31">
            <v>0</v>
          </cell>
          <cell r="X31">
            <v>0</v>
          </cell>
          <cell r="Z31">
            <v>0</v>
          </cell>
          <cell r="AB31">
            <v>0</v>
          </cell>
          <cell r="AD31">
            <v>0</v>
          </cell>
          <cell r="AF31">
            <v>0</v>
          </cell>
        </row>
        <row r="32">
          <cell r="B32">
            <v>12</v>
          </cell>
          <cell r="D32">
            <v>0</v>
          </cell>
          <cell r="F32">
            <v>0</v>
          </cell>
          <cell r="H32">
            <v>0</v>
          </cell>
          <cell r="J32">
            <v>0</v>
          </cell>
          <cell r="L32">
            <v>0</v>
          </cell>
          <cell r="N32">
            <v>0</v>
          </cell>
          <cell r="P32">
            <v>0</v>
          </cell>
          <cell r="R32">
            <v>0</v>
          </cell>
          <cell r="T32">
            <v>0</v>
          </cell>
          <cell r="V32">
            <v>0</v>
          </cell>
          <cell r="X32">
            <v>0</v>
          </cell>
          <cell r="Z32">
            <v>0</v>
          </cell>
          <cell r="AB32">
            <v>0</v>
          </cell>
          <cell r="AD32">
            <v>0</v>
          </cell>
          <cell r="AF32">
            <v>0</v>
          </cell>
        </row>
        <row r="33">
          <cell r="B33">
            <v>13</v>
          </cell>
          <cell r="D33">
            <v>0</v>
          </cell>
          <cell r="F33">
            <v>0</v>
          </cell>
          <cell r="H33">
            <v>0</v>
          </cell>
          <cell r="J33">
            <v>0</v>
          </cell>
          <cell r="L33">
            <v>0</v>
          </cell>
          <cell r="N33">
            <v>0</v>
          </cell>
          <cell r="P33">
            <v>0</v>
          </cell>
          <cell r="R33">
            <v>0</v>
          </cell>
          <cell r="T33">
            <v>0</v>
          </cell>
          <cell r="V33">
            <v>0</v>
          </cell>
          <cell r="X33">
            <v>0</v>
          </cell>
          <cell r="Z33">
            <v>0</v>
          </cell>
          <cell r="AB33">
            <v>0</v>
          </cell>
          <cell r="AD33">
            <v>0</v>
          </cell>
          <cell r="AF33">
            <v>0</v>
          </cell>
        </row>
        <row r="34">
          <cell r="B34">
            <v>14</v>
          </cell>
          <cell r="D34">
            <v>0</v>
          </cell>
          <cell r="F34">
            <v>0</v>
          </cell>
          <cell r="H34">
            <v>0</v>
          </cell>
          <cell r="J34">
            <v>0</v>
          </cell>
          <cell r="L34">
            <v>0</v>
          </cell>
          <cell r="N34">
            <v>0</v>
          </cell>
          <cell r="P34">
            <v>0</v>
          </cell>
          <cell r="R34">
            <v>0</v>
          </cell>
          <cell r="T34">
            <v>0</v>
          </cell>
          <cell r="V34">
            <v>0</v>
          </cell>
          <cell r="X34">
            <v>0</v>
          </cell>
          <cell r="Z34">
            <v>0</v>
          </cell>
          <cell r="AB34">
            <v>0</v>
          </cell>
          <cell r="AD34">
            <v>0</v>
          </cell>
          <cell r="AF34">
            <v>0</v>
          </cell>
        </row>
        <row r="35">
          <cell r="B35">
            <v>15</v>
          </cell>
          <cell r="D35">
            <v>0</v>
          </cell>
          <cell r="F35">
            <v>0</v>
          </cell>
          <cell r="H35">
            <v>0</v>
          </cell>
          <cell r="J35">
            <v>0</v>
          </cell>
          <cell r="L35">
            <v>0</v>
          </cell>
          <cell r="N35">
            <v>0</v>
          </cell>
          <cell r="P35">
            <v>0</v>
          </cell>
          <cell r="R35">
            <v>0</v>
          </cell>
          <cell r="T35">
            <v>0</v>
          </cell>
          <cell r="V35">
            <v>0</v>
          </cell>
          <cell r="X35">
            <v>0</v>
          </cell>
          <cell r="Z35">
            <v>0</v>
          </cell>
          <cell r="AB35">
            <v>0</v>
          </cell>
          <cell r="AD35">
            <v>0</v>
          </cell>
          <cell r="AF35">
            <v>0</v>
          </cell>
        </row>
        <row r="36">
          <cell r="B36">
            <v>16</v>
          </cell>
          <cell r="D36">
            <v>0</v>
          </cell>
          <cell r="F36">
            <v>0</v>
          </cell>
          <cell r="H36">
            <v>0</v>
          </cell>
          <cell r="J36">
            <v>0</v>
          </cell>
          <cell r="L36">
            <v>0</v>
          </cell>
          <cell r="N36">
            <v>0</v>
          </cell>
          <cell r="P36">
            <v>0</v>
          </cell>
          <cell r="R36">
            <v>0</v>
          </cell>
          <cell r="T36">
            <v>0</v>
          </cell>
          <cell r="V36">
            <v>0</v>
          </cell>
          <cell r="X36">
            <v>0</v>
          </cell>
          <cell r="Z36">
            <v>0</v>
          </cell>
          <cell r="AB36">
            <v>0</v>
          </cell>
          <cell r="AD36">
            <v>0</v>
          </cell>
          <cell r="AF36">
            <v>0</v>
          </cell>
        </row>
        <row r="37">
          <cell r="B37">
            <v>17</v>
          </cell>
          <cell r="D37">
            <v>0</v>
          </cell>
          <cell r="F37">
            <v>0</v>
          </cell>
          <cell r="H37">
            <v>0</v>
          </cell>
          <cell r="J37">
            <v>0</v>
          </cell>
          <cell r="L37">
            <v>0</v>
          </cell>
          <cell r="N37">
            <v>0</v>
          </cell>
          <cell r="P37">
            <v>0</v>
          </cell>
          <cell r="R37">
            <v>0</v>
          </cell>
          <cell r="T37">
            <v>0</v>
          </cell>
          <cell r="V37">
            <v>0</v>
          </cell>
          <cell r="X37">
            <v>0</v>
          </cell>
          <cell r="Z37">
            <v>0</v>
          </cell>
          <cell r="AB37">
            <v>0</v>
          </cell>
          <cell r="AD37">
            <v>0</v>
          </cell>
          <cell r="AF37">
            <v>0</v>
          </cell>
        </row>
        <row r="38">
          <cell r="B38">
            <v>18</v>
          </cell>
          <cell r="D38">
            <v>0</v>
          </cell>
          <cell r="F38">
            <v>0</v>
          </cell>
          <cell r="H38">
            <v>0</v>
          </cell>
          <cell r="J38">
            <v>0</v>
          </cell>
          <cell r="L38">
            <v>0</v>
          </cell>
          <cell r="N38">
            <v>0</v>
          </cell>
          <cell r="P38">
            <v>0</v>
          </cell>
          <cell r="R38">
            <v>0</v>
          </cell>
          <cell r="T38">
            <v>0</v>
          </cell>
          <cell r="V38">
            <v>0</v>
          </cell>
          <cell r="X38">
            <v>0</v>
          </cell>
          <cell r="Z38">
            <v>0</v>
          </cell>
          <cell r="AB38">
            <v>0</v>
          </cell>
          <cell r="AD38">
            <v>0</v>
          </cell>
          <cell r="AF38">
            <v>0</v>
          </cell>
        </row>
        <row r="39">
          <cell r="B39">
            <v>19</v>
          </cell>
          <cell r="D39">
            <v>0</v>
          </cell>
          <cell r="F39">
            <v>0</v>
          </cell>
          <cell r="H39">
            <v>0</v>
          </cell>
          <cell r="J39">
            <v>0</v>
          </cell>
          <cell r="L39">
            <v>0</v>
          </cell>
          <cell r="N39">
            <v>0</v>
          </cell>
          <cell r="P39">
            <v>0</v>
          </cell>
          <cell r="R39">
            <v>0</v>
          </cell>
          <cell r="T39">
            <v>0</v>
          </cell>
          <cell r="V39">
            <v>0</v>
          </cell>
          <cell r="X39">
            <v>0</v>
          </cell>
          <cell r="Z39">
            <v>0</v>
          </cell>
          <cell r="AB39">
            <v>0</v>
          </cell>
          <cell r="AD39">
            <v>0</v>
          </cell>
          <cell r="AF39">
            <v>0</v>
          </cell>
        </row>
        <row r="40">
          <cell r="B40">
            <v>20</v>
          </cell>
          <cell r="D40">
            <v>0</v>
          </cell>
          <cell r="F40">
            <v>0</v>
          </cell>
          <cell r="H40">
            <v>0</v>
          </cell>
          <cell r="J40">
            <v>0</v>
          </cell>
          <cell r="L40">
            <v>0</v>
          </cell>
          <cell r="N40">
            <v>0</v>
          </cell>
          <cell r="P40">
            <v>0</v>
          </cell>
          <cell r="R40">
            <v>0</v>
          </cell>
          <cell r="T40">
            <v>0</v>
          </cell>
          <cell r="V40">
            <v>0</v>
          </cell>
          <cell r="X40">
            <v>0</v>
          </cell>
          <cell r="Z40">
            <v>0</v>
          </cell>
          <cell r="AB40">
            <v>0</v>
          </cell>
          <cell r="AD40">
            <v>0</v>
          </cell>
          <cell r="AF40">
            <v>0</v>
          </cell>
        </row>
        <row r="41">
          <cell r="B41">
            <v>21</v>
          </cell>
          <cell r="D41">
            <v>0</v>
          </cell>
          <cell r="F41">
            <v>0</v>
          </cell>
          <cell r="H41">
            <v>0</v>
          </cell>
          <cell r="J41">
            <v>0</v>
          </cell>
          <cell r="L41">
            <v>0</v>
          </cell>
          <cell r="N41">
            <v>0</v>
          </cell>
          <cell r="P41">
            <v>0</v>
          </cell>
          <cell r="R41">
            <v>0</v>
          </cell>
          <cell r="T41">
            <v>0</v>
          </cell>
          <cell r="V41">
            <v>0</v>
          </cell>
          <cell r="X41">
            <v>0</v>
          </cell>
          <cell r="Z41">
            <v>0</v>
          </cell>
          <cell r="AB41">
            <v>0</v>
          </cell>
          <cell r="AD41">
            <v>0</v>
          </cell>
          <cell r="AF41">
            <v>0</v>
          </cell>
        </row>
        <row r="42">
          <cell r="B42">
            <v>22</v>
          </cell>
          <cell r="D42">
            <v>0</v>
          </cell>
          <cell r="F42">
            <v>0</v>
          </cell>
          <cell r="H42">
            <v>0</v>
          </cell>
          <cell r="J42">
            <v>0</v>
          </cell>
          <cell r="L42">
            <v>0</v>
          </cell>
          <cell r="N42">
            <v>0</v>
          </cell>
          <cell r="P42">
            <v>0</v>
          </cell>
          <cell r="R42">
            <v>0</v>
          </cell>
          <cell r="T42">
            <v>0</v>
          </cell>
          <cell r="V42">
            <v>0</v>
          </cell>
          <cell r="X42">
            <v>0</v>
          </cell>
          <cell r="Z42">
            <v>0</v>
          </cell>
          <cell r="AB42">
            <v>0</v>
          </cell>
          <cell r="AD42">
            <v>0</v>
          </cell>
          <cell r="AF42">
            <v>0</v>
          </cell>
        </row>
        <row r="43">
          <cell r="B43">
            <v>23</v>
          </cell>
          <cell r="D43">
            <v>0</v>
          </cell>
          <cell r="F43">
            <v>0</v>
          </cell>
          <cell r="H43">
            <v>0</v>
          </cell>
          <cell r="J43">
            <v>0</v>
          </cell>
          <cell r="L43">
            <v>0</v>
          </cell>
          <cell r="N43">
            <v>0</v>
          </cell>
          <cell r="P43">
            <v>0</v>
          </cell>
          <cell r="R43">
            <v>0</v>
          </cell>
          <cell r="T43">
            <v>0</v>
          </cell>
          <cell r="V43">
            <v>0</v>
          </cell>
          <cell r="X43">
            <v>0</v>
          </cell>
          <cell r="Z43">
            <v>0</v>
          </cell>
          <cell r="AB43">
            <v>0</v>
          </cell>
          <cell r="AD43">
            <v>0</v>
          </cell>
          <cell r="AF43">
            <v>0</v>
          </cell>
        </row>
        <row r="44">
          <cell r="B44">
            <v>24</v>
          </cell>
          <cell r="D44">
            <v>0</v>
          </cell>
          <cell r="F44">
            <v>0</v>
          </cell>
          <cell r="H44">
            <v>0</v>
          </cell>
          <cell r="J44">
            <v>0</v>
          </cell>
          <cell r="L44">
            <v>0</v>
          </cell>
          <cell r="N44">
            <v>0</v>
          </cell>
          <cell r="P44">
            <v>0</v>
          </cell>
          <cell r="R44">
            <v>0</v>
          </cell>
          <cell r="T44">
            <v>0</v>
          </cell>
          <cell r="V44">
            <v>0</v>
          </cell>
          <cell r="X44">
            <v>0</v>
          </cell>
          <cell r="Z44">
            <v>0</v>
          </cell>
          <cell r="AB44">
            <v>0</v>
          </cell>
          <cell r="AD44">
            <v>0</v>
          </cell>
          <cell r="AF44">
            <v>0</v>
          </cell>
        </row>
        <row r="45">
          <cell r="B45">
            <v>25</v>
          </cell>
          <cell r="D45">
            <v>0</v>
          </cell>
          <cell r="F45">
            <v>0</v>
          </cell>
          <cell r="H45">
            <v>0</v>
          </cell>
          <cell r="J45">
            <v>0</v>
          </cell>
          <cell r="L45">
            <v>0</v>
          </cell>
          <cell r="N45">
            <v>0</v>
          </cell>
          <cell r="P45">
            <v>0</v>
          </cell>
          <cell r="R45">
            <v>0</v>
          </cell>
          <cell r="T45">
            <v>0</v>
          </cell>
          <cell r="V45">
            <v>0</v>
          </cell>
          <cell r="X45">
            <v>0</v>
          </cell>
          <cell r="Z45">
            <v>0</v>
          </cell>
          <cell r="AB45">
            <v>0</v>
          </cell>
          <cell r="AD45">
            <v>0</v>
          </cell>
          <cell r="AF45">
            <v>0</v>
          </cell>
        </row>
        <row r="46">
          <cell r="B46">
            <v>26</v>
          </cell>
          <cell r="D46">
            <v>0</v>
          </cell>
          <cell r="F46">
            <v>0</v>
          </cell>
          <cell r="H46">
            <v>0</v>
          </cell>
          <cell r="J46">
            <v>0</v>
          </cell>
          <cell r="L46">
            <v>0</v>
          </cell>
          <cell r="N46">
            <v>0</v>
          </cell>
          <cell r="P46">
            <v>0</v>
          </cell>
          <cell r="R46">
            <v>0</v>
          </cell>
          <cell r="T46">
            <v>0</v>
          </cell>
          <cell r="V46">
            <v>0</v>
          </cell>
          <cell r="X46">
            <v>0</v>
          </cell>
          <cell r="Z46">
            <v>0</v>
          </cell>
          <cell r="AB46">
            <v>0</v>
          </cell>
          <cell r="AD46">
            <v>0</v>
          </cell>
          <cell r="AF46">
            <v>0</v>
          </cell>
        </row>
        <row r="47">
          <cell r="B47">
            <v>27</v>
          </cell>
          <cell r="D47">
            <v>0</v>
          </cell>
          <cell r="F47">
            <v>0</v>
          </cell>
          <cell r="H47">
            <v>0</v>
          </cell>
          <cell r="J47">
            <v>0</v>
          </cell>
          <cell r="L47">
            <v>0</v>
          </cell>
          <cell r="N47">
            <v>0</v>
          </cell>
          <cell r="P47">
            <v>0</v>
          </cell>
          <cell r="R47">
            <v>0</v>
          </cell>
          <cell r="T47">
            <v>0</v>
          </cell>
          <cell r="V47">
            <v>0</v>
          </cell>
          <cell r="X47">
            <v>0</v>
          </cell>
          <cell r="Z47">
            <v>0</v>
          </cell>
          <cell r="AB47">
            <v>0</v>
          </cell>
          <cell r="AD47">
            <v>0</v>
          </cell>
          <cell r="AF47">
            <v>0</v>
          </cell>
        </row>
        <row r="48">
          <cell r="B48">
            <v>28</v>
          </cell>
          <cell r="D48">
            <v>0</v>
          </cell>
          <cell r="F48">
            <v>0</v>
          </cell>
          <cell r="H48">
            <v>0</v>
          </cell>
          <cell r="J48">
            <v>0</v>
          </cell>
          <cell r="L48">
            <v>0</v>
          </cell>
          <cell r="N48">
            <v>0</v>
          </cell>
          <cell r="P48">
            <v>0</v>
          </cell>
          <cell r="R48">
            <v>0</v>
          </cell>
          <cell r="T48">
            <v>0</v>
          </cell>
          <cell r="V48">
            <v>0</v>
          </cell>
          <cell r="X48">
            <v>0</v>
          </cell>
          <cell r="Z48">
            <v>0</v>
          </cell>
          <cell r="AB48">
            <v>0</v>
          </cell>
          <cell r="AD48">
            <v>0</v>
          </cell>
          <cell r="AF48">
            <v>0</v>
          </cell>
        </row>
        <row r="49">
          <cell r="B49">
            <v>29</v>
          </cell>
          <cell r="D49">
            <v>0</v>
          </cell>
          <cell r="F49">
            <v>0</v>
          </cell>
          <cell r="H49">
            <v>0</v>
          </cell>
          <cell r="J49">
            <v>0</v>
          </cell>
          <cell r="L49">
            <v>0</v>
          </cell>
          <cell r="N49">
            <v>0</v>
          </cell>
          <cell r="P49">
            <v>0</v>
          </cell>
          <cell r="R49">
            <v>0</v>
          </cell>
          <cell r="T49">
            <v>0</v>
          </cell>
          <cell r="V49">
            <v>0</v>
          </cell>
          <cell r="X49">
            <v>0</v>
          </cell>
          <cell r="Z49">
            <v>0</v>
          </cell>
          <cell r="AB49">
            <v>0</v>
          </cell>
          <cell r="AD49">
            <v>0</v>
          </cell>
          <cell r="AF49">
            <v>0</v>
          </cell>
        </row>
        <row r="50">
          <cell r="B50">
            <v>30</v>
          </cell>
          <cell r="D50">
            <v>0</v>
          </cell>
          <cell r="F50">
            <v>0</v>
          </cell>
          <cell r="H50">
            <v>0</v>
          </cell>
          <cell r="J50">
            <v>0</v>
          </cell>
          <cell r="L50">
            <v>0</v>
          </cell>
          <cell r="N50">
            <v>0</v>
          </cell>
          <cell r="P50">
            <v>0</v>
          </cell>
          <cell r="R50">
            <v>0</v>
          </cell>
          <cell r="T50">
            <v>0</v>
          </cell>
          <cell r="V50">
            <v>0</v>
          </cell>
          <cell r="X50">
            <v>0</v>
          </cell>
          <cell r="Z50">
            <v>0</v>
          </cell>
          <cell r="AB50">
            <v>0</v>
          </cell>
          <cell r="AD50">
            <v>0</v>
          </cell>
          <cell r="AF50">
            <v>0</v>
          </cell>
        </row>
        <row r="51">
          <cell r="B51">
            <v>31</v>
          </cell>
          <cell r="D51">
            <v>0</v>
          </cell>
          <cell r="F51">
            <v>0</v>
          </cell>
          <cell r="H51">
            <v>0</v>
          </cell>
          <cell r="J51">
            <v>0</v>
          </cell>
          <cell r="L51">
            <v>0</v>
          </cell>
          <cell r="N51">
            <v>0</v>
          </cell>
          <cell r="P51">
            <v>0</v>
          </cell>
          <cell r="R51">
            <v>0</v>
          </cell>
          <cell r="T51">
            <v>0</v>
          </cell>
          <cell r="V51">
            <v>0</v>
          </cell>
          <cell r="X51">
            <v>0</v>
          </cell>
          <cell r="Z51">
            <v>0</v>
          </cell>
          <cell r="AB51">
            <v>0</v>
          </cell>
          <cell r="AD51">
            <v>0</v>
          </cell>
          <cell r="AF51">
            <v>0</v>
          </cell>
        </row>
        <row r="52">
          <cell r="B52">
            <v>32</v>
          </cell>
          <cell r="D52">
            <v>0</v>
          </cell>
          <cell r="F52">
            <v>0</v>
          </cell>
          <cell r="H52">
            <v>0</v>
          </cell>
          <cell r="J52">
            <v>0</v>
          </cell>
          <cell r="L52">
            <v>0</v>
          </cell>
          <cell r="N52">
            <v>0</v>
          </cell>
          <cell r="P52">
            <v>0</v>
          </cell>
          <cell r="R52">
            <v>0</v>
          </cell>
          <cell r="T52">
            <v>0</v>
          </cell>
          <cell r="V52">
            <v>0</v>
          </cell>
          <cell r="X52">
            <v>0</v>
          </cell>
          <cell r="Z52">
            <v>0</v>
          </cell>
          <cell r="AB52">
            <v>0</v>
          </cell>
          <cell r="AD52">
            <v>0</v>
          </cell>
          <cell r="AF52">
            <v>0</v>
          </cell>
        </row>
        <row r="53">
          <cell r="B53">
            <v>33</v>
          </cell>
          <cell r="D53">
            <v>0</v>
          </cell>
          <cell r="F53">
            <v>0</v>
          </cell>
          <cell r="H53">
            <v>0</v>
          </cell>
          <cell r="J53">
            <v>0</v>
          </cell>
          <cell r="L53">
            <v>0</v>
          </cell>
          <cell r="N53">
            <v>0</v>
          </cell>
          <cell r="P53">
            <v>0</v>
          </cell>
          <cell r="R53">
            <v>0</v>
          </cell>
          <cell r="T53">
            <v>0</v>
          </cell>
          <cell r="V53">
            <v>0</v>
          </cell>
          <cell r="X53">
            <v>0</v>
          </cell>
          <cell r="Z53">
            <v>0</v>
          </cell>
          <cell r="AB53">
            <v>0</v>
          </cell>
          <cell r="AD53">
            <v>0</v>
          </cell>
          <cell r="AF53">
            <v>0</v>
          </cell>
        </row>
        <row r="54">
          <cell r="B54">
            <v>34</v>
          </cell>
          <cell r="D54">
            <v>0</v>
          </cell>
          <cell r="F54">
            <v>0</v>
          </cell>
          <cell r="H54">
            <v>0</v>
          </cell>
          <cell r="J54">
            <v>0</v>
          </cell>
          <cell r="L54">
            <v>0</v>
          </cell>
          <cell r="N54">
            <v>0</v>
          </cell>
          <cell r="P54">
            <v>0</v>
          </cell>
          <cell r="R54">
            <v>0</v>
          </cell>
          <cell r="T54">
            <v>0</v>
          </cell>
          <cell r="V54">
            <v>0</v>
          </cell>
          <cell r="X54">
            <v>0</v>
          </cell>
          <cell r="Z54">
            <v>0</v>
          </cell>
          <cell r="AB54">
            <v>0</v>
          </cell>
          <cell r="AD54">
            <v>0</v>
          </cell>
          <cell r="AF54">
            <v>0</v>
          </cell>
        </row>
        <row r="55">
          <cell r="B55">
            <v>35</v>
          </cell>
          <cell r="D55">
            <v>0</v>
          </cell>
          <cell r="F55">
            <v>0</v>
          </cell>
          <cell r="H55">
            <v>0</v>
          </cell>
          <cell r="J55">
            <v>0</v>
          </cell>
          <cell r="L55">
            <v>0</v>
          </cell>
          <cell r="N55">
            <v>0</v>
          </cell>
          <cell r="P55">
            <v>0</v>
          </cell>
          <cell r="R55">
            <v>0</v>
          </cell>
          <cell r="T55">
            <v>0</v>
          </cell>
          <cell r="V55">
            <v>0</v>
          </cell>
          <cell r="X55">
            <v>0</v>
          </cell>
          <cell r="Z55">
            <v>0</v>
          </cell>
          <cell r="AB55">
            <v>0</v>
          </cell>
          <cell r="AD55">
            <v>0</v>
          </cell>
          <cell r="AF55">
            <v>0</v>
          </cell>
        </row>
        <row r="56">
          <cell r="B56">
            <v>36</v>
          </cell>
          <cell r="D56">
            <v>0</v>
          </cell>
          <cell r="F56">
            <v>0</v>
          </cell>
          <cell r="H56">
            <v>0</v>
          </cell>
          <cell r="J56">
            <v>0</v>
          </cell>
          <cell r="L56">
            <v>0</v>
          </cell>
          <cell r="N56">
            <v>0</v>
          </cell>
          <cell r="P56">
            <v>0</v>
          </cell>
          <cell r="R56">
            <v>0</v>
          </cell>
          <cell r="T56">
            <v>0</v>
          </cell>
          <cell r="V56">
            <v>0</v>
          </cell>
          <cell r="X56">
            <v>0</v>
          </cell>
          <cell r="Z56">
            <v>0</v>
          </cell>
          <cell r="AB56">
            <v>0</v>
          </cell>
          <cell r="AD56">
            <v>0</v>
          </cell>
          <cell r="AF56">
            <v>0</v>
          </cell>
        </row>
        <row r="57">
          <cell r="B57">
            <v>37</v>
          </cell>
          <cell r="D57">
            <v>0</v>
          </cell>
          <cell r="F57">
            <v>0</v>
          </cell>
          <cell r="H57">
            <v>0</v>
          </cell>
          <cell r="J57">
            <v>0</v>
          </cell>
          <cell r="L57">
            <v>0</v>
          </cell>
          <cell r="N57">
            <v>0</v>
          </cell>
          <cell r="P57">
            <v>0</v>
          </cell>
          <cell r="R57">
            <v>0</v>
          </cell>
          <cell r="T57">
            <v>0</v>
          </cell>
          <cell r="V57">
            <v>0</v>
          </cell>
          <cell r="X57">
            <v>0</v>
          </cell>
          <cell r="Z57">
            <v>0</v>
          </cell>
          <cell r="AB57">
            <v>0</v>
          </cell>
          <cell r="AD57">
            <v>0</v>
          </cell>
          <cell r="AF57">
            <v>0</v>
          </cell>
        </row>
        <row r="58">
          <cell r="B58">
            <v>38</v>
          </cell>
          <cell r="D58">
            <v>0</v>
          </cell>
          <cell r="F58">
            <v>0</v>
          </cell>
          <cell r="H58">
            <v>0</v>
          </cell>
          <cell r="J58">
            <v>0</v>
          </cell>
          <cell r="L58">
            <v>0</v>
          </cell>
          <cell r="N58">
            <v>0</v>
          </cell>
          <cell r="P58">
            <v>0</v>
          </cell>
          <cell r="R58">
            <v>0</v>
          </cell>
          <cell r="T58">
            <v>0</v>
          </cell>
          <cell r="V58">
            <v>0</v>
          </cell>
          <cell r="X58">
            <v>0</v>
          </cell>
          <cell r="Z58">
            <v>0</v>
          </cell>
          <cell r="AB58">
            <v>0</v>
          </cell>
          <cell r="AD58">
            <v>0</v>
          </cell>
          <cell r="AF58">
            <v>0</v>
          </cell>
        </row>
        <row r="59">
          <cell r="B59">
            <v>39</v>
          </cell>
          <cell r="D59">
            <v>0</v>
          </cell>
          <cell r="F59">
            <v>0</v>
          </cell>
          <cell r="H59">
            <v>0</v>
          </cell>
          <cell r="J59">
            <v>0</v>
          </cell>
          <cell r="L59">
            <v>0</v>
          </cell>
          <cell r="N59">
            <v>0</v>
          </cell>
          <cell r="P59">
            <v>0</v>
          </cell>
          <cell r="R59">
            <v>0</v>
          </cell>
          <cell r="T59">
            <v>0</v>
          </cell>
          <cell r="V59">
            <v>0</v>
          </cell>
          <cell r="X59">
            <v>0</v>
          </cell>
          <cell r="Z59">
            <v>0</v>
          </cell>
          <cell r="AB59">
            <v>0</v>
          </cell>
          <cell r="AD59">
            <v>0</v>
          </cell>
          <cell r="AF59">
            <v>0</v>
          </cell>
        </row>
        <row r="60">
          <cell r="B60">
            <v>40</v>
          </cell>
          <cell r="D60">
            <v>0</v>
          </cell>
          <cell r="F60">
            <v>0</v>
          </cell>
          <cell r="H60">
            <v>0</v>
          </cell>
          <cell r="J60">
            <v>0</v>
          </cell>
          <cell r="L60">
            <v>0</v>
          </cell>
          <cell r="N60">
            <v>0</v>
          </cell>
          <cell r="P60">
            <v>0</v>
          </cell>
          <cell r="R60">
            <v>0</v>
          </cell>
          <cell r="T60">
            <v>0</v>
          </cell>
          <cell r="V60">
            <v>0</v>
          </cell>
          <cell r="X60">
            <v>0</v>
          </cell>
          <cell r="Z60">
            <v>0</v>
          </cell>
          <cell r="AB60">
            <v>0</v>
          </cell>
          <cell r="AD60">
            <v>0</v>
          </cell>
          <cell r="AF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D63">
            <v>0</v>
          </cell>
          <cell r="F63">
            <v>0</v>
          </cell>
          <cell r="H63">
            <v>0</v>
          </cell>
          <cell r="J63">
            <v>0</v>
          </cell>
          <cell r="L63">
            <v>0</v>
          </cell>
          <cell r="N63">
            <v>0</v>
          </cell>
          <cell r="P63">
            <v>0</v>
          </cell>
          <cell r="R63">
            <v>0</v>
          </cell>
          <cell r="T63">
            <v>0</v>
          </cell>
          <cell r="V63">
            <v>0</v>
          </cell>
          <cell r="X63">
            <v>0</v>
          </cell>
          <cell r="Z63">
            <v>0</v>
          </cell>
          <cell r="AB63">
            <v>0</v>
          </cell>
          <cell r="AD63">
            <v>0</v>
          </cell>
          <cell r="AF63">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refreshError="1">
        <row r="1">
          <cell r="I1" t="str">
            <v>Expected Trend in</v>
          </cell>
        </row>
        <row r="2">
          <cell r="G2" t="str">
            <v>Summary</v>
          </cell>
          <cell r="I2" t="str">
            <v>Economic Profit</v>
          </cell>
        </row>
        <row r="3">
          <cell r="I3" t="str">
            <v>POSITIVE</v>
          </cell>
        </row>
        <row r="5">
          <cell r="B5" t="str">
            <v>MICROSOFT CORPORATION</v>
          </cell>
        </row>
        <row r="7">
          <cell r="C7" t="str">
            <v>Price to</v>
          </cell>
          <cell r="D7" t="str">
            <v>PVGO as % of</v>
          </cell>
          <cell r="E7" t="str">
            <v>Acceleration</v>
          </cell>
          <cell r="F7" t="str">
            <v>Enterprise</v>
          </cell>
          <cell r="I7" t="str">
            <v>52-week</v>
          </cell>
        </row>
        <row r="8">
          <cell r="C8" t="str">
            <v>EBV</v>
          </cell>
          <cell r="D8" t="str">
            <v xml:space="preserve"> Stock Price</v>
          </cell>
          <cell r="E8" t="str">
            <v>Ratio</v>
          </cell>
          <cell r="F8" t="str">
            <v xml:space="preserve"> Value</v>
          </cell>
          <cell r="G8" t="str">
            <v>Dividend</v>
          </cell>
          <cell r="H8" t="str">
            <v>Yield</v>
          </cell>
          <cell r="I8" t="str">
            <v>Range</v>
          </cell>
        </row>
        <row r="9">
          <cell r="B9">
            <v>105.4375</v>
          </cell>
          <cell r="C9">
            <v>4.2299388190431468</v>
          </cell>
          <cell r="D9">
            <v>0.7635899612783974</v>
          </cell>
          <cell r="E9">
            <v>0.56044765690804332</v>
          </cell>
          <cell r="F9">
            <v>236822.86</v>
          </cell>
          <cell r="G9">
            <v>0</v>
          </cell>
          <cell r="H9">
            <v>0</v>
          </cell>
          <cell r="I9" t="str">
            <v>59.00-119.63</v>
          </cell>
        </row>
        <row r="10">
          <cell r="C10">
            <v>80.511016542291031</v>
          </cell>
        </row>
        <row r="11">
          <cell r="C11" t="str">
            <v>Economic Book Value(EBV)</v>
          </cell>
          <cell r="E11" t="str">
            <v>ERI</v>
          </cell>
          <cell r="F11" t="str">
            <v>Free Cash Yield</v>
          </cell>
          <cell r="H11" t="str">
            <v>Fiscal year</v>
          </cell>
          <cell r="I11" t="str">
            <v>S&amp;P 500</v>
          </cell>
        </row>
        <row r="12">
          <cell r="C12">
            <v>24.926483457708969</v>
          </cell>
          <cell r="E12">
            <v>0.42795220463698136</v>
          </cell>
          <cell r="F12">
            <v>2.3370007282682584E-2</v>
          </cell>
          <cell r="H12" t="str">
            <v>Jun</v>
          </cell>
          <cell r="I12">
            <v>984.56</v>
          </cell>
        </row>
        <row r="14">
          <cell r="C14" t="str">
            <v>MSFT makes, sells and licenses software products, including operating systems, server applications,</v>
          </cell>
        </row>
        <row r="15">
          <cell r="C15" t="str">
            <v xml:space="preserve">business and consumer products, Internet software technologies and development tools.  The </v>
          </cell>
        </row>
        <row r="16">
          <cell r="C16" t="str">
            <v xml:space="preserve">company also markets personal computer books and input devices. </v>
          </cell>
        </row>
        <row r="18">
          <cell r="C18" t="str">
            <v>Q1</v>
          </cell>
          <cell r="D18" t="str">
            <v>Q2</v>
          </cell>
          <cell r="E18" t="str">
            <v>Q3</v>
          </cell>
          <cell r="F18" t="str">
            <v>Q4</v>
          </cell>
          <cell r="G18" t="str">
            <v>Year</v>
          </cell>
          <cell r="H18" t="str">
            <v>Growth</v>
          </cell>
          <cell r="I18" t="str">
            <v>P/E multiple</v>
          </cell>
        </row>
        <row r="19">
          <cell r="C19">
            <v>0.48003094629629633</v>
          </cell>
          <cell r="D19">
            <v>0.49172786764705884</v>
          </cell>
          <cell r="E19">
            <v>0.56034176666666657</v>
          </cell>
          <cell r="F19">
            <v>0.56357523809523802</v>
          </cell>
          <cell r="G19">
            <v>2.5999571428571424</v>
          </cell>
          <cell r="H19">
            <v>0.1684557821187336</v>
          </cell>
          <cell r="I19">
            <v>40.553553080545292</v>
          </cell>
        </row>
        <row r="20">
          <cell r="C20">
            <v>0.35971492873218303</v>
          </cell>
          <cell r="D20">
            <v>0.42458770614692659</v>
          </cell>
          <cell r="E20">
            <v>0.49797020484171328</v>
          </cell>
          <cell r="F20">
            <v>0.46925538033395181</v>
          </cell>
          <cell r="G20">
            <v>2.2251224074074081</v>
          </cell>
          <cell r="H20">
            <v>0.33240862719006475</v>
          </cell>
          <cell r="I20">
            <v>47.385033582422125</v>
          </cell>
        </row>
        <row r="21">
          <cell r="C21">
            <v>0.23724884080370942</v>
          </cell>
          <cell r="D21">
            <v>0.28412576687116564</v>
          </cell>
          <cell r="E21">
            <v>0.39408093797276855</v>
          </cell>
          <cell r="F21">
            <v>0.39822908816880187</v>
          </cell>
          <cell r="G21">
            <v>1.67</v>
          </cell>
          <cell r="H21">
            <v>0.27423088107007848</v>
          </cell>
          <cell r="I21">
            <v>63.136227544910184</v>
          </cell>
        </row>
        <row r="24">
          <cell r="C24" t="str">
            <v>P-4</v>
          </cell>
          <cell r="D24" t="str">
            <v>P-3</v>
          </cell>
          <cell r="E24" t="str">
            <v>P-2</v>
          </cell>
          <cell r="F24" t="str">
            <v>P-1</v>
          </cell>
          <cell r="G24" t="str">
            <v>P</v>
          </cell>
          <cell r="H24" t="str">
            <v>EY 1</v>
          </cell>
          <cell r="I24" t="str">
            <v>EY 2</v>
          </cell>
        </row>
        <row r="25">
          <cell r="C25">
            <v>1994</v>
          </cell>
          <cell r="D25">
            <v>1995</v>
          </cell>
          <cell r="E25">
            <v>1996</v>
          </cell>
          <cell r="F25">
            <v>1997</v>
          </cell>
          <cell r="G25">
            <v>1998</v>
          </cell>
          <cell r="H25" t="str">
            <v>1999E</v>
          </cell>
          <cell r="I25" t="str">
            <v>2000E</v>
          </cell>
        </row>
        <row r="26">
          <cell r="C26">
            <v>13.462314733472448</v>
          </cell>
          <cell r="D26">
            <v>17.527913438058803</v>
          </cell>
          <cell r="E26">
            <v>19.831992625770013</v>
          </cell>
          <cell r="F26">
            <v>50.534801922013301</v>
          </cell>
          <cell r="G26">
            <v>77.797220225665313</v>
          </cell>
          <cell r="H26">
            <v>69.448983538979007</v>
          </cell>
          <cell r="I26">
            <v>60.0307479914228</v>
          </cell>
        </row>
        <row r="27">
          <cell r="C27">
            <v>11.968005216873594</v>
          </cell>
          <cell r="D27">
            <v>18.076619868985002</v>
          </cell>
          <cell r="E27">
            <v>14.992742900997698</v>
          </cell>
          <cell r="F27">
            <v>23.742508247475005</v>
          </cell>
          <cell r="G27">
            <v>26.919137632905336</v>
          </cell>
          <cell r="H27">
            <v>21.630160566519105</v>
          </cell>
          <cell r="I27">
            <v>18.433132360063279</v>
          </cell>
        </row>
        <row r="28">
          <cell r="C28">
            <v>0.97639875822281641</v>
          </cell>
          <cell r="D28">
            <v>1.1548767955389909</v>
          </cell>
          <cell r="E28">
            <v>1.8365667055686166</v>
          </cell>
          <cell r="F28">
            <v>2.5029217479674797</v>
          </cell>
          <cell r="G28">
            <v>3.391025698490961</v>
          </cell>
          <cell r="H28">
            <v>4.0550864197530876</v>
          </cell>
          <cell r="I28">
            <v>4.7061073870573864</v>
          </cell>
        </row>
        <row r="30">
          <cell r="C30">
            <v>1320.0209651567945</v>
          </cell>
          <cell r="D30">
            <v>1623.052405937548</v>
          </cell>
          <cell r="E30">
            <v>2509.623162671402</v>
          </cell>
          <cell r="F30">
            <v>3956.8687743068626</v>
          </cell>
          <cell r="G30">
            <v>5069.9925062057982</v>
          </cell>
          <cell r="H30">
            <v>6318.6657333333351</v>
          </cell>
          <cell r="I30">
            <v>7475.881768166666</v>
          </cell>
        </row>
        <row r="31">
          <cell r="D31">
            <v>-210.48000000000002</v>
          </cell>
          <cell r="E31">
            <v>-939.63999999999987</v>
          </cell>
          <cell r="F31">
            <v>-569.52000000000021</v>
          </cell>
          <cell r="G31">
            <v>-1439.9599999999998</v>
          </cell>
        </row>
        <row r="32">
          <cell r="D32">
            <v>921.61566666666658</v>
          </cell>
          <cell r="E32">
            <v>1449.333333333333</v>
          </cell>
          <cell r="F32">
            <v>371.66666666666606</v>
          </cell>
          <cell r="G32">
            <v>1489.333333333333</v>
          </cell>
        </row>
        <row r="33">
          <cell r="D33">
            <v>0</v>
          </cell>
          <cell r="E33">
            <v>0</v>
          </cell>
          <cell r="F33">
            <v>0</v>
          </cell>
          <cell r="G33">
            <v>0</v>
          </cell>
        </row>
        <row r="34">
          <cell r="C34">
            <v>91.19894425087125</v>
          </cell>
          <cell r="D34">
            <v>585.06848346408196</v>
          </cell>
          <cell r="E34">
            <v>234.51290519877716</v>
          </cell>
          <cell r="F34">
            <v>-533.05468824488821</v>
          </cell>
          <cell r="G34">
            <v>-464.55945669992002</v>
          </cell>
          <cell r="H34">
            <v>36.228255833235153</v>
          </cell>
          <cell r="I34">
            <v>192.98000084092848</v>
          </cell>
        </row>
        <row r="35">
          <cell r="C35">
            <v>1228.8220209059232</v>
          </cell>
          <cell r="D35">
            <v>1037.983922473466</v>
          </cell>
          <cell r="E35">
            <v>2275.1102574726247</v>
          </cell>
          <cell r="F35">
            <v>4489.9234625517502</v>
          </cell>
          <cell r="G35">
            <v>5534.551962905718</v>
          </cell>
          <cell r="H35">
            <v>6282.4374775000997</v>
          </cell>
          <cell r="I35">
            <v>7282.9017673257376</v>
          </cell>
        </row>
        <row r="37">
          <cell r="C37">
            <v>0.2839365379988803</v>
          </cell>
          <cell r="D37">
            <v>0.27337921609188948</v>
          </cell>
          <cell r="E37">
            <v>0.28942718979026666</v>
          </cell>
          <cell r="F37">
            <v>0.34837724725364172</v>
          </cell>
          <cell r="G37">
            <v>0.35004090763641249</v>
          </cell>
          <cell r="H37">
            <v>0.36106661333333345</v>
          </cell>
          <cell r="I37">
            <v>0.34590546064391747</v>
          </cell>
        </row>
        <row r="38">
          <cell r="C38">
            <v>2.3550996130135848</v>
          </cell>
          <cell r="D38">
            <v>2.1403747428329716</v>
          </cell>
          <cell r="E38">
            <v>2.6407742941489385</v>
          </cell>
          <cell r="F38">
            <v>3.6809060425884974</v>
          </cell>
          <cell r="G38">
            <v>4.6200563950545899</v>
          </cell>
          <cell r="H38">
            <v>5.1319252369983737</v>
          </cell>
          <cell r="I38">
            <v>5.4784176703407148</v>
          </cell>
        </row>
        <row r="39">
          <cell r="C39">
            <v>0.66869883076157999</v>
          </cell>
          <cell r="D39">
            <v>0.58513396933855732</v>
          </cell>
          <cell r="E39">
            <v>0.76431188282590234</v>
          </cell>
          <cell r="F39">
            <v>1.2823439145162767</v>
          </cell>
          <cell r="G39">
            <v>1.6172087338563206</v>
          </cell>
          <cell r="H39">
            <v>1.8529668652028675</v>
          </cell>
          <cell r="I39">
            <v>1.8950145878589821</v>
          </cell>
        </row>
        <row r="40">
          <cell r="C40">
            <v>2.1023184674312634E-2</v>
          </cell>
          <cell r="D40">
            <v>-8.3564861423022663E-2</v>
          </cell>
          <cell r="E40">
            <v>0.17917791348734502</v>
          </cell>
          <cell r="F40">
            <v>0.51803203169037437</v>
          </cell>
          <cell r="G40">
            <v>0.33486481934004386</v>
          </cell>
          <cell r="H40">
            <v>0.23575813134654688</v>
          </cell>
          <cell r="I40">
            <v>4.2047722656114672E-2</v>
          </cell>
        </row>
        <row r="42">
          <cell r="C42">
            <v>0.12936500000000001</v>
          </cell>
          <cell r="D42">
            <v>0.12174499999999999</v>
          </cell>
          <cell r="E42">
            <v>0.12668499999999999</v>
          </cell>
          <cell r="F42">
            <v>0.12051815905168733</v>
          </cell>
          <cell r="G42">
            <v>0.12079368108815906</v>
          </cell>
          <cell r="H42">
            <v>0.11992721428571428</v>
          </cell>
          <cell r="I42">
            <v>0.11992721428571428</v>
          </cell>
        </row>
        <row r="44">
          <cell r="C44">
            <v>0.56538777747845093</v>
          </cell>
          <cell r="D44">
            <v>1.7088849457823854</v>
          </cell>
          <cell r="E44">
            <v>1.2466970766485552</v>
          </cell>
          <cell r="F44">
            <v>2.8394438714170476</v>
          </cell>
          <cell r="G44" t="str">
            <v>NM</v>
          </cell>
          <cell r="H44">
            <v>25.290438032558981</v>
          </cell>
          <cell r="I44">
            <v>2.1040320010618481</v>
          </cell>
        </row>
        <row r="46">
          <cell r="C46">
            <v>0.53933383076158004</v>
          </cell>
          <cell r="D46">
            <v>0.46338896933855733</v>
          </cell>
          <cell r="E46">
            <v>0.63762688282590241</v>
          </cell>
          <cell r="F46">
            <v>1.1618257554645894</v>
          </cell>
          <cell r="G46">
            <v>1.4964150527681614</v>
          </cell>
          <cell r="H46">
            <v>1.7330396509171533</v>
          </cell>
          <cell r="I46">
            <v>1.775087373573268</v>
          </cell>
        </row>
        <row r="47">
          <cell r="C47">
            <v>1974.0141666666664</v>
          </cell>
          <cell r="D47">
            <v>2773.8133333333326</v>
          </cell>
          <cell r="E47">
            <v>3283.5066666666662</v>
          </cell>
          <cell r="F47">
            <v>3085.6533333333318</v>
          </cell>
          <cell r="G47">
            <v>3135.0266666666648</v>
          </cell>
          <cell r="H47">
            <v>3410.0262945832828</v>
          </cell>
          <cell r="I47">
            <v>3945.0259729203653</v>
          </cell>
        </row>
        <row r="48">
          <cell r="C48">
            <v>1064.6526224859613</v>
          </cell>
          <cell r="D48">
            <v>1285.3545016708813</v>
          </cell>
          <cell r="E48">
            <v>2093.6521206047355</v>
          </cell>
          <cell r="F48">
            <v>3584.9915151018267</v>
          </cell>
          <cell r="G48">
            <v>4691.3010948295905</v>
          </cell>
          <cell r="H48">
            <v>5909.7107791829258</v>
          </cell>
          <cell r="I48">
            <v>7002.7657929495372</v>
          </cell>
        </row>
        <row r="49">
          <cell r="C49">
            <v>193.25460581370885</v>
          </cell>
          <cell r="D49">
            <v>220.70187918492002</v>
          </cell>
          <cell r="E49">
            <v>808.29761893385421</v>
          </cell>
          <cell r="F49">
            <v>1491.3393944970912</v>
          </cell>
          <cell r="G49">
            <v>1106.3095797277638</v>
          </cell>
          <cell r="H49">
            <v>1218.4096843533353</v>
          </cell>
          <cell r="I49">
            <v>1093.0550137666114</v>
          </cell>
        </row>
        <row r="51">
          <cell r="C51">
            <v>0.5456467019930924</v>
          </cell>
          <cell r="D51">
            <v>0.66415341243980996</v>
          </cell>
          <cell r="E51">
            <v>0.63181559907232943</v>
          </cell>
          <cell r="F51">
            <v>0.75065630595476074</v>
          </cell>
          <cell r="G51">
            <v>0.7880192814947361</v>
          </cell>
        </row>
        <row r="52">
          <cell r="C52">
            <v>7.0442989227308228</v>
          </cell>
          <cell r="D52">
            <v>15.003225587015306</v>
          </cell>
          <cell r="E52">
            <v>18.973422440142052</v>
          </cell>
          <cell r="F52">
            <v>47.433971973281331</v>
          </cell>
          <cell r="G52">
            <v>85.401589631992024</v>
          </cell>
        </row>
        <row r="53">
          <cell r="C53">
            <v>5.8657010772691773</v>
          </cell>
          <cell r="D53">
            <v>7.5867744129846937</v>
          </cell>
          <cell r="E53">
            <v>11.056577559857947</v>
          </cell>
          <cell r="F53">
            <v>15.756028026718671</v>
          </cell>
          <cell r="G53">
            <v>22.973410368007972</v>
          </cell>
        </row>
        <row r="54">
          <cell r="C54">
            <v>12.91</v>
          </cell>
          <cell r="D54">
            <v>22.59</v>
          </cell>
          <cell r="E54">
            <v>30.03</v>
          </cell>
          <cell r="F54">
            <v>63.19</v>
          </cell>
          <cell r="G54">
            <v>108.375</v>
          </cell>
        </row>
        <row r="58">
          <cell r="C58">
            <v>15</v>
          </cell>
          <cell r="D58" t="str">
            <v>Target Price Implied CAP</v>
          </cell>
          <cell r="F58" t="str">
            <v>N/A</v>
          </cell>
        </row>
        <row r="60">
          <cell r="C60" t="str">
            <v>Years</v>
          </cell>
        </row>
        <row r="61">
          <cell r="C61">
            <v>10</v>
          </cell>
          <cell r="D61">
            <v>12</v>
          </cell>
          <cell r="E61">
            <v>14</v>
          </cell>
          <cell r="F61">
            <v>15</v>
          </cell>
          <cell r="G61">
            <v>16</v>
          </cell>
          <cell r="H61">
            <v>18</v>
          </cell>
          <cell r="I61">
            <v>20</v>
          </cell>
        </row>
        <row r="62">
          <cell r="C62">
            <v>1.9894560154833445</v>
          </cell>
          <cell r="D62">
            <v>1.9922136768572662</v>
          </cell>
          <cell r="E62">
            <v>1.9946061259864956</v>
          </cell>
          <cell r="F62">
            <v>1.9955639099107756</v>
          </cell>
          <cell r="G62">
            <v>1.9975863048785347</v>
          </cell>
          <cell r="H62">
            <v>2.0044496501887092</v>
          </cell>
          <cell r="I62">
            <v>2.0099573010254677</v>
          </cell>
        </row>
        <row r="63">
          <cell r="C63">
            <v>0.33693797165422684</v>
          </cell>
          <cell r="D63">
            <v>0.33627842383510254</v>
          </cell>
          <cell r="E63">
            <v>0.33580810883543616</v>
          </cell>
          <cell r="F63">
            <v>0.33562016706466469</v>
          </cell>
          <cell r="G63">
            <v>0.33545580430214778</v>
          </cell>
          <cell r="H63">
            <v>0.33518204521877448</v>
          </cell>
          <cell r="I63">
            <v>0.3349631988157169</v>
          </cell>
        </row>
        <row r="64">
          <cell r="C64">
            <v>5.9045171006281496</v>
          </cell>
          <cell r="D64">
            <v>5.9242982470804266</v>
          </cell>
          <cell r="E64">
            <v>5.939719957637946</v>
          </cell>
          <cell r="F64">
            <v>5.9458998765300235</v>
          </cell>
          <cell r="G64">
            <v>5.9548419769755787</v>
          </cell>
          <cell r="H64">
            <v>5.9801820496691533</v>
          </cell>
          <cell r="I64">
            <v>6.0005317244753931</v>
          </cell>
        </row>
        <row r="65">
          <cell r="C65">
            <v>0.11992721428571428</v>
          </cell>
          <cell r="D65">
            <v>0.11992721428571428</v>
          </cell>
          <cell r="E65">
            <v>0.11992721428571428</v>
          </cell>
          <cell r="F65">
            <v>0.11992721428571428</v>
          </cell>
          <cell r="G65">
            <v>0.11992721428571428</v>
          </cell>
          <cell r="H65">
            <v>0.11992721428571428</v>
          </cell>
          <cell r="I65">
            <v>0.11992721428571428</v>
          </cell>
        </row>
        <row r="66">
          <cell r="C66">
            <v>0.20469997001667317</v>
          </cell>
          <cell r="D66">
            <v>0.19713211373106532</v>
          </cell>
          <cell r="E66">
            <v>0.19175562618453323</v>
          </cell>
          <cell r="F66">
            <v>0.18961179828565422</v>
          </cell>
          <cell r="G66">
            <v>0.18644876074829364</v>
          </cell>
          <cell r="H66">
            <v>0.18119570968292265</v>
          </cell>
          <cell r="I66">
            <v>0.17701001961301666</v>
          </cell>
        </row>
        <row r="67">
          <cell r="C67">
            <v>0.19870258740595959</v>
          </cell>
          <cell r="D67">
            <v>0.19216362653072827</v>
          </cell>
          <cell r="E67">
            <v>0.18751479047975361</v>
          </cell>
          <cell r="F67">
            <v>0.18566033589578601</v>
          </cell>
          <cell r="G67">
            <v>0.18275373061508082</v>
          </cell>
          <cell r="H67">
            <v>0.17792521416886964</v>
          </cell>
          <cell r="I67">
            <v>0.17407659759821814</v>
          </cell>
        </row>
        <row r="68">
          <cell r="C68">
            <v>0.18214118630743759</v>
          </cell>
          <cell r="D68">
            <v>0.17779719352399881</v>
          </cell>
          <cell r="E68">
            <v>0.17523811676220347</v>
          </cell>
          <cell r="F68">
            <v>0.1742160436110447</v>
          </cell>
          <cell r="G68">
            <v>0.16961458882559088</v>
          </cell>
          <cell r="H68">
            <v>0.16628644847955432</v>
          </cell>
          <cell r="I68">
            <v>0.16363075606229471</v>
          </cell>
        </row>
        <row r="69">
          <cell r="C69">
            <v>0.1776142433035619</v>
          </cell>
          <cell r="D69">
            <v>0.17595478482515969</v>
          </cell>
          <cell r="E69">
            <v>0.1736621643794376</v>
          </cell>
          <cell r="F69">
            <v>0.17274636819203582</v>
          </cell>
          <cell r="G69">
            <v>0.17274636819203582</v>
          </cell>
          <cell r="H69">
            <v>0.16793671295435897</v>
          </cell>
          <cell r="I69">
            <v>0.16511250734354332</v>
          </cell>
        </row>
        <row r="70">
          <cell r="C70">
            <v>72.985964193484094</v>
          </cell>
          <cell r="D70">
            <v>83.763825591127343</v>
          </cell>
          <cell r="E70">
            <v>95.313542560810902</v>
          </cell>
          <cell r="F70">
            <v>100.59482609618468</v>
          </cell>
          <cell r="G70">
            <v>106.0964615318304</v>
          </cell>
          <cell r="H70">
            <v>117.24245923277371</v>
          </cell>
          <cell r="I70">
            <v>128.79158353139223</v>
          </cell>
        </row>
      </sheetData>
      <sheetData sheetId="2" refreshError="1">
        <row r="90">
          <cell r="C90">
            <v>15</v>
          </cell>
        </row>
      </sheetData>
      <sheetData sheetId="3" refreshError="1"/>
      <sheetData sheetId="4" refreshError="1"/>
      <sheetData sheetId="5" refreshError="1">
        <row r="2">
          <cell r="Q2" t="str">
            <v>Numbers in millions</v>
          </cell>
        </row>
        <row r="3">
          <cell r="D3" t="str">
            <v>P-14</v>
          </cell>
          <cell r="E3" t="str">
            <v>P-13</v>
          </cell>
          <cell r="F3" t="str">
            <v>P-12</v>
          </cell>
          <cell r="G3" t="str">
            <v>P-11</v>
          </cell>
          <cell r="H3" t="str">
            <v>P-10</v>
          </cell>
          <cell r="I3" t="str">
            <v>P-9</v>
          </cell>
          <cell r="J3" t="str">
            <v>P-8</v>
          </cell>
          <cell r="K3" t="str">
            <v>P-7</v>
          </cell>
          <cell r="L3" t="str">
            <v>P-6</v>
          </cell>
          <cell r="M3" t="str">
            <v>P-5</v>
          </cell>
          <cell r="N3" t="str">
            <v>P-4</v>
          </cell>
          <cell r="O3" t="str">
            <v>P-3</v>
          </cell>
          <cell r="P3" t="str">
            <v>P-2</v>
          </cell>
          <cell r="Q3" t="str">
            <v>P-1</v>
          </cell>
          <cell r="R3" t="str">
            <v>Present (P)</v>
          </cell>
        </row>
        <row r="4">
          <cell r="D4">
            <v>1984</v>
          </cell>
          <cell r="E4">
            <v>1985</v>
          </cell>
          <cell r="F4">
            <v>1986</v>
          </cell>
          <cell r="G4">
            <v>1987</v>
          </cell>
          <cell r="H4">
            <v>1988</v>
          </cell>
          <cell r="I4">
            <v>1989</v>
          </cell>
          <cell r="J4">
            <v>1990</v>
          </cell>
          <cell r="K4">
            <v>1991</v>
          </cell>
          <cell r="L4">
            <v>1992</v>
          </cell>
          <cell r="M4">
            <v>1993</v>
          </cell>
          <cell r="N4">
            <v>1994</v>
          </cell>
          <cell r="O4">
            <v>1995</v>
          </cell>
          <cell r="P4">
            <v>1996</v>
          </cell>
          <cell r="Q4">
            <v>1997</v>
          </cell>
          <cell r="R4">
            <v>1998</v>
          </cell>
        </row>
        <row r="5">
          <cell r="D5">
            <v>0</v>
          </cell>
          <cell r="E5">
            <v>0</v>
          </cell>
          <cell r="F5">
            <v>0</v>
          </cell>
          <cell r="G5">
            <v>0</v>
          </cell>
          <cell r="H5">
            <v>0</v>
          </cell>
          <cell r="I5">
            <v>0</v>
          </cell>
          <cell r="J5">
            <v>0</v>
          </cell>
          <cell r="K5">
            <v>1843.432</v>
          </cell>
          <cell r="L5">
            <v>2758.7249999999999</v>
          </cell>
          <cell r="M5">
            <v>3753</v>
          </cell>
          <cell r="N5">
            <v>4649</v>
          </cell>
          <cell r="O5">
            <v>5937</v>
          </cell>
          <cell r="P5">
            <v>8671</v>
          </cell>
          <cell r="Q5">
            <v>11358</v>
          </cell>
          <cell r="R5">
            <v>14484</v>
          </cell>
        </row>
        <row r="6">
          <cell r="D6">
            <v>0</v>
          </cell>
          <cell r="E6">
            <v>0</v>
          </cell>
          <cell r="F6">
            <v>0</v>
          </cell>
          <cell r="G6">
            <v>0</v>
          </cell>
          <cell r="H6">
            <v>0</v>
          </cell>
          <cell r="I6">
            <v>0</v>
          </cell>
          <cell r="J6">
            <v>0</v>
          </cell>
          <cell r="K6">
            <v>0</v>
          </cell>
          <cell r="L6">
            <v>0</v>
          </cell>
          <cell r="M6">
            <v>0</v>
          </cell>
          <cell r="N6">
            <v>0</v>
          </cell>
          <cell r="O6">
            <v>0</v>
          </cell>
          <cell r="P6">
            <v>0</v>
          </cell>
          <cell r="Q6">
            <v>0</v>
          </cell>
          <cell r="R6">
            <v>0</v>
          </cell>
        </row>
        <row r="7">
          <cell r="D7">
            <v>0</v>
          </cell>
          <cell r="E7">
            <v>0</v>
          </cell>
          <cell r="F7">
            <v>0</v>
          </cell>
          <cell r="G7">
            <v>0</v>
          </cell>
          <cell r="H7">
            <v>0</v>
          </cell>
          <cell r="I7">
            <v>0</v>
          </cell>
          <cell r="J7">
            <v>0</v>
          </cell>
          <cell r="K7">
            <v>0</v>
          </cell>
          <cell r="L7">
            <v>0</v>
          </cell>
          <cell r="M7">
            <v>0</v>
          </cell>
          <cell r="N7">
            <v>0</v>
          </cell>
          <cell r="O7">
            <v>0</v>
          </cell>
          <cell r="P7">
            <v>0</v>
          </cell>
          <cell r="Q7">
            <v>0</v>
          </cell>
          <cell r="R7">
            <v>0</v>
          </cell>
        </row>
        <row r="8">
          <cell r="D8">
            <v>0</v>
          </cell>
          <cell r="E8">
            <v>0</v>
          </cell>
          <cell r="F8">
            <v>0</v>
          </cell>
          <cell r="G8">
            <v>0</v>
          </cell>
          <cell r="H8">
            <v>0</v>
          </cell>
          <cell r="I8">
            <v>0</v>
          </cell>
          <cell r="J8">
            <v>0</v>
          </cell>
          <cell r="K8">
            <v>1843.432</v>
          </cell>
          <cell r="L8">
            <v>2758.7249999999999</v>
          </cell>
          <cell r="M8">
            <v>3753</v>
          </cell>
          <cell r="N8">
            <v>4649</v>
          </cell>
          <cell r="O8">
            <v>5937</v>
          </cell>
          <cell r="P8">
            <v>8671</v>
          </cell>
          <cell r="Q8">
            <v>11358</v>
          </cell>
          <cell r="R8">
            <v>14484</v>
          </cell>
        </row>
        <row r="9">
          <cell r="D9">
            <v>0</v>
          </cell>
          <cell r="E9">
            <v>0</v>
          </cell>
          <cell r="F9">
            <v>0</v>
          </cell>
          <cell r="G9">
            <v>0</v>
          </cell>
          <cell r="H9">
            <v>0</v>
          </cell>
          <cell r="I9">
            <v>0</v>
          </cell>
          <cell r="J9">
            <v>0</v>
          </cell>
          <cell r="K9">
            <v>362.589</v>
          </cell>
          <cell r="L9">
            <v>466.42399999999998</v>
          </cell>
          <cell r="M9">
            <v>633</v>
          </cell>
          <cell r="N9">
            <v>763</v>
          </cell>
          <cell r="O9">
            <v>877</v>
          </cell>
          <cell r="P9">
            <v>1188</v>
          </cell>
          <cell r="Q9">
            <v>1085</v>
          </cell>
          <cell r="R9">
            <v>1197</v>
          </cell>
        </row>
        <row r="10">
          <cell r="D10">
            <v>0</v>
          </cell>
          <cell r="E10">
            <v>0</v>
          </cell>
          <cell r="F10">
            <v>0</v>
          </cell>
          <cell r="G10">
            <v>0</v>
          </cell>
          <cell r="H10">
            <v>0</v>
          </cell>
          <cell r="I10">
            <v>0</v>
          </cell>
          <cell r="J10">
            <v>0</v>
          </cell>
          <cell r="K10">
            <v>1480.8430000000001</v>
          </cell>
          <cell r="L10">
            <v>2292.3009999999999</v>
          </cell>
          <cell r="M10">
            <v>3120</v>
          </cell>
          <cell r="N10">
            <v>3886</v>
          </cell>
          <cell r="O10">
            <v>5060</v>
          </cell>
          <cell r="P10">
            <v>7483</v>
          </cell>
          <cell r="Q10">
            <v>10273</v>
          </cell>
          <cell r="R10">
            <v>13287</v>
          </cell>
        </row>
        <row r="11">
          <cell r="D11">
            <v>0</v>
          </cell>
          <cell r="E11">
            <v>0</v>
          </cell>
          <cell r="F11">
            <v>0</v>
          </cell>
          <cell r="G11">
            <v>0</v>
          </cell>
          <cell r="H11">
            <v>0</v>
          </cell>
          <cell r="I11">
            <v>0</v>
          </cell>
          <cell r="J11">
            <v>0</v>
          </cell>
          <cell r="K11">
            <v>595.61500000000001</v>
          </cell>
          <cell r="L11">
            <v>944.1690000000001</v>
          </cell>
          <cell r="M11">
            <v>1324</v>
          </cell>
          <cell r="N11">
            <v>1550</v>
          </cell>
          <cell r="O11">
            <v>2162</v>
          </cell>
          <cell r="P11">
            <v>2973</v>
          </cell>
          <cell r="Q11">
            <v>3218</v>
          </cell>
          <cell r="R11">
            <v>3845</v>
          </cell>
        </row>
        <row r="12">
          <cell r="D12">
            <v>0</v>
          </cell>
          <cell r="E12">
            <v>0</v>
          </cell>
          <cell r="F12">
            <v>0</v>
          </cell>
          <cell r="G12">
            <v>0</v>
          </cell>
          <cell r="H12">
            <v>0</v>
          </cell>
          <cell r="I12">
            <v>0</v>
          </cell>
          <cell r="J12">
            <v>0</v>
          </cell>
          <cell r="K12">
            <v>235.386</v>
          </cell>
          <cell r="L12">
            <v>352.15300000000002</v>
          </cell>
          <cell r="M12">
            <v>470</v>
          </cell>
          <cell r="N12">
            <v>610</v>
          </cell>
          <cell r="O12">
            <v>860</v>
          </cell>
          <cell r="P12">
            <v>1432</v>
          </cell>
          <cell r="Q12">
            <v>1925</v>
          </cell>
          <cell r="R12">
            <v>2798</v>
          </cell>
        </row>
        <row r="13">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D14">
            <v>0</v>
          </cell>
          <cell r="E14">
            <v>0</v>
          </cell>
          <cell r="F14">
            <v>0</v>
          </cell>
          <cell r="G14">
            <v>0</v>
          </cell>
          <cell r="H14">
            <v>0</v>
          </cell>
          <cell r="I14">
            <v>0</v>
          </cell>
          <cell r="J14">
            <v>0</v>
          </cell>
          <cell r="K14">
            <v>649.8420000000001</v>
          </cell>
          <cell r="L14">
            <v>995.97899999999981</v>
          </cell>
          <cell r="M14">
            <v>1326</v>
          </cell>
          <cell r="N14">
            <v>1726</v>
          </cell>
          <cell r="O14">
            <v>2038</v>
          </cell>
          <cell r="P14">
            <v>3078</v>
          </cell>
          <cell r="Q14">
            <v>5130</v>
          </cell>
          <cell r="R14">
            <v>6644</v>
          </cell>
        </row>
        <row r="16">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row>
        <row r="17">
          <cell r="D17">
            <v>0</v>
          </cell>
          <cell r="E17">
            <v>0</v>
          </cell>
          <cell r="F17">
            <v>0</v>
          </cell>
          <cell r="G17">
            <v>0</v>
          </cell>
          <cell r="H17">
            <v>0</v>
          </cell>
          <cell r="I17">
            <v>0</v>
          </cell>
          <cell r="J17">
            <v>0</v>
          </cell>
          <cell r="K17">
            <v>0</v>
          </cell>
          <cell r="L17">
            <v>0</v>
          </cell>
          <cell r="M17">
            <v>0</v>
          </cell>
          <cell r="N17">
            <v>90</v>
          </cell>
          <cell r="O17">
            <v>46</v>
          </cell>
          <cell r="P17">
            <v>0</v>
          </cell>
          <cell r="Q17">
            <v>0</v>
          </cell>
          <cell r="R17">
            <v>0</v>
          </cell>
        </row>
        <row r="18">
          <cell r="D18">
            <v>0</v>
          </cell>
          <cell r="E18">
            <v>0</v>
          </cell>
          <cell r="F18">
            <v>0</v>
          </cell>
          <cell r="G18">
            <v>0</v>
          </cell>
          <cell r="H18">
            <v>0</v>
          </cell>
          <cell r="I18">
            <v>0</v>
          </cell>
          <cell r="J18">
            <v>0</v>
          </cell>
          <cell r="K18">
            <v>0</v>
          </cell>
          <cell r="L18">
            <v>0</v>
          </cell>
          <cell r="M18">
            <v>75</v>
          </cell>
          <cell r="N18">
            <v>102</v>
          </cell>
          <cell r="O18">
            <v>191</v>
          </cell>
          <cell r="P18">
            <v>320</v>
          </cell>
          <cell r="Q18">
            <v>443</v>
          </cell>
          <cell r="R18">
            <v>703</v>
          </cell>
        </row>
        <row r="19">
          <cell r="D19">
            <v>0</v>
          </cell>
          <cell r="E19">
            <v>0</v>
          </cell>
          <cell r="F19">
            <v>0</v>
          </cell>
          <cell r="G19">
            <v>0</v>
          </cell>
          <cell r="H19">
            <v>0</v>
          </cell>
          <cell r="I19">
            <v>0</v>
          </cell>
          <cell r="J19">
            <v>0</v>
          </cell>
          <cell r="K19">
            <v>16.463000000000001</v>
          </cell>
          <cell r="L19">
            <v>10.608000000000001</v>
          </cell>
          <cell r="M19">
            <v>0</v>
          </cell>
          <cell r="N19">
            <v>16</v>
          </cell>
          <cell r="O19">
            <v>16</v>
          </cell>
          <cell r="P19">
            <v>19</v>
          </cell>
          <cell r="Q19">
            <v>259</v>
          </cell>
          <cell r="R19">
            <v>230</v>
          </cell>
        </row>
        <row r="20">
          <cell r="D20">
            <v>0</v>
          </cell>
          <cell r="E20">
            <v>0</v>
          </cell>
          <cell r="F20">
            <v>0</v>
          </cell>
          <cell r="G20">
            <v>0</v>
          </cell>
          <cell r="H20">
            <v>0</v>
          </cell>
          <cell r="I20">
            <v>0</v>
          </cell>
          <cell r="J20">
            <v>0</v>
          </cell>
          <cell r="K20">
            <v>0</v>
          </cell>
          <cell r="L20">
            <v>0</v>
          </cell>
          <cell r="M20">
            <v>0</v>
          </cell>
          <cell r="N20">
            <v>0</v>
          </cell>
          <cell r="O20">
            <v>0</v>
          </cell>
          <cell r="P20">
            <v>0</v>
          </cell>
          <cell r="Q20">
            <v>15</v>
          </cell>
          <cell r="R20">
            <v>28</v>
          </cell>
        </row>
        <row r="21">
          <cell r="D21">
            <v>0</v>
          </cell>
          <cell r="E21">
            <v>0</v>
          </cell>
          <cell r="F21">
            <v>0</v>
          </cell>
          <cell r="G21">
            <v>0</v>
          </cell>
          <cell r="H21">
            <v>0</v>
          </cell>
          <cell r="I21">
            <v>0</v>
          </cell>
          <cell r="J21">
            <v>0</v>
          </cell>
          <cell r="K21">
            <v>-37.265000000000001</v>
          </cell>
          <cell r="L21">
            <v>-55.893999999999998</v>
          </cell>
          <cell r="M21">
            <v>0</v>
          </cell>
          <cell r="N21">
            <v>0</v>
          </cell>
          <cell r="O21">
            <v>0</v>
          </cell>
          <cell r="P21">
            <v>0</v>
          </cell>
          <cell r="Q21">
            <v>0</v>
          </cell>
          <cell r="R21">
            <v>0</v>
          </cell>
        </row>
        <row r="22">
          <cell r="D22">
            <v>0</v>
          </cell>
          <cell r="E22">
            <v>0</v>
          </cell>
          <cell r="F22">
            <v>0</v>
          </cell>
          <cell r="G22">
            <v>0</v>
          </cell>
          <cell r="H22">
            <v>0</v>
          </cell>
          <cell r="I22">
            <v>0</v>
          </cell>
          <cell r="J22">
            <v>0</v>
          </cell>
          <cell r="K22">
            <v>207.90100000000001</v>
          </cell>
          <cell r="L22">
            <v>333.20499999999998</v>
          </cell>
          <cell r="M22">
            <v>448</v>
          </cell>
          <cell r="N22">
            <v>576</v>
          </cell>
          <cell r="O22">
            <v>714</v>
          </cell>
          <cell r="P22">
            <v>1184</v>
          </cell>
          <cell r="Q22">
            <v>1860</v>
          </cell>
          <cell r="R22">
            <v>2627</v>
          </cell>
        </row>
        <row r="23">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D24">
            <v>0</v>
          </cell>
          <cell r="E24">
            <v>0</v>
          </cell>
          <cell r="F24">
            <v>0</v>
          </cell>
          <cell r="G24">
            <v>0</v>
          </cell>
          <cell r="H24">
            <v>0</v>
          </cell>
          <cell r="I24">
            <v>0</v>
          </cell>
          <cell r="J24">
            <v>0</v>
          </cell>
          <cell r="K24">
            <v>462.74300000000011</v>
          </cell>
          <cell r="L24">
            <v>708.06</v>
          </cell>
          <cell r="M24">
            <v>953</v>
          </cell>
          <cell r="N24">
            <v>1146</v>
          </cell>
          <cell r="O24">
            <v>1453</v>
          </cell>
          <cell r="P24">
            <v>2195</v>
          </cell>
          <cell r="Q24">
            <v>3439</v>
          </cell>
          <cell r="R24">
            <v>4462</v>
          </cell>
        </row>
        <row r="26">
          <cell r="D26">
            <v>0</v>
          </cell>
          <cell r="E26">
            <v>0</v>
          </cell>
          <cell r="F26">
            <v>0</v>
          </cell>
          <cell r="G26">
            <v>0</v>
          </cell>
          <cell r="H26">
            <v>0</v>
          </cell>
          <cell r="I26">
            <v>0</v>
          </cell>
          <cell r="J26">
            <v>0</v>
          </cell>
          <cell r="K26">
            <v>2063.2800000000002</v>
          </cell>
          <cell r="L26">
            <v>2123.1999999999998</v>
          </cell>
          <cell r="M26">
            <v>2215.64</v>
          </cell>
          <cell r="N26">
            <v>2274.16</v>
          </cell>
          <cell r="O26">
            <v>2328.92</v>
          </cell>
          <cell r="P26">
            <v>2364.92</v>
          </cell>
          <cell r="Q26">
            <v>2624</v>
          </cell>
          <cell r="R26">
            <v>2671.8562874251497</v>
          </cell>
        </row>
        <row r="27">
          <cell r="D27" t="e">
            <v>#DIV/0!</v>
          </cell>
          <cell r="E27" t="e">
            <v>#DIV/0!</v>
          </cell>
          <cell r="F27" t="e">
            <v>#DIV/0!</v>
          </cell>
          <cell r="G27" t="e">
            <v>#DIV/0!</v>
          </cell>
          <cell r="H27" t="e">
            <v>#DIV/0!</v>
          </cell>
          <cell r="I27" t="e">
            <v>#DIV/0!</v>
          </cell>
          <cell r="J27" t="e">
            <v>#DIV/0!</v>
          </cell>
          <cell r="K27">
            <v>0.22427542553603974</v>
          </cell>
          <cell r="L27">
            <v>0.33348718914845515</v>
          </cell>
          <cell r="M27">
            <v>0.43012402736906719</v>
          </cell>
          <cell r="N27">
            <v>0.50392232736482923</v>
          </cell>
          <cell r="O27">
            <v>0.62389433728938737</v>
          </cell>
          <cell r="P27">
            <v>0.92814978942205228</v>
          </cell>
          <cell r="Q27">
            <v>1.3105945121951219</v>
          </cell>
          <cell r="R27">
            <v>1.67</v>
          </cell>
        </row>
        <row r="30">
          <cell r="D30" t="str">
            <v>P-14</v>
          </cell>
          <cell r="E30" t="str">
            <v>P-13</v>
          </cell>
          <cell r="F30" t="str">
            <v>P-12</v>
          </cell>
          <cell r="G30" t="str">
            <v>P-11</v>
          </cell>
          <cell r="H30" t="str">
            <v>P-10</v>
          </cell>
          <cell r="I30" t="str">
            <v>P-9</v>
          </cell>
          <cell r="J30" t="str">
            <v>P-8</v>
          </cell>
          <cell r="K30" t="str">
            <v>P-7</v>
          </cell>
          <cell r="L30" t="str">
            <v>P-6</v>
          </cell>
          <cell r="M30" t="str">
            <v>P-5</v>
          </cell>
          <cell r="N30" t="str">
            <v>P-4</v>
          </cell>
          <cell r="O30" t="str">
            <v>P-3</v>
          </cell>
          <cell r="P30" t="str">
            <v>P-2</v>
          </cell>
          <cell r="Q30" t="str">
            <v>P-1</v>
          </cell>
          <cell r="R30" t="str">
            <v>Present (P)</v>
          </cell>
        </row>
        <row r="31">
          <cell r="D31">
            <v>1984</v>
          </cell>
          <cell r="E31">
            <v>1985</v>
          </cell>
          <cell r="F31">
            <v>1986</v>
          </cell>
          <cell r="G31">
            <v>1987</v>
          </cell>
          <cell r="H31">
            <v>1988</v>
          </cell>
          <cell r="I31">
            <v>1989</v>
          </cell>
          <cell r="J31">
            <v>1990</v>
          </cell>
          <cell r="K31">
            <v>1991</v>
          </cell>
          <cell r="L31">
            <v>1992</v>
          </cell>
          <cell r="M31">
            <v>1993</v>
          </cell>
          <cell r="N31">
            <v>1994</v>
          </cell>
          <cell r="O31">
            <v>1995</v>
          </cell>
          <cell r="P31">
            <v>1996</v>
          </cell>
          <cell r="Q31">
            <v>1997</v>
          </cell>
          <cell r="R31">
            <v>1998</v>
          </cell>
        </row>
        <row r="32">
          <cell r="D32">
            <v>0</v>
          </cell>
          <cell r="E32">
            <v>0</v>
          </cell>
          <cell r="F32">
            <v>0</v>
          </cell>
          <cell r="G32">
            <v>0</v>
          </cell>
          <cell r="H32">
            <v>0</v>
          </cell>
          <cell r="I32">
            <v>0</v>
          </cell>
          <cell r="J32">
            <v>0</v>
          </cell>
          <cell r="K32">
            <v>30.35</v>
          </cell>
          <cell r="L32">
            <v>46.93</v>
          </cell>
          <cell r="M32">
            <v>60</v>
          </cell>
          <cell r="N32">
            <v>67</v>
          </cell>
          <cell r="O32">
            <v>78</v>
          </cell>
          <cell r="P32">
            <v>89</v>
          </cell>
          <cell r="Q32">
            <v>89</v>
          </cell>
          <cell r="R32">
            <v>85</v>
          </cell>
        </row>
        <row r="33">
          <cell r="D33">
            <v>0</v>
          </cell>
          <cell r="E33">
            <v>0</v>
          </cell>
          <cell r="F33">
            <v>0</v>
          </cell>
          <cell r="G33">
            <v>0</v>
          </cell>
          <cell r="H33">
            <v>0</v>
          </cell>
          <cell r="I33">
            <v>0</v>
          </cell>
          <cell r="J33">
            <v>0</v>
          </cell>
          <cell r="K33">
            <v>30.346</v>
          </cell>
          <cell r="L33">
            <v>41.137999999999998</v>
          </cell>
          <cell r="M33">
            <v>52</v>
          </cell>
          <cell r="N33">
            <v>49</v>
          </cell>
          <cell r="O33">
            <v>62.5</v>
          </cell>
          <cell r="P33">
            <v>76</v>
          </cell>
          <cell r="Q33">
            <v>76</v>
          </cell>
          <cell r="R33">
            <v>72</v>
          </cell>
        </row>
        <row r="34">
          <cell r="D34">
            <v>0</v>
          </cell>
          <cell r="E34">
            <v>0</v>
          </cell>
          <cell r="F34">
            <v>0</v>
          </cell>
          <cell r="G34">
            <v>0</v>
          </cell>
          <cell r="H34">
            <v>0</v>
          </cell>
          <cell r="I34">
            <v>0</v>
          </cell>
          <cell r="J34">
            <v>0</v>
          </cell>
          <cell r="K34">
            <v>27.276</v>
          </cell>
          <cell r="L34">
            <v>35.174999999999997</v>
          </cell>
          <cell r="M34">
            <v>37</v>
          </cell>
          <cell r="N34">
            <v>38</v>
          </cell>
          <cell r="O34">
            <v>48</v>
          </cell>
          <cell r="P34">
            <v>58</v>
          </cell>
          <cell r="Q34">
            <v>58</v>
          </cell>
          <cell r="R34">
            <v>52</v>
          </cell>
        </row>
        <row r="35">
          <cell r="D35">
            <v>0</v>
          </cell>
          <cell r="E35">
            <v>0</v>
          </cell>
          <cell r="F35">
            <v>0</v>
          </cell>
          <cell r="G35">
            <v>0</v>
          </cell>
          <cell r="H35">
            <v>0</v>
          </cell>
          <cell r="I35">
            <v>0</v>
          </cell>
          <cell r="J35">
            <v>0</v>
          </cell>
          <cell r="K35">
            <v>22.753</v>
          </cell>
          <cell r="L35">
            <v>28.431999999999999</v>
          </cell>
          <cell r="M35">
            <v>28</v>
          </cell>
          <cell r="N35">
            <v>32</v>
          </cell>
          <cell r="O35">
            <v>30</v>
          </cell>
          <cell r="P35">
            <v>28</v>
          </cell>
          <cell r="Q35">
            <v>28</v>
          </cell>
          <cell r="R35">
            <v>25</v>
          </cell>
        </row>
        <row r="36">
          <cell r="D36">
            <v>0</v>
          </cell>
          <cell r="E36">
            <v>0</v>
          </cell>
          <cell r="F36">
            <v>0</v>
          </cell>
          <cell r="G36">
            <v>0</v>
          </cell>
          <cell r="H36">
            <v>0</v>
          </cell>
          <cell r="I36">
            <v>0</v>
          </cell>
          <cell r="J36">
            <v>0</v>
          </cell>
          <cell r="K36">
            <v>18.087</v>
          </cell>
          <cell r="L36">
            <v>20.033999999999999</v>
          </cell>
          <cell r="M36">
            <v>24</v>
          </cell>
          <cell r="N36">
            <v>24</v>
          </cell>
          <cell r="O36">
            <v>24</v>
          </cell>
          <cell r="P36">
            <v>24</v>
          </cell>
          <cell r="Q36">
            <v>24</v>
          </cell>
          <cell r="R36">
            <v>17</v>
          </cell>
        </row>
        <row r="37">
          <cell r="D37">
            <v>0</v>
          </cell>
          <cell r="E37">
            <v>0</v>
          </cell>
          <cell r="F37">
            <v>0</v>
          </cell>
          <cell r="G37">
            <v>0</v>
          </cell>
          <cell r="H37">
            <v>0</v>
          </cell>
          <cell r="I37">
            <v>0</v>
          </cell>
          <cell r="J37">
            <v>0</v>
          </cell>
          <cell r="K37">
            <v>75.519000000000005</v>
          </cell>
          <cell r="L37">
            <v>70.558999999999997</v>
          </cell>
          <cell r="M37">
            <v>55</v>
          </cell>
          <cell r="N37">
            <v>22</v>
          </cell>
          <cell r="O37">
            <v>20.5</v>
          </cell>
          <cell r="P37">
            <v>19</v>
          </cell>
          <cell r="Q37">
            <v>19</v>
          </cell>
          <cell r="R37">
            <v>17</v>
          </cell>
        </row>
        <row r="40">
          <cell r="D40" t="str">
            <v>P-14</v>
          </cell>
          <cell r="E40" t="str">
            <v>P-13</v>
          </cell>
          <cell r="F40" t="str">
            <v>P-12</v>
          </cell>
          <cell r="G40" t="str">
            <v>P-11</v>
          </cell>
          <cell r="H40" t="str">
            <v>P-10</v>
          </cell>
          <cell r="I40" t="str">
            <v>P-9</v>
          </cell>
          <cell r="J40" t="str">
            <v>P-8</v>
          </cell>
          <cell r="K40" t="str">
            <v>P-7</v>
          </cell>
          <cell r="L40" t="str">
            <v>P-6</v>
          </cell>
          <cell r="M40" t="str">
            <v>P-5</v>
          </cell>
          <cell r="N40" t="str">
            <v>P-4</v>
          </cell>
          <cell r="O40" t="str">
            <v>P-3</v>
          </cell>
          <cell r="P40" t="str">
            <v>P-2</v>
          </cell>
          <cell r="Q40" t="str">
            <v>P-1</v>
          </cell>
          <cell r="R40" t="str">
            <v>Present (P)</v>
          </cell>
        </row>
        <row r="41">
          <cell r="D41">
            <v>1984</v>
          </cell>
          <cell r="E41">
            <v>1985</v>
          </cell>
          <cell r="F41">
            <v>1986</v>
          </cell>
          <cell r="G41">
            <v>1987</v>
          </cell>
          <cell r="H41">
            <v>1988</v>
          </cell>
          <cell r="I41">
            <v>1989</v>
          </cell>
          <cell r="J41">
            <v>1990</v>
          </cell>
          <cell r="K41">
            <v>1991</v>
          </cell>
          <cell r="L41">
            <v>1992</v>
          </cell>
          <cell r="M41">
            <v>1993</v>
          </cell>
          <cell r="N41">
            <v>1994</v>
          </cell>
          <cell r="O41">
            <v>1995</v>
          </cell>
          <cell r="P41">
            <v>1996</v>
          </cell>
          <cell r="Q41">
            <v>1997</v>
          </cell>
          <cell r="R41">
            <v>1998</v>
          </cell>
        </row>
        <row r="42">
          <cell r="D42" t="e">
            <v>#DIV/0!</v>
          </cell>
          <cell r="E42" t="e">
            <v>#DIV/0!</v>
          </cell>
          <cell r="F42" t="e">
            <v>#DIV/0!</v>
          </cell>
          <cell r="G42" t="e">
            <v>#DIV/0!</v>
          </cell>
          <cell r="H42" t="e">
            <v>#DIV/0!</v>
          </cell>
          <cell r="I42" t="e">
            <v>#DIV/0!</v>
          </cell>
          <cell r="J42" t="e">
            <v>#DIV/0!</v>
          </cell>
          <cell r="K42">
            <v>1.6356177281592573E-3</v>
          </cell>
          <cell r="L42">
            <v>4.3676911746402743E-4</v>
          </cell>
          <cell r="M42">
            <v>0</v>
          </cell>
          <cell r="N42">
            <v>0</v>
          </cell>
          <cell r="O42">
            <v>0</v>
          </cell>
          <cell r="P42">
            <v>0</v>
          </cell>
          <cell r="Q42">
            <v>0</v>
          </cell>
          <cell r="R42">
            <v>0</v>
          </cell>
        </row>
        <row r="43">
          <cell r="D43">
            <v>0</v>
          </cell>
          <cell r="E43">
            <v>0</v>
          </cell>
          <cell r="F43">
            <v>0</v>
          </cell>
          <cell r="G43">
            <v>0</v>
          </cell>
          <cell r="H43">
            <v>0</v>
          </cell>
          <cell r="I43">
            <v>0</v>
          </cell>
          <cell r="J43">
            <v>0</v>
          </cell>
          <cell r="K43">
            <v>19.456</v>
          </cell>
          <cell r="L43">
            <v>8.3239999999999998</v>
          </cell>
          <cell r="M43">
            <v>0</v>
          </cell>
          <cell r="N43">
            <v>0</v>
          </cell>
          <cell r="O43">
            <v>0</v>
          </cell>
          <cell r="P43">
            <v>0</v>
          </cell>
          <cell r="Q43">
            <v>0</v>
          </cell>
          <cell r="R43">
            <v>0</v>
          </cell>
        </row>
        <row r="44">
          <cell r="D44" t="e">
            <v>#DIV/0!</v>
          </cell>
          <cell r="E44" t="e">
            <v>#DIV/0!</v>
          </cell>
          <cell r="F44" t="e">
            <v>#DIV/0!</v>
          </cell>
          <cell r="G44" t="e">
            <v>#DIV/0!</v>
          </cell>
          <cell r="H44" t="e">
            <v>#DIV/0!</v>
          </cell>
          <cell r="I44" t="e">
            <v>#DIV/0!</v>
          </cell>
          <cell r="J44" t="e">
            <v>#DIV/0!</v>
          </cell>
          <cell r="K44">
            <v>0.13252952829263989</v>
          </cell>
          <cell r="L44">
            <v>0.12751748602680577</v>
          </cell>
          <cell r="M44">
            <v>0.129165</v>
          </cell>
          <cell r="N44">
            <v>0.12936500000000001</v>
          </cell>
          <cell r="O44">
            <v>0.12174499999999999</v>
          </cell>
          <cell r="P44">
            <v>0.12668499999999999</v>
          </cell>
          <cell r="Q44">
            <v>0.12051815905168733</v>
          </cell>
          <cell r="R44">
            <v>0.12079368108815906</v>
          </cell>
        </row>
        <row r="46">
          <cell r="D46">
            <v>3.9800000000000002E-2</v>
          </cell>
          <cell r="E46">
            <v>3.0800000000000001E-2</v>
          </cell>
          <cell r="F46">
            <v>3.790000000000001E-2</v>
          </cell>
          <cell r="G46">
            <v>4.4600000000000008E-2</v>
          </cell>
          <cell r="H46">
            <v>3.32E-2</v>
          </cell>
          <cell r="I46">
            <v>3.6699999999999997E-2</v>
          </cell>
          <cell r="J46">
            <v>3.8699999999999991E-2</v>
          </cell>
          <cell r="K46">
            <v>4.0999999999999995E-2</v>
          </cell>
          <cell r="L46">
            <v>4.2999999999999997E-2</v>
          </cell>
          <cell r="M46">
            <v>5.1100000000000007E-2</v>
          </cell>
          <cell r="N46">
            <v>6.1099999999999995E-2</v>
          </cell>
          <cell r="O46">
            <v>4.4299999999999999E-2</v>
          </cell>
          <cell r="P46">
            <v>5.3899999999999997E-2</v>
          </cell>
          <cell r="Q46">
            <v>4.7600000000000003E-2</v>
          </cell>
          <cell r="R46">
            <v>4.7600000000000003E-2</v>
          </cell>
        </row>
        <row r="47">
          <cell r="D47">
            <v>0.111</v>
          </cell>
          <cell r="E47">
            <v>0.1244</v>
          </cell>
          <cell r="F47">
            <v>0.10539999999999999</v>
          </cell>
          <cell r="G47">
            <v>7.5899999999999995E-2</v>
          </cell>
          <cell r="H47">
            <v>8.3699999999999997E-2</v>
          </cell>
          <cell r="I47">
            <v>8.8800000000000004E-2</v>
          </cell>
          <cell r="J47">
            <v>8.5000000000000006E-2</v>
          </cell>
          <cell r="K47">
            <v>8.5500000000000007E-2</v>
          </cell>
          <cell r="L47">
            <v>7.8100000000000003E-2</v>
          </cell>
          <cell r="M47">
            <v>7.0400000000000004E-2</v>
          </cell>
          <cell r="N47">
            <v>5.91E-2</v>
          </cell>
          <cell r="O47">
            <v>7.0800000000000002E-2</v>
          </cell>
          <cell r="P47">
            <v>6.4699999999999994E-2</v>
          </cell>
          <cell r="Q47">
            <v>6.6400000000000001E-2</v>
          </cell>
          <cell r="R47">
            <v>6.6400000000000001E-2</v>
          </cell>
          <cell r="S47">
            <v>5.2999999999999999E-2</v>
          </cell>
        </row>
        <row r="48">
          <cell r="D48" t="str">
            <v>BBB</v>
          </cell>
          <cell r="E48" t="str">
            <v>BBB</v>
          </cell>
          <cell r="F48" t="str">
            <v>BBB</v>
          </cell>
          <cell r="G48" t="str">
            <v>BBB</v>
          </cell>
          <cell r="H48" t="str">
            <v>BBB</v>
          </cell>
          <cell r="I48" t="str">
            <v>BBB</v>
          </cell>
          <cell r="J48" t="str">
            <v>BBB</v>
          </cell>
          <cell r="K48" t="str">
            <v>NA</v>
          </cell>
          <cell r="L48" t="str">
            <v>NA</v>
          </cell>
          <cell r="M48" t="str">
            <v>NA</v>
          </cell>
          <cell r="N48" t="str">
            <v>NA</v>
          </cell>
          <cell r="O48" t="str">
            <v>NA</v>
          </cell>
          <cell r="P48" t="str">
            <v>NA</v>
          </cell>
          <cell r="Q48" t="str">
            <v>NA</v>
          </cell>
          <cell r="R48" t="str">
            <v>NA</v>
          </cell>
        </row>
        <row r="49">
          <cell r="D49">
            <v>4.8999999999999998E-3</v>
          </cell>
          <cell r="E49">
            <v>4.8999999999999998E-3</v>
          </cell>
          <cell r="F49">
            <v>4.8999999999999998E-3</v>
          </cell>
          <cell r="G49">
            <v>4.8999999999999998E-3</v>
          </cell>
          <cell r="H49">
            <v>4.8999999999999998E-3</v>
          </cell>
          <cell r="I49">
            <v>4.8999999999999998E-3</v>
          </cell>
          <cell r="J49">
            <v>4.8999999999999998E-3</v>
          </cell>
          <cell r="K49">
            <v>0</v>
          </cell>
          <cell r="L49">
            <v>0</v>
          </cell>
          <cell r="M49">
            <v>0</v>
          </cell>
          <cell r="N49">
            <v>0</v>
          </cell>
          <cell r="O49">
            <v>0</v>
          </cell>
          <cell r="P49">
            <v>0</v>
          </cell>
          <cell r="Q49">
            <v>0</v>
          </cell>
          <cell r="R49">
            <v>0</v>
          </cell>
          <cell r="S49">
            <v>1.04E-2</v>
          </cell>
        </row>
        <row r="50">
          <cell r="D50">
            <v>0</v>
          </cell>
          <cell r="E50">
            <v>0</v>
          </cell>
          <cell r="F50">
            <v>0</v>
          </cell>
          <cell r="G50">
            <v>0</v>
          </cell>
          <cell r="H50">
            <v>0</v>
          </cell>
          <cell r="I50">
            <v>0</v>
          </cell>
          <cell r="J50">
            <v>0</v>
          </cell>
          <cell r="K50">
            <v>0.31000202790153936</v>
          </cell>
          <cell r="L50">
            <v>0.32000019207406377</v>
          </cell>
          <cell r="M50">
            <v>0.31977159172019987</v>
          </cell>
          <cell r="N50">
            <v>0.33449477351916379</v>
          </cell>
          <cell r="O50">
            <v>0.32948777111213662</v>
          </cell>
          <cell r="P50">
            <v>0.35039952648712636</v>
          </cell>
          <cell r="Q50">
            <v>0.35001881821603315</v>
          </cell>
          <cell r="R50">
            <v>0.36911620064633976</v>
          </cell>
        </row>
        <row r="51">
          <cell r="D51">
            <v>1.25</v>
          </cell>
          <cell r="E51">
            <v>1.25</v>
          </cell>
          <cell r="F51">
            <v>1.25</v>
          </cell>
          <cell r="G51">
            <v>1.25</v>
          </cell>
          <cell r="H51">
            <v>1.25</v>
          </cell>
          <cell r="I51">
            <v>1.25</v>
          </cell>
          <cell r="J51">
            <v>1.25</v>
          </cell>
          <cell r="K51">
            <v>1.1499999999999999</v>
          </cell>
          <cell r="L51">
            <v>1.1499999999999999</v>
          </cell>
          <cell r="M51">
            <v>1.1499999999999999</v>
          </cell>
          <cell r="N51">
            <v>1.1499999999999999</v>
          </cell>
          <cell r="O51">
            <v>1.1499999999999999</v>
          </cell>
          <cell r="P51">
            <v>1.1499999999999999</v>
          </cell>
          <cell r="Q51">
            <v>1.1499999999999999</v>
          </cell>
          <cell r="R51">
            <v>1.1499999999999999</v>
          </cell>
        </row>
        <row r="53">
          <cell r="D53">
            <v>0</v>
          </cell>
          <cell r="E53">
            <v>0</v>
          </cell>
          <cell r="F53">
            <v>0</v>
          </cell>
          <cell r="G53">
            <v>0</v>
          </cell>
          <cell r="H53">
            <v>0</v>
          </cell>
          <cell r="I53">
            <v>0</v>
          </cell>
          <cell r="J53">
            <v>0</v>
          </cell>
          <cell r="K53">
            <v>0</v>
          </cell>
          <cell r="L53">
            <v>0</v>
          </cell>
          <cell r="M53">
            <v>0</v>
          </cell>
          <cell r="N53">
            <v>0</v>
          </cell>
          <cell r="O53">
            <v>0</v>
          </cell>
          <cell r="P53">
            <v>0</v>
          </cell>
          <cell r="Q53">
            <v>5.8756322899809199E-3</v>
          </cell>
          <cell r="R53">
            <v>3.7412148258998959E-3</v>
          </cell>
        </row>
        <row r="54">
          <cell r="D54">
            <v>0</v>
          </cell>
          <cell r="E54">
            <v>0</v>
          </cell>
          <cell r="F54">
            <v>0</v>
          </cell>
          <cell r="G54">
            <v>0</v>
          </cell>
          <cell r="H54">
            <v>0</v>
          </cell>
          <cell r="I54">
            <v>0</v>
          </cell>
          <cell r="J54">
            <v>0</v>
          </cell>
          <cell r="K54">
            <v>0</v>
          </cell>
          <cell r="L54">
            <v>0</v>
          </cell>
          <cell r="M54">
            <v>0</v>
          </cell>
          <cell r="N54">
            <v>0</v>
          </cell>
          <cell r="O54">
            <v>0</v>
          </cell>
          <cell r="P54">
            <v>0</v>
          </cell>
          <cell r="Q54">
            <v>1.5306122448979591E-2</v>
          </cell>
          <cell r="R54">
            <v>2.8571428571428571E-2</v>
          </cell>
        </row>
        <row r="55">
          <cell r="D55">
            <v>0</v>
          </cell>
          <cell r="E55">
            <v>0</v>
          </cell>
          <cell r="F55">
            <v>0</v>
          </cell>
          <cell r="G55">
            <v>0</v>
          </cell>
          <cell r="H55">
            <v>0</v>
          </cell>
          <cell r="I55">
            <v>0</v>
          </cell>
          <cell r="J55">
            <v>0</v>
          </cell>
          <cell r="K55">
            <v>0</v>
          </cell>
          <cell r="L55">
            <v>0</v>
          </cell>
          <cell r="M55">
            <v>0</v>
          </cell>
          <cell r="N55">
            <v>0</v>
          </cell>
          <cell r="O55">
            <v>0</v>
          </cell>
          <cell r="P55">
            <v>0</v>
          </cell>
          <cell r="Q55">
            <v>15</v>
          </cell>
          <cell r="R55">
            <v>28</v>
          </cell>
        </row>
        <row r="56">
          <cell r="D56">
            <v>0</v>
          </cell>
          <cell r="E56">
            <v>0</v>
          </cell>
          <cell r="F56">
            <v>0</v>
          </cell>
          <cell r="G56">
            <v>0</v>
          </cell>
          <cell r="H56">
            <v>0</v>
          </cell>
          <cell r="I56">
            <v>0</v>
          </cell>
          <cell r="J56">
            <v>0</v>
          </cell>
          <cell r="K56">
            <v>0</v>
          </cell>
          <cell r="L56">
            <v>0</v>
          </cell>
          <cell r="M56">
            <v>0</v>
          </cell>
          <cell r="N56">
            <v>0</v>
          </cell>
          <cell r="O56">
            <v>0</v>
          </cell>
          <cell r="P56">
            <v>0</v>
          </cell>
          <cell r="Q56">
            <v>980</v>
          </cell>
          <cell r="R56">
            <v>980</v>
          </cell>
        </row>
        <row r="58">
          <cell r="D58">
            <v>0</v>
          </cell>
          <cell r="E58">
            <v>0</v>
          </cell>
          <cell r="F58">
            <v>0</v>
          </cell>
          <cell r="G58">
            <v>0</v>
          </cell>
          <cell r="H58">
            <v>0</v>
          </cell>
          <cell r="I58">
            <v>0</v>
          </cell>
          <cell r="J58">
            <v>0</v>
          </cell>
          <cell r="K58">
            <v>6.53</v>
          </cell>
          <cell r="L58">
            <v>11.1</v>
          </cell>
          <cell r="M58">
            <v>12.25</v>
          </cell>
          <cell r="N58">
            <v>13.66</v>
          </cell>
          <cell r="O58">
            <v>23.09</v>
          </cell>
          <cell r="P58">
            <v>31.47</v>
          </cell>
          <cell r="Q58">
            <v>67.47</v>
          </cell>
          <cell r="R58">
            <v>108.5625</v>
          </cell>
        </row>
        <row r="59">
          <cell r="D59">
            <v>0</v>
          </cell>
          <cell r="E59">
            <v>0</v>
          </cell>
          <cell r="F59">
            <v>0</v>
          </cell>
          <cell r="G59">
            <v>0</v>
          </cell>
          <cell r="H59">
            <v>0</v>
          </cell>
          <cell r="I59">
            <v>0</v>
          </cell>
          <cell r="J59">
            <v>0</v>
          </cell>
          <cell r="K59">
            <v>2.82</v>
          </cell>
          <cell r="L59">
            <v>5.04</v>
          </cell>
          <cell r="M59">
            <v>8.19</v>
          </cell>
          <cell r="N59">
            <v>8.8000000000000007</v>
          </cell>
          <cell r="O59">
            <v>11.72</v>
          </cell>
          <cell r="P59">
            <v>19.97</v>
          </cell>
          <cell r="Q59">
            <v>26.88</v>
          </cell>
          <cell r="R59">
            <v>59</v>
          </cell>
        </row>
        <row r="60">
          <cell r="D60">
            <v>0</v>
          </cell>
          <cell r="E60">
            <v>0</v>
          </cell>
          <cell r="F60">
            <v>0</v>
          </cell>
          <cell r="G60">
            <v>0</v>
          </cell>
          <cell r="H60">
            <v>0</v>
          </cell>
          <cell r="I60">
            <v>0</v>
          </cell>
          <cell r="J60">
            <v>0</v>
          </cell>
          <cell r="K60">
            <v>5.68</v>
          </cell>
          <cell r="L60">
            <v>8.75</v>
          </cell>
          <cell r="M60">
            <v>11</v>
          </cell>
          <cell r="N60">
            <v>12.91</v>
          </cell>
          <cell r="O60">
            <v>22.59</v>
          </cell>
          <cell r="P60">
            <v>30.03</v>
          </cell>
          <cell r="Q60">
            <v>63.19</v>
          </cell>
          <cell r="R60">
            <v>108.375</v>
          </cell>
        </row>
        <row r="62">
          <cell r="S62">
            <v>0</v>
          </cell>
        </row>
      </sheetData>
      <sheetData sheetId="6" refreshError="1">
        <row r="7">
          <cell r="U7" t="e">
            <v>#DIV/0!</v>
          </cell>
        </row>
        <row r="8">
          <cell r="U8" t="e">
            <v>#DIV/0!</v>
          </cell>
        </row>
        <row r="9">
          <cell r="D9">
            <v>5.9000000000000004E-2</v>
          </cell>
          <cell r="U9" t="e">
            <v>#DIV/0!</v>
          </cell>
        </row>
        <row r="10">
          <cell r="U10" t="e">
            <v>#DIV/0!</v>
          </cell>
        </row>
        <row r="11">
          <cell r="U11" t="e">
            <v>#DIV/0!</v>
          </cell>
        </row>
        <row r="12">
          <cell r="U12" t="e">
            <v>#DIV/0!</v>
          </cell>
        </row>
        <row r="14">
          <cell r="U14">
            <v>5.8994826614418384E-2</v>
          </cell>
        </row>
        <row r="15">
          <cell r="U15">
            <v>5.3107984999015617E-2</v>
          </cell>
        </row>
        <row r="16">
          <cell r="U16" t="e">
            <v>#DIV/0!</v>
          </cell>
        </row>
        <row r="27">
          <cell r="C27">
            <v>13.66</v>
          </cell>
          <cell r="D27">
            <v>23.09</v>
          </cell>
          <cell r="E27">
            <v>31.47</v>
          </cell>
          <cell r="F27">
            <v>67.47</v>
          </cell>
          <cell r="G27">
            <v>108.5625</v>
          </cell>
          <cell r="H27">
            <v>105.4375</v>
          </cell>
          <cell r="I27">
            <v>105.4375</v>
          </cell>
        </row>
        <row r="28">
          <cell r="C28">
            <v>8.8000000000000007</v>
          </cell>
          <cell r="D28">
            <v>11.72</v>
          </cell>
          <cell r="E28">
            <v>19.97</v>
          </cell>
          <cell r="F28">
            <v>26.88</v>
          </cell>
          <cell r="G28">
            <v>59</v>
          </cell>
        </row>
      </sheetData>
      <sheetData sheetId="7" refreshError="1">
        <row r="1">
          <cell r="P1" t="str">
            <v>Invested Capital</v>
          </cell>
        </row>
        <row r="2">
          <cell r="C2" t="str">
            <v>P-14</v>
          </cell>
          <cell r="D2" t="str">
            <v>P-13</v>
          </cell>
          <cell r="E2" t="str">
            <v>P-12</v>
          </cell>
          <cell r="F2" t="str">
            <v>P-11</v>
          </cell>
          <cell r="G2" t="str">
            <v>P-10</v>
          </cell>
          <cell r="H2" t="str">
            <v>P-9</v>
          </cell>
          <cell r="I2" t="str">
            <v>P-8</v>
          </cell>
          <cell r="J2" t="str">
            <v>P-7</v>
          </cell>
          <cell r="K2" t="str">
            <v>P-6</v>
          </cell>
          <cell r="L2" t="str">
            <v>P-5</v>
          </cell>
          <cell r="M2" t="str">
            <v>P-4</v>
          </cell>
          <cell r="N2" t="str">
            <v>P-3</v>
          </cell>
        </row>
        <row r="3">
          <cell r="C3">
            <v>1984</v>
          </cell>
          <cell r="D3">
            <v>1985</v>
          </cell>
          <cell r="E3">
            <v>1986</v>
          </cell>
          <cell r="F3">
            <v>1987</v>
          </cell>
          <cell r="G3">
            <v>1988</v>
          </cell>
          <cell r="H3">
            <v>1989</v>
          </cell>
          <cell r="I3">
            <v>1990</v>
          </cell>
          <cell r="J3">
            <v>1991</v>
          </cell>
          <cell r="K3">
            <v>1992</v>
          </cell>
          <cell r="L3">
            <v>1993</v>
          </cell>
          <cell r="M3">
            <v>1994</v>
          </cell>
          <cell r="N3">
            <v>1995</v>
          </cell>
        </row>
        <row r="4">
          <cell r="C4">
            <v>0</v>
          </cell>
          <cell r="D4">
            <v>0</v>
          </cell>
          <cell r="E4">
            <v>0</v>
          </cell>
          <cell r="F4">
            <v>0</v>
          </cell>
          <cell r="G4">
            <v>0</v>
          </cell>
          <cell r="H4">
            <v>0</v>
          </cell>
          <cell r="I4">
            <v>0</v>
          </cell>
          <cell r="J4">
            <v>686.31399999999996</v>
          </cell>
          <cell r="K4">
            <v>1344.9010000000001</v>
          </cell>
          <cell r="L4">
            <v>2290</v>
          </cell>
          <cell r="M4">
            <v>3614</v>
          </cell>
          <cell r="N4">
            <v>4750</v>
          </cell>
          <cell r="O4">
            <v>6940</v>
          </cell>
          <cell r="P4">
            <v>8966</v>
          </cell>
          <cell r="Q4">
            <v>13927</v>
          </cell>
        </row>
        <row r="5">
          <cell r="C5">
            <v>0</v>
          </cell>
          <cell r="D5">
            <v>0</v>
          </cell>
          <cell r="E5">
            <v>0</v>
          </cell>
          <cell r="F5">
            <v>0</v>
          </cell>
          <cell r="G5">
            <v>0</v>
          </cell>
          <cell r="H5">
            <v>0</v>
          </cell>
          <cell r="I5">
            <v>0</v>
          </cell>
          <cell r="J5">
            <v>612.57672000000002</v>
          </cell>
          <cell r="K5">
            <v>1234.5520000000001</v>
          </cell>
          <cell r="L5">
            <v>2139.88</v>
          </cell>
          <cell r="M5">
            <v>3428.04</v>
          </cell>
          <cell r="N5">
            <v>4512.5200000000004</v>
          </cell>
        </row>
        <row r="6">
          <cell r="C6">
            <v>0</v>
          </cell>
          <cell r="D6">
            <v>0</v>
          </cell>
          <cell r="E6">
            <v>0</v>
          </cell>
          <cell r="F6">
            <v>0</v>
          </cell>
          <cell r="G6">
            <v>0</v>
          </cell>
          <cell r="H6">
            <v>0</v>
          </cell>
          <cell r="I6">
            <v>0</v>
          </cell>
          <cell r="J6">
            <v>73.737279999999998</v>
          </cell>
          <cell r="K6">
            <v>110.349</v>
          </cell>
          <cell r="L6">
            <v>150.12</v>
          </cell>
          <cell r="M6">
            <v>185.96</v>
          </cell>
          <cell r="N6">
            <v>237.48000000000002</v>
          </cell>
          <cell r="O6">
            <v>346.84000000000003</v>
          </cell>
          <cell r="P6">
            <v>454.32</v>
          </cell>
          <cell r="Q6">
            <v>579.36</v>
          </cell>
        </row>
        <row r="7">
          <cell r="C7">
            <v>0</v>
          </cell>
          <cell r="D7">
            <v>0</v>
          </cell>
          <cell r="E7">
            <v>0</v>
          </cell>
          <cell r="F7">
            <v>0</v>
          </cell>
          <cell r="G7">
            <v>0</v>
          </cell>
          <cell r="H7">
            <v>0</v>
          </cell>
          <cell r="I7">
            <v>0</v>
          </cell>
          <cell r="J7">
            <v>243.304</v>
          </cell>
          <cell r="K7">
            <v>270.21499999999997</v>
          </cell>
          <cell r="L7">
            <v>338</v>
          </cell>
          <cell r="M7">
            <v>475</v>
          </cell>
          <cell r="N7">
            <v>581</v>
          </cell>
          <cell r="O7">
            <v>639</v>
          </cell>
          <cell r="P7">
            <v>980</v>
          </cell>
          <cell r="Q7">
            <v>1460</v>
          </cell>
        </row>
        <row r="8">
          <cell r="C8">
            <v>0</v>
          </cell>
          <cell r="D8">
            <v>0</v>
          </cell>
          <cell r="E8">
            <v>0</v>
          </cell>
          <cell r="F8">
            <v>0</v>
          </cell>
          <cell r="G8">
            <v>0</v>
          </cell>
          <cell r="H8">
            <v>0</v>
          </cell>
          <cell r="I8">
            <v>0</v>
          </cell>
          <cell r="J8">
            <v>47.106000000000002</v>
          </cell>
          <cell r="K8">
            <v>85.873000000000005</v>
          </cell>
          <cell r="L8">
            <v>127</v>
          </cell>
          <cell r="M8">
            <v>102</v>
          </cell>
          <cell r="N8">
            <v>88</v>
          </cell>
          <cell r="O8">
            <v>0</v>
          </cell>
          <cell r="P8">
            <v>0</v>
          </cell>
          <cell r="Q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51.779000000000003</v>
          </cell>
          <cell r="K12">
            <v>68.715000000000003</v>
          </cell>
          <cell r="L12">
            <v>95</v>
          </cell>
          <cell r="M12">
            <v>121</v>
          </cell>
          <cell r="N12">
            <v>201</v>
          </cell>
          <cell r="O12">
            <v>260</v>
          </cell>
          <cell r="P12">
            <v>427</v>
          </cell>
          <cell r="Q12">
            <v>502</v>
          </cell>
        </row>
        <row r="13">
          <cell r="C13">
            <v>0</v>
          </cell>
          <cell r="D13">
            <v>0</v>
          </cell>
          <cell r="E13">
            <v>0</v>
          </cell>
          <cell r="F13">
            <v>0</v>
          </cell>
          <cell r="G13">
            <v>0</v>
          </cell>
          <cell r="H13">
            <v>0</v>
          </cell>
          <cell r="I13">
            <v>0</v>
          </cell>
          <cell r="J13">
            <v>0</v>
          </cell>
          <cell r="K13">
            <v>0</v>
          </cell>
          <cell r="L13">
            <v>0</v>
          </cell>
          <cell r="M13">
            <v>0</v>
          </cell>
          <cell r="N13">
            <v>0</v>
          </cell>
          <cell r="R13">
            <v>0</v>
          </cell>
          <cell r="S13">
            <v>0</v>
          </cell>
          <cell r="T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0</v>
          </cell>
          <cell r="E15">
            <v>0</v>
          </cell>
          <cell r="F15">
            <v>0</v>
          </cell>
          <cell r="G15">
            <v>0</v>
          </cell>
          <cell r="H15">
            <v>0</v>
          </cell>
          <cell r="I15">
            <v>0</v>
          </cell>
          <cell r="J15">
            <v>415.92628000000002</v>
          </cell>
          <cell r="K15">
            <v>535.15199999999993</v>
          </cell>
          <cell r="L15">
            <v>710.12</v>
          </cell>
          <cell r="M15">
            <v>883.96</v>
          </cell>
          <cell r="N15">
            <v>1107.48</v>
          </cell>
          <cell r="O15">
            <v>1245.8400000000001</v>
          </cell>
          <cell r="P15">
            <v>1861.32</v>
          </cell>
          <cell r="Q15">
            <v>2541.36</v>
          </cell>
        </row>
        <row r="17">
          <cell r="C17">
            <v>0</v>
          </cell>
          <cell r="D17">
            <v>0</v>
          </cell>
          <cell r="E17">
            <v>0</v>
          </cell>
          <cell r="F17">
            <v>0</v>
          </cell>
          <cell r="G17">
            <v>0</v>
          </cell>
          <cell r="H17">
            <v>0</v>
          </cell>
          <cell r="I17">
            <v>0</v>
          </cell>
          <cell r="J17">
            <v>85.923000000000002</v>
          </cell>
          <cell r="K17">
            <v>187.51900000000001</v>
          </cell>
          <cell r="L17">
            <v>239</v>
          </cell>
          <cell r="M17">
            <v>324</v>
          </cell>
          <cell r="N17">
            <v>563</v>
          </cell>
          <cell r="O17">
            <v>808</v>
          </cell>
          <cell r="P17">
            <v>721</v>
          </cell>
          <cell r="Q17">
            <v>759</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0</v>
          </cell>
          <cell r="D19">
            <v>0</v>
          </cell>
          <cell r="E19">
            <v>0</v>
          </cell>
          <cell r="F19">
            <v>0</v>
          </cell>
          <cell r="G19">
            <v>0</v>
          </cell>
          <cell r="H19">
            <v>0</v>
          </cell>
          <cell r="I19">
            <v>0</v>
          </cell>
          <cell r="J19">
            <v>25.68</v>
          </cell>
          <cell r="K19">
            <v>14.217000000000001</v>
          </cell>
          <cell r="L19">
            <v>0</v>
          </cell>
          <cell r="M19">
            <v>0</v>
          </cell>
          <cell r="N19">
            <v>0</v>
          </cell>
          <cell r="O19">
            <v>0</v>
          </cell>
          <cell r="P19">
            <v>0</v>
          </cell>
          <cell r="Q19">
            <v>0</v>
          </cell>
        </row>
        <row r="20">
          <cell r="C20">
            <v>0</v>
          </cell>
          <cell r="D20">
            <v>0</v>
          </cell>
          <cell r="E20">
            <v>0</v>
          </cell>
          <cell r="F20">
            <v>0</v>
          </cell>
          <cell r="G20">
            <v>0</v>
          </cell>
          <cell r="H20">
            <v>0</v>
          </cell>
          <cell r="I20">
            <v>0</v>
          </cell>
          <cell r="J20">
            <v>41.643000000000001</v>
          </cell>
          <cell r="K20">
            <v>62.082999999999998</v>
          </cell>
          <cell r="L20">
            <v>86</v>
          </cell>
          <cell r="M20">
            <v>96</v>
          </cell>
          <cell r="N20">
            <v>130</v>
          </cell>
          <cell r="O20">
            <v>202</v>
          </cell>
          <cell r="P20">
            <v>336</v>
          </cell>
          <cell r="Q20">
            <v>359</v>
          </cell>
        </row>
        <row r="21">
          <cell r="C21">
            <v>0</v>
          </cell>
          <cell r="D21">
            <v>0</v>
          </cell>
          <cell r="E21">
            <v>0</v>
          </cell>
          <cell r="F21">
            <v>0</v>
          </cell>
          <cell r="G21">
            <v>0</v>
          </cell>
          <cell r="H21">
            <v>0</v>
          </cell>
          <cell r="I21">
            <v>0</v>
          </cell>
          <cell r="J21">
            <v>44.445</v>
          </cell>
          <cell r="K21">
            <v>73.033000000000001</v>
          </cell>
          <cell r="L21">
            <v>127</v>
          </cell>
          <cell r="M21">
            <v>305</v>
          </cell>
          <cell r="N21">
            <v>410</v>
          </cell>
          <cell r="O21">
            <v>484</v>
          </cell>
          <cell r="P21">
            <v>466</v>
          </cell>
          <cell r="Q21">
            <v>915</v>
          </cell>
        </row>
        <row r="22">
          <cell r="C22">
            <v>0</v>
          </cell>
          <cell r="D22">
            <v>0</v>
          </cell>
          <cell r="E22">
            <v>0</v>
          </cell>
          <cell r="F22">
            <v>0</v>
          </cell>
          <cell r="G22">
            <v>0</v>
          </cell>
          <cell r="H22">
            <v>0</v>
          </cell>
          <cell r="I22">
            <v>0</v>
          </cell>
          <cell r="J22">
            <v>76.206000000000003</v>
          </cell>
          <cell r="K22">
            <v>101.76900000000001</v>
          </cell>
          <cell r="L22">
            <v>111</v>
          </cell>
          <cell r="M22">
            <v>188</v>
          </cell>
          <cell r="N22">
            <v>244</v>
          </cell>
          <cell r="O22">
            <v>371</v>
          </cell>
          <cell r="P22">
            <v>669</v>
          </cell>
          <cell r="Q22">
            <v>809</v>
          </cell>
        </row>
        <row r="23">
          <cell r="C23">
            <v>0</v>
          </cell>
          <cell r="D23">
            <v>0</v>
          </cell>
          <cell r="E23">
            <v>0</v>
          </cell>
          <cell r="F23">
            <v>0</v>
          </cell>
          <cell r="G23">
            <v>0</v>
          </cell>
          <cell r="H23">
            <v>0</v>
          </cell>
          <cell r="I23">
            <v>0</v>
          </cell>
          <cell r="J23">
            <v>0</v>
          </cell>
          <cell r="K23">
            <v>0</v>
          </cell>
          <cell r="L23">
            <v>0</v>
          </cell>
          <cell r="M23">
            <v>0</v>
          </cell>
          <cell r="N23">
            <v>0</v>
          </cell>
          <cell r="O23">
            <v>560</v>
          </cell>
          <cell r="P23">
            <v>1418</v>
          </cell>
          <cell r="Q23">
            <v>2888</v>
          </cell>
        </row>
        <row r="24">
          <cell r="C24">
            <v>0</v>
          </cell>
          <cell r="D24">
            <v>0</v>
          </cell>
          <cell r="E24">
            <v>0</v>
          </cell>
          <cell r="F24">
            <v>0</v>
          </cell>
          <cell r="G24">
            <v>0</v>
          </cell>
          <cell r="H24">
            <v>0</v>
          </cell>
          <cell r="I24">
            <v>0</v>
          </cell>
          <cell r="J24">
            <v>273.89699999999999</v>
          </cell>
          <cell r="K24">
            <v>438.62100000000004</v>
          </cell>
          <cell r="L24">
            <v>563</v>
          </cell>
          <cell r="M24">
            <v>913</v>
          </cell>
          <cell r="N24">
            <v>1347</v>
          </cell>
          <cell r="O24">
            <v>2425</v>
          </cell>
          <cell r="P24">
            <v>3610</v>
          </cell>
          <cell r="Q24">
            <v>5730</v>
          </cell>
        </row>
        <row r="26">
          <cell r="C26">
            <v>0</v>
          </cell>
          <cell r="D26">
            <v>0</v>
          </cell>
          <cell r="E26">
            <v>0</v>
          </cell>
          <cell r="F26">
            <v>0</v>
          </cell>
          <cell r="G26">
            <v>0</v>
          </cell>
          <cell r="H26">
            <v>0</v>
          </cell>
          <cell r="I26">
            <v>0</v>
          </cell>
          <cell r="J26">
            <v>142.02928000000003</v>
          </cell>
          <cell r="K26">
            <v>96.530999999999892</v>
          </cell>
          <cell r="L26">
            <v>147.12</v>
          </cell>
          <cell r="M26">
            <v>-29.039999999999964</v>
          </cell>
          <cell r="N26">
            <v>-239.51999999999998</v>
          </cell>
        </row>
        <row r="28">
          <cell r="C28">
            <v>0</v>
          </cell>
          <cell r="D28">
            <v>0</v>
          </cell>
          <cell r="E28">
            <v>0</v>
          </cell>
          <cell r="F28">
            <v>0</v>
          </cell>
          <cell r="G28">
            <v>0</v>
          </cell>
          <cell r="H28">
            <v>0</v>
          </cell>
          <cell r="I28">
            <v>0</v>
          </cell>
          <cell r="J28">
            <v>235.386</v>
          </cell>
          <cell r="K28">
            <v>352.15300000000002</v>
          </cell>
          <cell r="L28">
            <v>470</v>
          </cell>
          <cell r="M28">
            <v>610</v>
          </cell>
          <cell r="N28">
            <v>860</v>
          </cell>
          <cell r="R28">
            <v>2937.9</v>
          </cell>
          <cell r="S28">
            <v>3628.3065000000001</v>
          </cell>
          <cell r="T28">
            <v>4480.9585275000009</v>
          </cell>
        </row>
        <row r="29">
          <cell r="C29">
            <v>0</v>
          </cell>
          <cell r="D29">
            <v>0</v>
          </cell>
          <cell r="E29">
            <v>0</v>
          </cell>
          <cell r="F29">
            <v>0</v>
          </cell>
          <cell r="G29">
            <v>0</v>
          </cell>
          <cell r="H29">
            <v>0</v>
          </cell>
          <cell r="I29">
            <v>0</v>
          </cell>
          <cell r="J29">
            <v>0</v>
          </cell>
          <cell r="K29">
            <v>78.462000000000003</v>
          </cell>
          <cell r="L29">
            <v>117.38433333333334</v>
          </cell>
          <cell r="M29">
            <v>156.66666666666666</v>
          </cell>
          <cell r="N29">
            <v>203.33333333333334</v>
          </cell>
          <cell r="O29">
            <v>286.66666666666669</v>
          </cell>
          <cell r="P29">
            <v>477.33333333333331</v>
          </cell>
          <cell r="Q29">
            <v>641.66666666666663</v>
          </cell>
          <cell r="R29">
            <v>932.66666666666663</v>
          </cell>
          <cell r="S29">
            <v>979.30000000000007</v>
          </cell>
          <cell r="T29">
            <v>1209.4355</v>
          </cell>
        </row>
        <row r="30">
          <cell r="C30">
            <v>0</v>
          </cell>
          <cell r="D30">
            <v>0</v>
          </cell>
          <cell r="E30">
            <v>0</v>
          </cell>
          <cell r="F30">
            <v>0</v>
          </cell>
          <cell r="G30">
            <v>0</v>
          </cell>
          <cell r="H30">
            <v>0</v>
          </cell>
          <cell r="I30">
            <v>0</v>
          </cell>
          <cell r="J30">
            <v>235.386</v>
          </cell>
          <cell r="K30">
            <v>587.53899999999999</v>
          </cell>
          <cell r="L30">
            <v>979.077</v>
          </cell>
          <cell r="M30">
            <v>1393.2306666666666</v>
          </cell>
          <cell r="N30">
            <v>1900.7176666666667</v>
          </cell>
          <cell r="R30">
            <v>7496.5666666666657</v>
          </cell>
          <cell r="S30">
            <v>9073.2065000000002</v>
          </cell>
          <cell r="T30">
            <v>11000.531694166668</v>
          </cell>
        </row>
        <row r="31">
          <cell r="C31">
            <v>0</v>
          </cell>
          <cell r="D31">
            <v>0</v>
          </cell>
          <cell r="E31">
            <v>0</v>
          </cell>
          <cell r="F31">
            <v>0</v>
          </cell>
          <cell r="G31">
            <v>0</v>
          </cell>
          <cell r="H31">
            <v>0</v>
          </cell>
          <cell r="I31">
            <v>0</v>
          </cell>
          <cell r="J31">
            <v>0</v>
          </cell>
          <cell r="K31">
            <v>78.462000000000003</v>
          </cell>
          <cell r="L31">
            <v>195.84633333333335</v>
          </cell>
          <cell r="M31">
            <v>352.51299999999998</v>
          </cell>
          <cell r="N31">
            <v>477.38433333333336</v>
          </cell>
          <cell r="R31">
            <v>2051.6666666666665</v>
          </cell>
          <cell r="S31">
            <v>2553.6333333333332</v>
          </cell>
          <cell r="T31">
            <v>3121.4021666666667</v>
          </cell>
        </row>
        <row r="32">
          <cell r="C32">
            <v>0</v>
          </cell>
          <cell r="D32">
            <v>0</v>
          </cell>
          <cell r="E32">
            <v>0</v>
          </cell>
          <cell r="F32">
            <v>0</v>
          </cell>
          <cell r="G32">
            <v>0</v>
          </cell>
          <cell r="H32">
            <v>0</v>
          </cell>
          <cell r="I32">
            <v>0</v>
          </cell>
          <cell r="J32">
            <v>235.386</v>
          </cell>
          <cell r="K32">
            <v>509.077</v>
          </cell>
          <cell r="L32">
            <v>783.23066666666659</v>
          </cell>
          <cell r="M32">
            <v>1040.7176666666667</v>
          </cell>
          <cell r="N32">
            <v>1423.3333333333333</v>
          </cell>
          <cell r="O32">
            <v>2208.6666666666665</v>
          </cell>
          <cell r="P32">
            <v>3166.3333333333326</v>
          </cell>
          <cell r="Q32">
            <v>4558.6666666666652</v>
          </cell>
          <cell r="R32">
            <v>5444.9</v>
          </cell>
          <cell r="S32">
            <v>6519.573166666667</v>
          </cell>
          <cell r="T32">
            <v>7879.1295275000011</v>
          </cell>
        </row>
        <row r="33">
          <cell r="C33">
            <v>0</v>
          </cell>
          <cell r="D33">
            <v>0</v>
          </cell>
          <cell r="E33">
            <v>0</v>
          </cell>
          <cell r="F33">
            <v>0</v>
          </cell>
          <cell r="G33">
            <v>0</v>
          </cell>
          <cell r="H33">
            <v>0</v>
          </cell>
          <cell r="I33">
            <v>0</v>
          </cell>
          <cell r="J33">
            <v>530.19100000000003</v>
          </cell>
          <cell r="K33">
            <v>766.63</v>
          </cell>
          <cell r="L33">
            <v>867</v>
          </cell>
          <cell r="M33">
            <v>930</v>
          </cell>
          <cell r="N33">
            <v>1192</v>
          </cell>
          <cell r="O33">
            <v>1326</v>
          </cell>
          <cell r="P33">
            <v>1465</v>
          </cell>
          <cell r="Q33">
            <v>1505</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85.49</v>
          </cell>
          <cell r="K41">
            <v>103.569</v>
          </cell>
          <cell r="L41">
            <v>88</v>
          </cell>
          <cell r="M41">
            <v>121</v>
          </cell>
          <cell r="N41">
            <v>398</v>
          </cell>
          <cell r="O41">
            <v>928</v>
          </cell>
          <cell r="P41">
            <v>203</v>
          </cell>
          <cell r="Q41">
            <v>260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t="e">
            <v>#VALUE!</v>
          </cell>
          <cell r="D43">
            <v>0</v>
          </cell>
          <cell r="E43">
            <v>0</v>
          </cell>
          <cell r="F43">
            <v>0</v>
          </cell>
          <cell r="G43">
            <v>0</v>
          </cell>
          <cell r="H43">
            <v>0</v>
          </cell>
          <cell r="I43">
            <v>0</v>
          </cell>
          <cell r="J43">
            <v>851.06700000000001</v>
          </cell>
          <cell r="K43">
            <v>1379.2759999999998</v>
          </cell>
          <cell r="L43">
            <v>1738.2306666666666</v>
          </cell>
          <cell r="M43">
            <v>2091.7176666666664</v>
          </cell>
          <cell r="N43">
            <v>3013.333333333333</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row>
        <row r="50">
          <cell r="C50" t="e">
            <v>#VALUE!</v>
          </cell>
          <cell r="D50">
            <v>0</v>
          </cell>
          <cell r="E50">
            <v>0</v>
          </cell>
          <cell r="F50">
            <v>0</v>
          </cell>
          <cell r="G50">
            <v>0</v>
          </cell>
          <cell r="H50">
            <v>0</v>
          </cell>
          <cell r="I50">
            <v>0</v>
          </cell>
          <cell r="J50">
            <v>993.09627999999998</v>
          </cell>
          <cell r="K50">
            <v>1475.8069999999998</v>
          </cell>
          <cell r="L50">
            <v>1885.3506666666667</v>
          </cell>
          <cell r="M50">
            <v>2062.6776666666665</v>
          </cell>
          <cell r="N50">
            <v>2773.813333333333</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19.456</v>
          </cell>
          <cell r="K54">
            <v>8.3239999999999998</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19.456</v>
          </cell>
          <cell r="K61">
            <v>8.3239999999999998</v>
          </cell>
          <cell r="L61">
            <v>0</v>
          </cell>
          <cell r="M61">
            <v>0</v>
          </cell>
          <cell r="N61">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row>
        <row r="65">
          <cell r="C65">
            <v>0</v>
          </cell>
          <cell r="D65">
            <v>0</v>
          </cell>
          <cell r="E65">
            <v>0</v>
          </cell>
          <cell r="F65">
            <v>0</v>
          </cell>
          <cell r="G65">
            <v>0</v>
          </cell>
          <cell r="H65">
            <v>0</v>
          </cell>
          <cell r="I65">
            <v>0</v>
          </cell>
          <cell r="J65">
            <v>0</v>
          </cell>
          <cell r="K65">
            <v>0</v>
          </cell>
          <cell r="L65">
            <v>0</v>
          </cell>
          <cell r="M65">
            <v>0</v>
          </cell>
          <cell r="N65">
            <v>0</v>
          </cell>
        </row>
        <row r="66">
          <cell r="C66">
            <v>0</v>
          </cell>
          <cell r="D66">
            <v>0</v>
          </cell>
          <cell r="E66">
            <v>0</v>
          </cell>
          <cell r="F66">
            <v>0</v>
          </cell>
          <cell r="G66">
            <v>0</v>
          </cell>
          <cell r="H66">
            <v>0</v>
          </cell>
          <cell r="I66">
            <v>0</v>
          </cell>
          <cell r="J66">
            <v>0</v>
          </cell>
          <cell r="K66">
            <v>0</v>
          </cell>
          <cell r="L66">
            <v>0</v>
          </cell>
          <cell r="M66">
            <v>0</v>
          </cell>
          <cell r="N66">
            <v>0</v>
          </cell>
        </row>
        <row r="67">
          <cell r="C67">
            <v>0</v>
          </cell>
          <cell r="D67">
            <v>0</v>
          </cell>
          <cell r="E67">
            <v>0</v>
          </cell>
          <cell r="F67">
            <v>0</v>
          </cell>
          <cell r="G67">
            <v>0</v>
          </cell>
          <cell r="H67">
            <v>0</v>
          </cell>
          <cell r="I67">
            <v>0</v>
          </cell>
          <cell r="J67">
            <v>235.386</v>
          </cell>
          <cell r="K67">
            <v>509.077</v>
          </cell>
          <cell r="L67">
            <v>783.23066666666659</v>
          </cell>
          <cell r="M67">
            <v>1040.7176666666667</v>
          </cell>
          <cell r="N67">
            <v>1423.3333333333333</v>
          </cell>
        </row>
        <row r="68">
          <cell r="C68">
            <v>0</v>
          </cell>
          <cell r="D68">
            <v>0</v>
          </cell>
          <cell r="E68">
            <v>0</v>
          </cell>
          <cell r="F68">
            <v>0</v>
          </cell>
          <cell r="G68">
            <v>0</v>
          </cell>
          <cell r="H68">
            <v>0</v>
          </cell>
          <cell r="I68">
            <v>0</v>
          </cell>
          <cell r="J68">
            <v>0</v>
          </cell>
          <cell r="K68">
            <v>0</v>
          </cell>
          <cell r="L68">
            <v>0</v>
          </cell>
          <cell r="M68">
            <v>0</v>
          </cell>
          <cell r="N68">
            <v>0</v>
          </cell>
        </row>
        <row r="69">
          <cell r="C69">
            <v>0</v>
          </cell>
          <cell r="D69">
            <v>0</v>
          </cell>
          <cell r="E69">
            <v>0</v>
          </cell>
          <cell r="F69">
            <v>0</v>
          </cell>
          <cell r="G69">
            <v>0</v>
          </cell>
          <cell r="H69">
            <v>0</v>
          </cell>
          <cell r="I69">
            <v>0</v>
          </cell>
          <cell r="J69">
            <v>0</v>
          </cell>
          <cell r="K69">
            <v>0</v>
          </cell>
          <cell r="L69">
            <v>0</v>
          </cell>
          <cell r="M69">
            <v>0</v>
          </cell>
          <cell r="N69">
            <v>0</v>
          </cell>
        </row>
        <row r="70">
          <cell r="C70">
            <v>0</v>
          </cell>
          <cell r="D70">
            <v>0</v>
          </cell>
          <cell r="E70">
            <v>0</v>
          </cell>
          <cell r="F70">
            <v>0</v>
          </cell>
          <cell r="G70">
            <v>0</v>
          </cell>
          <cell r="H70">
            <v>0</v>
          </cell>
          <cell r="I70">
            <v>0</v>
          </cell>
          <cell r="J70">
            <v>235.386</v>
          </cell>
          <cell r="K70">
            <v>509.077</v>
          </cell>
          <cell r="L70">
            <v>783.23066666666659</v>
          </cell>
          <cell r="M70">
            <v>1040.7176666666667</v>
          </cell>
          <cell r="N70">
            <v>1423.3333333333333</v>
          </cell>
          <cell r="O70">
            <v>2208.6666666666665</v>
          </cell>
          <cell r="P70">
            <v>3166.3333333333326</v>
          </cell>
          <cell r="Q70">
            <v>4558.6666666666652</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405</v>
          </cell>
          <cell r="O73">
            <v>635</v>
          </cell>
          <cell r="P73">
            <v>0</v>
          </cell>
          <cell r="Q73">
            <v>0</v>
          </cell>
        </row>
        <row r="74">
          <cell r="C74">
            <v>0</v>
          </cell>
          <cell r="D74">
            <v>0</v>
          </cell>
          <cell r="E74">
            <v>0</v>
          </cell>
          <cell r="F74">
            <v>0</v>
          </cell>
          <cell r="G74">
            <v>0</v>
          </cell>
          <cell r="H74">
            <v>0</v>
          </cell>
          <cell r="I74">
            <v>0</v>
          </cell>
          <cell r="J74">
            <v>0</v>
          </cell>
          <cell r="K74">
            <v>0</v>
          </cell>
          <cell r="L74">
            <v>0</v>
          </cell>
          <cell r="M74">
            <v>0</v>
          </cell>
          <cell r="N74">
            <v>125</v>
          </cell>
          <cell r="O74">
            <v>125</v>
          </cell>
          <cell r="P74">
            <v>0</v>
          </cell>
          <cell r="Q74">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2346</v>
          </cell>
          <cell r="Q76">
            <v>4703</v>
          </cell>
        </row>
        <row r="78">
          <cell r="C78">
            <v>0</v>
          </cell>
          <cell r="D78">
            <v>0</v>
          </cell>
          <cell r="E78">
            <v>0</v>
          </cell>
          <cell r="F78">
            <v>0</v>
          </cell>
          <cell r="G78">
            <v>0</v>
          </cell>
          <cell r="H78">
            <v>0</v>
          </cell>
          <cell r="I78">
            <v>0</v>
          </cell>
          <cell r="J78">
            <v>1350.8309999999999</v>
          </cell>
          <cell r="K78">
            <v>2192.9580000000001</v>
          </cell>
          <cell r="L78">
            <v>3242</v>
          </cell>
          <cell r="M78">
            <v>4450</v>
          </cell>
          <cell r="N78">
            <v>5333</v>
          </cell>
          <cell r="O78">
            <v>6908</v>
          </cell>
          <cell r="P78">
            <v>10777</v>
          </cell>
          <cell r="Q78">
            <v>16627</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row>
        <row r="80">
          <cell r="C80">
            <v>0</v>
          </cell>
          <cell r="D80">
            <v>0</v>
          </cell>
          <cell r="E80">
            <v>0</v>
          </cell>
          <cell r="F80">
            <v>0</v>
          </cell>
          <cell r="G80">
            <v>0</v>
          </cell>
          <cell r="H80">
            <v>0</v>
          </cell>
          <cell r="I80">
            <v>0</v>
          </cell>
          <cell r="J80">
            <v>612.57672000000002</v>
          </cell>
          <cell r="K80">
            <v>1234.5520000000001</v>
          </cell>
          <cell r="L80">
            <v>2139.88</v>
          </cell>
          <cell r="M80">
            <v>3428.04</v>
          </cell>
          <cell r="N80">
            <v>4512.5200000000004</v>
          </cell>
        </row>
        <row r="81">
          <cell r="C81">
            <v>0</v>
          </cell>
          <cell r="D81">
            <v>0</v>
          </cell>
          <cell r="E81">
            <v>0</v>
          </cell>
          <cell r="F81">
            <v>0</v>
          </cell>
          <cell r="G81">
            <v>0</v>
          </cell>
          <cell r="H81">
            <v>0</v>
          </cell>
          <cell r="I81">
            <v>0</v>
          </cell>
          <cell r="J81">
            <v>0</v>
          </cell>
          <cell r="K81">
            <v>0</v>
          </cell>
          <cell r="L81">
            <v>0</v>
          </cell>
          <cell r="M81">
            <v>0</v>
          </cell>
          <cell r="N81">
            <v>0</v>
          </cell>
        </row>
        <row r="83">
          <cell r="C83">
            <v>0</v>
          </cell>
          <cell r="D83">
            <v>0</v>
          </cell>
          <cell r="E83">
            <v>0</v>
          </cell>
          <cell r="F83">
            <v>0</v>
          </cell>
          <cell r="G83">
            <v>0</v>
          </cell>
          <cell r="H83">
            <v>0</v>
          </cell>
          <cell r="I83">
            <v>0</v>
          </cell>
          <cell r="J83">
            <v>973.64027999999985</v>
          </cell>
          <cell r="K83">
            <v>1467.4829999999997</v>
          </cell>
          <cell r="L83">
            <v>1885.3506666666663</v>
          </cell>
          <cell r="M83">
            <v>2062.6776666666665</v>
          </cell>
          <cell r="N83">
            <v>2243.8133333333326</v>
          </cell>
          <cell r="O83">
            <v>2523.5066666666662</v>
          </cell>
          <cell r="P83">
            <v>4451.6533333333318</v>
          </cell>
          <cell r="Q83">
            <v>6858.0266666666648</v>
          </cell>
        </row>
        <row r="84">
          <cell r="C84">
            <v>0</v>
          </cell>
          <cell r="D84">
            <v>0</v>
          </cell>
          <cell r="E84">
            <v>0</v>
          </cell>
          <cell r="F84">
            <v>0</v>
          </cell>
          <cell r="G84">
            <v>0</v>
          </cell>
          <cell r="H84">
            <v>0</v>
          </cell>
          <cell r="I84">
            <v>0</v>
          </cell>
          <cell r="J84">
            <v>2090.8000000000002</v>
          </cell>
          <cell r="K84">
            <v>2177.12</v>
          </cell>
          <cell r="L84">
            <v>2256</v>
          </cell>
          <cell r="M84">
            <v>2324</v>
          </cell>
          <cell r="N84">
            <v>2352</v>
          </cell>
          <cell r="O84">
            <v>2388</v>
          </cell>
          <cell r="P84">
            <v>2624</v>
          </cell>
          <cell r="Q84">
            <v>2408</v>
          </cell>
        </row>
        <row r="85">
          <cell r="C85" t="str">
            <v xml:space="preserve">--  </v>
          </cell>
          <cell r="D85" t="str">
            <v xml:space="preserve">--  </v>
          </cell>
          <cell r="E85" t="str">
            <v xml:space="preserve">--  </v>
          </cell>
          <cell r="F85" t="str">
            <v xml:space="preserve">--  </v>
          </cell>
          <cell r="G85" t="str">
            <v xml:space="preserve">--  </v>
          </cell>
          <cell r="H85" t="str">
            <v xml:space="preserve">--  </v>
          </cell>
          <cell r="I85" t="str">
            <v xml:space="preserve">--  </v>
          </cell>
          <cell r="J85">
            <v>0.46567834321790691</v>
          </cell>
          <cell r="K85">
            <v>0.67404782464907753</v>
          </cell>
          <cell r="L85">
            <v>0.83570508274231659</v>
          </cell>
          <cell r="M85">
            <v>0.88755493402180141</v>
          </cell>
          <cell r="N85">
            <v>0.95400226757369588</v>
          </cell>
        </row>
        <row r="87">
          <cell r="C87">
            <v>0</v>
          </cell>
          <cell r="D87">
            <v>0</v>
          </cell>
          <cell r="E87">
            <v>0</v>
          </cell>
          <cell r="F87">
            <v>0</v>
          </cell>
          <cell r="G87">
            <v>0</v>
          </cell>
          <cell r="H87">
            <v>0</v>
          </cell>
          <cell r="I87">
            <v>0</v>
          </cell>
          <cell r="J87">
            <v>993.09627999999987</v>
          </cell>
          <cell r="K87">
            <v>1475.8069999999998</v>
          </cell>
          <cell r="L87">
            <v>1885.3506666666663</v>
          </cell>
          <cell r="M87">
            <v>2062.6776666666665</v>
          </cell>
          <cell r="N87">
            <v>2773.8133333333326</v>
          </cell>
        </row>
        <row r="88">
          <cell r="C88" t="str">
            <v>N/A</v>
          </cell>
          <cell r="D88" t="str">
            <v>N/A</v>
          </cell>
          <cell r="E88" t="str">
            <v>N/A</v>
          </cell>
          <cell r="F88" t="str">
            <v>N/A</v>
          </cell>
          <cell r="G88" t="str">
            <v>N/A</v>
          </cell>
          <cell r="H88" t="str">
            <v>N/A</v>
          </cell>
          <cell r="I88" t="str">
            <v>N/A</v>
          </cell>
          <cell r="J88" t="str">
            <v>N/A</v>
          </cell>
          <cell r="K88">
            <v>0.4860663862319573</v>
          </cell>
          <cell r="L88">
            <v>0.27750489506193327</v>
          </cell>
          <cell r="M88">
            <v>9.405518195377284E-2</v>
          </cell>
          <cell r="N88">
            <v>0.34476335210235604</v>
          </cell>
        </row>
        <row r="89">
          <cell r="C89">
            <v>0</v>
          </cell>
          <cell r="D89">
            <v>0</v>
          </cell>
          <cell r="E89">
            <v>0</v>
          </cell>
          <cell r="F89">
            <v>0</v>
          </cell>
          <cell r="G89">
            <v>0</v>
          </cell>
          <cell r="H89">
            <v>0</v>
          </cell>
          <cell r="I89">
            <v>0</v>
          </cell>
          <cell r="J89">
            <v>993.09627999999987</v>
          </cell>
          <cell r="K89">
            <v>1234.4516399999998</v>
          </cell>
          <cell r="L89">
            <v>1680.578833333333</v>
          </cell>
          <cell r="M89">
            <v>1974.0141666666664</v>
          </cell>
          <cell r="N89">
            <v>2773.8133333333326</v>
          </cell>
        </row>
        <row r="92">
          <cell r="D92" t="e">
            <v>#DIV/0!</v>
          </cell>
          <cell r="E92" t="e">
            <v>#DIV/0!</v>
          </cell>
          <cell r="F92" t="e">
            <v>#DIV/0!</v>
          </cell>
          <cell r="G92" t="e">
            <v>#DIV/0!</v>
          </cell>
          <cell r="H92" t="e">
            <v>#DIV/0!</v>
          </cell>
          <cell r="I92" t="e">
            <v>#DIV/0!</v>
          </cell>
          <cell r="J92">
            <v>15.394599414087377</v>
          </cell>
          <cell r="K92">
            <v>7.0150023687950718</v>
          </cell>
          <cell r="L92">
            <v>5.9472079596754872</v>
          </cell>
          <cell r="M92">
            <v>6.6637554585152836</v>
          </cell>
          <cell r="N92">
            <v>9.2315789473684209</v>
          </cell>
        </row>
        <row r="95">
          <cell r="C95" t="str">
            <v>--</v>
          </cell>
          <cell r="D95" t="str">
            <v xml:space="preserve">--  </v>
          </cell>
          <cell r="E95" t="str">
            <v xml:space="preserve">--  </v>
          </cell>
          <cell r="F95" t="str">
            <v xml:space="preserve">--  </v>
          </cell>
          <cell r="G95" t="str">
            <v xml:space="preserve">--  </v>
          </cell>
          <cell r="H95" t="str">
            <v xml:space="preserve">--  </v>
          </cell>
          <cell r="I95" t="str">
            <v xml:space="preserve">--  </v>
          </cell>
          <cell r="J95">
            <v>15.153322592312499</v>
          </cell>
          <cell r="K95">
            <v>10.744393099378991</v>
          </cell>
          <cell r="L95">
            <v>12.341030721044369</v>
          </cell>
          <cell r="M95">
            <v>11.436654366543666</v>
          </cell>
          <cell r="N95">
            <v>11.244318181818182</v>
          </cell>
          <cell r="O95">
            <v>14.214754098360656</v>
          </cell>
          <cell r="P95">
            <v>14.03088326127239</v>
          </cell>
          <cell r="Q95">
            <v>11.872131147540983</v>
          </cell>
        </row>
        <row r="96">
          <cell r="C96" t="str">
            <v>--</v>
          </cell>
          <cell r="D96" t="str">
            <v xml:space="preserve">--  </v>
          </cell>
          <cell r="E96" t="str">
            <v xml:space="preserve">--  </v>
          </cell>
          <cell r="F96" t="str">
            <v xml:space="preserve">--  </v>
          </cell>
          <cell r="G96" t="str">
            <v xml:space="preserve">--  </v>
          </cell>
          <cell r="H96" t="str">
            <v xml:space="preserve">--  </v>
          </cell>
          <cell r="I96" t="str">
            <v xml:space="preserve">--  </v>
          </cell>
          <cell r="J96">
            <v>78.267396934573085</v>
          </cell>
          <cell r="K96">
            <v>41.491137698433583</v>
          </cell>
          <cell r="L96">
            <v>35.260460462341399</v>
          </cell>
          <cell r="M96">
            <v>40.602620087336241</v>
          </cell>
          <cell r="N96">
            <v>62.494736842105262</v>
          </cell>
          <cell r="O96">
            <v>197.06818181818181</v>
          </cell>
          <cell r="P96" t="str">
            <v xml:space="preserve">--  </v>
          </cell>
          <cell r="Q96" t="str">
            <v xml:space="preserve">--  </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v>25.958478420787596</v>
          </cell>
          <cell r="K97">
            <v>23.128116717502184</v>
          </cell>
          <cell r="L97">
            <v>30.806358274745449</v>
          </cell>
          <cell r="M97">
            <v>78.743224932249291</v>
          </cell>
          <cell r="N97">
            <v>-44.213583556747103</v>
          </cell>
        </row>
        <row r="98">
          <cell r="C98" t="str">
            <v>--</v>
          </cell>
          <cell r="D98" t="str">
            <v xml:space="preserve">--  </v>
          </cell>
          <cell r="E98" t="str">
            <v xml:space="preserve">--  </v>
          </cell>
          <cell r="F98" t="str">
            <v xml:space="preserve">--  </v>
          </cell>
          <cell r="G98" t="str">
            <v xml:space="preserve">--  </v>
          </cell>
          <cell r="H98" t="str">
            <v xml:space="preserve">--  </v>
          </cell>
          <cell r="I98" t="str">
            <v xml:space="preserve">--  </v>
          </cell>
          <cell r="J98">
            <v>6.9538411629016705</v>
          </cell>
          <cell r="K98">
            <v>4.2545964323526535</v>
          </cell>
          <cell r="L98">
            <v>4.5946756609513777</v>
          </cell>
          <cell r="M98">
            <v>5.1741791875347802</v>
          </cell>
          <cell r="N98">
            <v>5.5956644674835063</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v>4.3320490631172399</v>
          </cell>
          <cell r="K99">
            <v>2.4738123239340317</v>
          </cell>
          <cell r="L99">
            <v>2.4076933275737451</v>
          </cell>
          <cell r="M99">
            <v>2.4277089899820234</v>
          </cell>
          <cell r="N99">
            <v>2.325931709595066</v>
          </cell>
        </row>
        <row r="100">
          <cell r="C100" t="str">
            <v>--</v>
          </cell>
          <cell r="D100" t="str">
            <v xml:space="preserve">--  </v>
          </cell>
          <cell r="E100" t="str">
            <v xml:space="preserve">--  </v>
          </cell>
          <cell r="F100" t="str">
            <v xml:space="preserve">--  </v>
          </cell>
          <cell r="G100" t="str">
            <v xml:space="preserve">--  </v>
          </cell>
          <cell r="H100" t="str">
            <v xml:space="preserve">--  </v>
          </cell>
          <cell r="I100" t="str">
            <v xml:space="preserve">--  </v>
          </cell>
          <cell r="J100">
            <v>43.12626038133115</v>
          </cell>
          <cell r="K100">
            <v>29.183746872669378</v>
          </cell>
          <cell r="L100">
            <v>39.181704764340779</v>
          </cell>
          <cell r="M100">
            <v>44.488038277511961</v>
          </cell>
          <cell r="N100">
            <v>22.878612716763005</v>
          </cell>
          <cell r="O100">
            <v>13.078431372549019</v>
          </cell>
          <cell r="P100">
            <v>20.084880636604776</v>
          </cell>
          <cell r="Q100">
            <v>62.565874730021598</v>
          </cell>
        </row>
        <row r="101">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v>1.8562470096051515</v>
          </cell>
          <cell r="K102">
            <v>2.2347777025918978</v>
          </cell>
          <cell r="L102">
            <v>2.2331591506220132</v>
          </cell>
          <cell r="M102">
            <v>2.3550996130135848</v>
          </cell>
          <cell r="N102">
            <v>2.1403747428329716</v>
          </cell>
        </row>
        <row r="105">
          <cell r="C105" t="str">
            <v xml:space="preserve">--  </v>
          </cell>
          <cell r="D105" t="str">
            <v xml:space="preserve">--  </v>
          </cell>
          <cell r="E105" t="str">
            <v xml:space="preserve">--  </v>
          </cell>
          <cell r="F105" t="str">
            <v xml:space="preserve">--  </v>
          </cell>
          <cell r="G105" t="str">
            <v xml:space="preserve">--  </v>
          </cell>
          <cell r="H105" t="str">
            <v xml:space="preserve">--  </v>
          </cell>
          <cell r="I105" t="str">
            <v xml:space="preserve">--  </v>
          </cell>
          <cell r="J105">
            <v>0.33134150044307359</v>
          </cell>
          <cell r="K105">
            <v>0.3129617327313608</v>
          </cell>
          <cell r="L105">
            <v>0.29002664046889221</v>
          </cell>
          <cell r="M105">
            <v>0.2839365379988803</v>
          </cell>
          <cell r="N105">
            <v>0.27337921609188948</v>
          </cell>
        </row>
        <row r="106">
          <cell r="C106" t="str">
            <v>N/A</v>
          </cell>
          <cell r="D106" t="str">
            <v xml:space="preserve">--  </v>
          </cell>
          <cell r="E106" t="str">
            <v xml:space="preserve">--  </v>
          </cell>
          <cell r="F106" t="str">
            <v xml:space="preserve">--  </v>
          </cell>
          <cell r="G106" t="str">
            <v xml:space="preserve">--  </v>
          </cell>
          <cell r="H106" t="str">
            <v xml:space="preserve">--  </v>
          </cell>
          <cell r="I106" t="str">
            <v xml:space="preserve">--  </v>
          </cell>
          <cell r="J106">
            <v>1.8562470096051515</v>
          </cell>
          <cell r="K106">
            <v>2.2347777025918978</v>
          </cell>
          <cell r="L106">
            <v>2.2331591506220132</v>
          </cell>
          <cell r="M106">
            <v>2.3550996130135848</v>
          </cell>
          <cell r="N106">
            <v>2.1403747428329716</v>
          </cell>
        </row>
        <row r="107">
          <cell r="C107" t="str">
            <v>N/A</v>
          </cell>
          <cell r="D107" t="str">
            <v xml:space="preserve">--  </v>
          </cell>
          <cell r="E107" t="str">
            <v xml:space="preserve">--  </v>
          </cell>
          <cell r="F107" t="str">
            <v xml:space="preserve">--  </v>
          </cell>
          <cell r="G107" t="str">
            <v xml:space="preserve">--  </v>
          </cell>
          <cell r="H107" t="str">
            <v xml:space="preserve">--  </v>
          </cell>
          <cell r="I107" t="str">
            <v xml:space="preserve">--  </v>
          </cell>
          <cell r="J107">
            <v>0.61505166935553934</v>
          </cell>
          <cell r="K107">
            <v>0.69939990207257008</v>
          </cell>
          <cell r="L107">
            <v>0.64767564608726735</v>
          </cell>
          <cell r="M107">
            <v>0.66869883076157999</v>
          </cell>
          <cell r="N107">
            <v>0.58513396933855732</v>
          </cell>
          <cell r="O107">
            <v>0.76431188282590234</v>
          </cell>
          <cell r="P107">
            <v>1.2823439145162767</v>
          </cell>
          <cell r="Q107">
            <v>1.6172087338563206</v>
          </cell>
        </row>
        <row r="108">
          <cell r="C108" t="str">
            <v>N/A</v>
          </cell>
          <cell r="D108" t="str">
            <v xml:space="preserve">--  </v>
          </cell>
          <cell r="E108" t="str">
            <v xml:space="preserve">--  </v>
          </cell>
          <cell r="F108" t="str">
            <v xml:space="preserve">--  </v>
          </cell>
          <cell r="G108" t="str">
            <v xml:space="preserve">--  </v>
          </cell>
          <cell r="H108" t="str">
            <v xml:space="preserve">--  </v>
          </cell>
          <cell r="I108" t="str">
            <v xml:space="preserve">--  </v>
          </cell>
          <cell r="J108" t="str">
            <v xml:space="preserve">--  </v>
          </cell>
          <cell r="K108">
            <v>8.4348232717030736E-2</v>
          </cell>
          <cell r="L108">
            <v>-5.1724255985302725E-2</v>
          </cell>
          <cell r="M108">
            <v>2.1023184674312634E-2</v>
          </cell>
          <cell r="N108">
            <v>-8.3564861423022663E-2</v>
          </cell>
        </row>
        <row r="109">
          <cell r="C109" t="str">
            <v>N/A</v>
          </cell>
          <cell r="D109" t="str">
            <v>N/A</v>
          </cell>
          <cell r="E109" t="str">
            <v>NM</v>
          </cell>
          <cell r="F109" t="str">
            <v>NM</v>
          </cell>
          <cell r="G109" t="str">
            <v>NM</v>
          </cell>
          <cell r="H109" t="str">
            <v>NM</v>
          </cell>
          <cell r="I109" t="str">
            <v>NM</v>
          </cell>
          <cell r="J109" t="str">
            <v>NM</v>
          </cell>
          <cell r="K109">
            <v>0.25432562418273008</v>
          </cell>
          <cell r="L109">
            <v>0.46631370761856944</v>
          </cell>
          <cell r="M109">
            <v>0.56538777747845093</v>
          </cell>
          <cell r="N109">
            <v>1.7088849457823854</v>
          </cell>
          <cell r="O109">
            <v>1.2466970766485552</v>
          </cell>
          <cell r="P109">
            <v>2.8394438714170476</v>
          </cell>
          <cell r="Q109" t="str">
            <v>NM</v>
          </cell>
        </row>
        <row r="112">
          <cell r="C112" t="str">
            <v>-</v>
          </cell>
          <cell r="D112" t="str">
            <v xml:space="preserve">  --</v>
          </cell>
          <cell r="E112" t="str">
            <v xml:space="preserve">  --</v>
          </cell>
          <cell r="F112" t="str">
            <v xml:space="preserve">  --</v>
          </cell>
          <cell r="G112" t="str">
            <v xml:space="preserve">  --</v>
          </cell>
          <cell r="H112" t="str">
            <v xml:space="preserve">  --</v>
          </cell>
          <cell r="I112" t="str">
            <v xml:space="preserve">  --</v>
          </cell>
          <cell r="J112" t="str">
            <v xml:space="preserve">  --</v>
          </cell>
          <cell r="K112">
            <v>0.13714007606127154</v>
          </cell>
          <cell r="L112">
            <v>-7.3955194777730715E-2</v>
          </cell>
          <cell r="M112">
            <v>3.245943367072357E-2</v>
          </cell>
          <cell r="N112">
            <v>-0.12496636389785631</v>
          </cell>
        </row>
        <row r="113">
          <cell r="C113" t="str">
            <v>-</v>
          </cell>
          <cell r="D113" t="str">
            <v>-</v>
          </cell>
          <cell r="E113" t="str">
            <v>-</v>
          </cell>
          <cell r="F113" t="str">
            <v>-</v>
          </cell>
          <cell r="G113" t="str">
            <v>-</v>
          </cell>
          <cell r="H113" t="str">
            <v xml:space="preserve">  --</v>
          </cell>
          <cell r="I113" t="str">
            <v xml:space="preserve">  --</v>
          </cell>
          <cell r="J113" t="str">
            <v xml:space="preserve">  --</v>
          </cell>
          <cell r="K113" t="str">
            <v xml:space="preserve">  --</v>
          </cell>
          <cell r="L113" t="str">
            <v xml:space="preserve">  --</v>
          </cell>
          <cell r="M113" t="str">
            <v xml:space="preserve">  --</v>
          </cell>
          <cell r="N113" t="str">
            <v xml:space="preserve">  --</v>
          </cell>
        </row>
        <row r="114">
          <cell r="C114" t="str">
            <v>-</v>
          </cell>
          <cell r="D114" t="str">
            <v>-</v>
          </cell>
          <cell r="E114" t="str">
            <v>-</v>
          </cell>
          <cell r="F114" t="str">
            <v>-</v>
          </cell>
          <cell r="G114" t="str">
            <v>-</v>
          </cell>
          <cell r="H114" t="str">
            <v>-</v>
          </cell>
          <cell r="I114" t="str">
            <v>-</v>
          </cell>
          <cell r="J114" t="str">
            <v>-</v>
          </cell>
          <cell r="K114" t="str">
            <v>-</v>
          </cell>
          <cell r="L114" t="str">
            <v>-</v>
          </cell>
          <cell r="M114" t="str">
            <v xml:space="preserve">  --</v>
          </cell>
          <cell r="N114" t="str">
            <v xml:space="preserve">  --</v>
          </cell>
        </row>
      </sheetData>
      <sheetData sheetId="8" refreshError="1">
        <row r="1">
          <cell r="M1">
            <v>0</v>
          </cell>
          <cell r="N1">
            <v>0</v>
          </cell>
        </row>
        <row r="3">
          <cell r="C3" t="str">
            <v>P-14</v>
          </cell>
          <cell r="D3" t="str">
            <v>P-13</v>
          </cell>
          <cell r="E3" t="str">
            <v>P-12</v>
          </cell>
          <cell r="F3" t="str">
            <v>P-11</v>
          </cell>
          <cell r="G3" t="str">
            <v>P-10</v>
          </cell>
          <cell r="H3" t="str">
            <v>P-9</v>
          </cell>
          <cell r="I3" t="str">
            <v>P-8</v>
          </cell>
          <cell r="J3" t="str">
            <v>P-7</v>
          </cell>
          <cell r="K3" t="str">
            <v>P-6</v>
          </cell>
          <cell r="L3" t="str">
            <v>P-5</v>
          </cell>
          <cell r="M3" t="str">
            <v>P-4</v>
          </cell>
          <cell r="N3" t="str">
            <v>P-3</v>
          </cell>
        </row>
        <row r="4">
          <cell r="C4">
            <v>1984</v>
          </cell>
          <cell r="D4">
            <v>1985</v>
          </cell>
          <cell r="E4">
            <v>1986</v>
          </cell>
          <cell r="F4">
            <v>1987</v>
          </cell>
          <cell r="G4">
            <v>1988</v>
          </cell>
          <cell r="H4">
            <v>1989</v>
          </cell>
          <cell r="I4">
            <v>1990</v>
          </cell>
          <cell r="J4">
            <v>1991</v>
          </cell>
          <cell r="K4">
            <v>1992</v>
          </cell>
          <cell r="L4">
            <v>1993</v>
          </cell>
          <cell r="M4">
            <v>1994</v>
          </cell>
          <cell r="N4">
            <v>1995</v>
          </cell>
        </row>
        <row r="5">
          <cell r="C5">
            <v>0</v>
          </cell>
          <cell r="D5">
            <v>0</v>
          </cell>
          <cell r="E5">
            <v>0</v>
          </cell>
          <cell r="F5">
            <v>0</v>
          </cell>
          <cell r="G5">
            <v>0</v>
          </cell>
          <cell r="H5">
            <v>0</v>
          </cell>
          <cell r="I5">
            <v>0</v>
          </cell>
          <cell r="J5">
            <v>1843.432</v>
          </cell>
          <cell r="K5">
            <v>2758.7249999999999</v>
          </cell>
          <cell r="L5">
            <v>3753</v>
          </cell>
          <cell r="M5">
            <v>4649</v>
          </cell>
          <cell r="N5">
            <v>5937</v>
          </cell>
        </row>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0</v>
          </cell>
          <cell r="D8">
            <v>0</v>
          </cell>
          <cell r="E8">
            <v>0</v>
          </cell>
          <cell r="F8">
            <v>0</v>
          </cell>
          <cell r="G8">
            <v>0</v>
          </cell>
          <cell r="H8">
            <v>0</v>
          </cell>
          <cell r="I8">
            <v>0</v>
          </cell>
          <cell r="J8">
            <v>1843.432</v>
          </cell>
          <cell r="K8">
            <v>2758.7249999999999</v>
          </cell>
          <cell r="L8">
            <v>3753</v>
          </cell>
          <cell r="M8">
            <v>4649</v>
          </cell>
          <cell r="N8">
            <v>5937</v>
          </cell>
        </row>
        <row r="9">
          <cell r="C9">
            <v>0</v>
          </cell>
          <cell r="D9">
            <v>0</v>
          </cell>
          <cell r="E9">
            <v>0</v>
          </cell>
          <cell r="F9">
            <v>0</v>
          </cell>
          <cell r="G9">
            <v>0</v>
          </cell>
          <cell r="H9">
            <v>0</v>
          </cell>
          <cell r="I9">
            <v>0</v>
          </cell>
          <cell r="J9">
            <v>362.589</v>
          </cell>
          <cell r="K9">
            <v>466.42399999999998</v>
          </cell>
          <cell r="L9">
            <v>633</v>
          </cell>
          <cell r="M9">
            <v>763</v>
          </cell>
          <cell r="N9">
            <v>877</v>
          </cell>
        </row>
        <row r="10">
          <cell r="C10">
            <v>0</v>
          </cell>
          <cell r="D10">
            <v>0</v>
          </cell>
          <cell r="E10">
            <v>0</v>
          </cell>
          <cell r="F10">
            <v>0</v>
          </cell>
          <cell r="G10">
            <v>0</v>
          </cell>
          <cell r="H10">
            <v>0</v>
          </cell>
          <cell r="I10">
            <v>0</v>
          </cell>
          <cell r="J10">
            <v>1480.8430000000001</v>
          </cell>
          <cell r="K10">
            <v>2292.3009999999999</v>
          </cell>
          <cell r="L10">
            <v>3120</v>
          </cell>
          <cell r="M10">
            <v>3886</v>
          </cell>
          <cell r="N10">
            <v>5060</v>
          </cell>
        </row>
        <row r="12">
          <cell r="C12">
            <v>0</v>
          </cell>
          <cell r="D12">
            <v>0</v>
          </cell>
          <cell r="E12">
            <v>0</v>
          </cell>
          <cell r="F12">
            <v>0</v>
          </cell>
          <cell r="G12">
            <v>0</v>
          </cell>
          <cell r="H12">
            <v>0</v>
          </cell>
          <cell r="I12">
            <v>0</v>
          </cell>
          <cell r="J12">
            <v>595.61500000000001</v>
          </cell>
          <cell r="K12">
            <v>944.1690000000001</v>
          </cell>
          <cell r="L12">
            <v>1324</v>
          </cell>
          <cell r="M12">
            <v>1550</v>
          </cell>
          <cell r="N12">
            <v>2162</v>
          </cell>
        </row>
        <row r="13">
          <cell r="C13">
            <v>0</v>
          </cell>
          <cell r="D13">
            <v>0</v>
          </cell>
          <cell r="E13">
            <v>0</v>
          </cell>
          <cell r="F13">
            <v>0</v>
          </cell>
          <cell r="G13">
            <v>0</v>
          </cell>
          <cell r="H13">
            <v>0</v>
          </cell>
          <cell r="I13">
            <v>0</v>
          </cell>
          <cell r="J13">
            <v>0</v>
          </cell>
          <cell r="K13">
            <v>352.15300000000002</v>
          </cell>
          <cell r="L13">
            <v>470</v>
          </cell>
          <cell r="M13">
            <v>610</v>
          </cell>
          <cell r="N13">
            <v>860</v>
          </cell>
          <cell r="O13">
            <v>1432</v>
          </cell>
          <cell r="P13">
            <v>1925</v>
          </cell>
          <cell r="Q13">
            <v>2798</v>
          </cell>
        </row>
        <row r="14">
          <cell r="C14">
            <v>0</v>
          </cell>
          <cell r="D14">
            <v>0</v>
          </cell>
          <cell r="E14">
            <v>0</v>
          </cell>
          <cell r="F14">
            <v>0</v>
          </cell>
          <cell r="G14">
            <v>0</v>
          </cell>
          <cell r="H14">
            <v>0</v>
          </cell>
          <cell r="I14">
            <v>0</v>
          </cell>
          <cell r="J14">
            <v>0</v>
          </cell>
          <cell r="K14">
            <v>0</v>
          </cell>
          <cell r="L14">
            <v>0</v>
          </cell>
          <cell r="M14">
            <v>0</v>
          </cell>
          <cell r="N14">
            <v>0</v>
          </cell>
        </row>
        <row r="15">
          <cell r="C15">
            <v>0</v>
          </cell>
          <cell r="D15">
            <v>0</v>
          </cell>
          <cell r="E15">
            <v>0</v>
          </cell>
          <cell r="F15">
            <v>0</v>
          </cell>
          <cell r="G15">
            <v>0</v>
          </cell>
          <cell r="H15">
            <v>0</v>
          </cell>
          <cell r="I15">
            <v>0</v>
          </cell>
          <cell r="J15">
            <v>1193.5899999999999</v>
          </cell>
          <cell r="K15">
            <v>1762.7460000000001</v>
          </cell>
          <cell r="L15">
            <v>2427</v>
          </cell>
          <cell r="M15">
            <v>2923</v>
          </cell>
          <cell r="N15">
            <v>3899</v>
          </cell>
          <cell r="O15">
            <v>5593</v>
          </cell>
          <cell r="P15">
            <v>6228</v>
          </cell>
          <cell r="Q15">
            <v>7840</v>
          </cell>
        </row>
        <row r="17">
          <cell r="C17">
            <v>0</v>
          </cell>
          <cell r="D17">
            <v>0</v>
          </cell>
          <cell r="E17">
            <v>0</v>
          </cell>
          <cell r="F17">
            <v>0</v>
          </cell>
          <cell r="G17">
            <v>0</v>
          </cell>
          <cell r="H17">
            <v>0</v>
          </cell>
          <cell r="I17">
            <v>0</v>
          </cell>
          <cell r="J17">
            <v>649.8420000000001</v>
          </cell>
          <cell r="K17">
            <v>995.97899999999981</v>
          </cell>
          <cell r="L17">
            <v>1326</v>
          </cell>
          <cell r="M17">
            <v>1726</v>
          </cell>
          <cell r="N17">
            <v>2038</v>
          </cell>
        </row>
        <row r="18">
          <cell r="C18">
            <v>0</v>
          </cell>
          <cell r="D18">
            <v>0</v>
          </cell>
          <cell r="E18">
            <v>0</v>
          </cell>
          <cell r="F18">
            <v>0</v>
          </cell>
          <cell r="G18">
            <v>0</v>
          </cell>
          <cell r="H18">
            <v>0</v>
          </cell>
          <cell r="I18">
            <v>0</v>
          </cell>
          <cell r="J18">
            <v>0</v>
          </cell>
          <cell r="K18">
            <v>0</v>
          </cell>
          <cell r="L18">
            <v>0</v>
          </cell>
          <cell r="M18">
            <v>0</v>
          </cell>
          <cell r="N18">
            <v>0</v>
          </cell>
        </row>
        <row r="19">
          <cell r="C19">
            <v>0</v>
          </cell>
          <cell r="D19">
            <v>0</v>
          </cell>
          <cell r="E19">
            <v>0</v>
          </cell>
          <cell r="F19">
            <v>0</v>
          </cell>
          <cell r="G19">
            <v>0</v>
          </cell>
          <cell r="H19">
            <v>0</v>
          </cell>
          <cell r="I19">
            <v>0</v>
          </cell>
          <cell r="J19">
            <v>649.8420000000001</v>
          </cell>
          <cell r="K19">
            <v>995.97899999999981</v>
          </cell>
          <cell r="L19">
            <v>1326</v>
          </cell>
          <cell r="M19">
            <v>1726</v>
          </cell>
          <cell r="N19">
            <v>2038</v>
          </cell>
        </row>
        <row r="21">
          <cell r="C21">
            <v>0</v>
          </cell>
          <cell r="D21">
            <v>0</v>
          </cell>
          <cell r="E21">
            <v>0</v>
          </cell>
          <cell r="F21">
            <v>0</v>
          </cell>
          <cell r="G21">
            <v>0</v>
          </cell>
          <cell r="H21">
            <v>0</v>
          </cell>
          <cell r="I21">
            <v>0</v>
          </cell>
          <cell r="J21">
            <v>235.386</v>
          </cell>
          <cell r="K21">
            <v>352.15300000000002</v>
          </cell>
          <cell r="L21">
            <v>470</v>
          </cell>
          <cell r="M21">
            <v>610</v>
          </cell>
          <cell r="N21">
            <v>860</v>
          </cell>
          <cell r="O21">
            <v>1432</v>
          </cell>
          <cell r="P21">
            <v>1925</v>
          </cell>
          <cell r="Q21">
            <v>2798</v>
          </cell>
        </row>
        <row r="22">
          <cell r="C22">
            <v>0</v>
          </cell>
          <cell r="D22">
            <v>0</v>
          </cell>
          <cell r="E22">
            <v>0</v>
          </cell>
          <cell r="F22">
            <v>0</v>
          </cell>
          <cell r="G22">
            <v>0</v>
          </cell>
          <cell r="H22">
            <v>0</v>
          </cell>
          <cell r="I22">
            <v>0</v>
          </cell>
          <cell r="J22">
            <v>0</v>
          </cell>
          <cell r="K22">
            <v>78.462000000000003</v>
          </cell>
          <cell r="L22">
            <v>195.84633333333335</v>
          </cell>
          <cell r="M22">
            <v>352.51299999999998</v>
          </cell>
          <cell r="N22">
            <v>477.38433333333336</v>
          </cell>
        </row>
        <row r="23">
          <cell r="C23">
            <v>0</v>
          </cell>
          <cell r="D23">
            <v>0</v>
          </cell>
          <cell r="E23">
            <v>0</v>
          </cell>
          <cell r="F23">
            <v>0</v>
          </cell>
          <cell r="G23">
            <v>0</v>
          </cell>
          <cell r="H23">
            <v>0</v>
          </cell>
          <cell r="I23">
            <v>0</v>
          </cell>
          <cell r="J23">
            <v>0</v>
          </cell>
          <cell r="K23">
            <v>0</v>
          </cell>
          <cell r="L23">
            <v>0</v>
          </cell>
          <cell r="M23">
            <v>0</v>
          </cell>
          <cell r="N23">
            <v>0</v>
          </cell>
        </row>
        <row r="24">
          <cell r="C24">
            <v>0</v>
          </cell>
          <cell r="D24">
            <v>0</v>
          </cell>
          <cell r="E24">
            <v>0</v>
          </cell>
          <cell r="F24">
            <v>0</v>
          </cell>
          <cell r="G24">
            <v>0</v>
          </cell>
          <cell r="H24">
            <v>0</v>
          </cell>
          <cell r="I24">
            <v>0</v>
          </cell>
          <cell r="J24">
            <v>235.386</v>
          </cell>
          <cell r="K24">
            <v>273.69100000000003</v>
          </cell>
          <cell r="L24">
            <v>274.15366666666665</v>
          </cell>
          <cell r="M24">
            <v>257.48700000000002</v>
          </cell>
          <cell r="N24">
            <v>382.61566666666664</v>
          </cell>
          <cell r="O24">
            <v>785.33333333333337</v>
          </cell>
          <cell r="P24">
            <v>957.66666666666663</v>
          </cell>
          <cell r="Q24">
            <v>1392.3333333333333</v>
          </cell>
        </row>
        <row r="26">
          <cell r="C26">
            <v>0</v>
          </cell>
          <cell r="D26">
            <v>0</v>
          </cell>
          <cell r="E26">
            <v>0</v>
          </cell>
          <cell r="F26">
            <v>0</v>
          </cell>
          <cell r="G26">
            <v>0</v>
          </cell>
          <cell r="H26">
            <v>0</v>
          </cell>
          <cell r="I26">
            <v>0</v>
          </cell>
          <cell r="J26">
            <v>885.22800000000007</v>
          </cell>
          <cell r="K26">
            <v>1269.6699999999998</v>
          </cell>
          <cell r="L26">
            <v>1600.1536666666666</v>
          </cell>
          <cell r="M26">
            <v>1983.4870000000001</v>
          </cell>
          <cell r="N26">
            <v>2420.6156666666666</v>
          </cell>
        </row>
        <row r="28">
          <cell r="C28">
            <v>0</v>
          </cell>
          <cell r="D28">
            <v>0</v>
          </cell>
          <cell r="E28">
            <v>0</v>
          </cell>
          <cell r="F28">
            <v>0</v>
          </cell>
          <cell r="G28">
            <v>0</v>
          </cell>
          <cell r="H28">
            <v>0</v>
          </cell>
          <cell r="I28">
            <v>0</v>
          </cell>
          <cell r="J28">
            <v>0</v>
          </cell>
          <cell r="K28">
            <v>0</v>
          </cell>
          <cell r="L28">
            <v>0</v>
          </cell>
          <cell r="M28">
            <v>0</v>
          </cell>
          <cell r="N28">
            <v>0</v>
          </cell>
        </row>
        <row r="29">
          <cell r="C29">
            <v>0</v>
          </cell>
          <cell r="D29">
            <v>0</v>
          </cell>
          <cell r="E29">
            <v>0</v>
          </cell>
          <cell r="F29">
            <v>0</v>
          </cell>
          <cell r="G29">
            <v>0</v>
          </cell>
          <cell r="H29">
            <v>0</v>
          </cell>
          <cell r="I29">
            <v>0</v>
          </cell>
          <cell r="J29">
            <v>0</v>
          </cell>
          <cell r="K29">
            <v>0</v>
          </cell>
          <cell r="L29">
            <v>0</v>
          </cell>
          <cell r="M29">
            <v>0</v>
          </cell>
          <cell r="N29">
            <v>0</v>
          </cell>
        </row>
        <row r="30">
          <cell r="C30">
            <v>0</v>
          </cell>
          <cell r="D30">
            <v>0</v>
          </cell>
          <cell r="E30">
            <v>0</v>
          </cell>
          <cell r="F30">
            <v>0</v>
          </cell>
          <cell r="G30">
            <v>0</v>
          </cell>
          <cell r="H30">
            <v>0</v>
          </cell>
          <cell r="I30">
            <v>0</v>
          </cell>
          <cell r="J30">
            <v>0</v>
          </cell>
          <cell r="K30">
            <v>0</v>
          </cell>
          <cell r="L30">
            <v>0</v>
          </cell>
          <cell r="M30">
            <v>0</v>
          </cell>
          <cell r="N30">
            <v>0</v>
          </cell>
        </row>
        <row r="32">
          <cell r="C32">
            <v>0</v>
          </cell>
          <cell r="D32">
            <v>0</v>
          </cell>
          <cell r="E32">
            <v>0</v>
          </cell>
          <cell r="F32">
            <v>0</v>
          </cell>
          <cell r="G32">
            <v>0</v>
          </cell>
          <cell r="H32">
            <v>0</v>
          </cell>
          <cell r="I32">
            <v>0</v>
          </cell>
          <cell r="J32">
            <v>885.22800000000007</v>
          </cell>
          <cell r="K32">
            <v>1269.6699999999998</v>
          </cell>
          <cell r="L32">
            <v>1600.1536666666666</v>
          </cell>
          <cell r="M32">
            <v>1983.4870000000001</v>
          </cell>
          <cell r="N32">
            <v>2420.6156666666666</v>
          </cell>
        </row>
        <row r="33">
          <cell r="A33">
            <v>0.33</v>
          </cell>
        </row>
        <row r="34">
          <cell r="C34">
            <v>0</v>
          </cell>
          <cell r="D34">
            <v>0</v>
          </cell>
          <cell r="E34">
            <v>0</v>
          </cell>
          <cell r="F34">
            <v>0</v>
          </cell>
          <cell r="G34">
            <v>0</v>
          </cell>
          <cell r="H34">
            <v>0</v>
          </cell>
          <cell r="I34">
            <v>0</v>
          </cell>
          <cell r="J34">
            <v>207.90100000000001</v>
          </cell>
          <cell r="K34">
            <v>333.20499999999998</v>
          </cell>
          <cell r="L34">
            <v>448</v>
          </cell>
          <cell r="M34">
            <v>576</v>
          </cell>
          <cell r="N34">
            <v>714</v>
          </cell>
        </row>
        <row r="35">
          <cell r="C35">
            <v>0</v>
          </cell>
          <cell r="D35">
            <v>0</v>
          </cell>
          <cell r="E35">
            <v>0</v>
          </cell>
          <cell r="F35">
            <v>0</v>
          </cell>
          <cell r="G35">
            <v>0</v>
          </cell>
          <cell r="H35">
            <v>0</v>
          </cell>
          <cell r="I35">
            <v>0</v>
          </cell>
          <cell r="J35">
            <v>78.073700724974785</v>
          </cell>
          <cell r="K35">
            <v>90.975734606464272</v>
          </cell>
          <cell r="L35">
            <v>63.683684986914109</v>
          </cell>
          <cell r="M35">
            <v>87.466034843205591</v>
          </cell>
          <cell r="N35">
            <v>83.563260729118596</v>
          </cell>
          <cell r="O35">
            <v>169.71017066193156</v>
          </cell>
          <cell r="P35">
            <v>270.79789235980428</v>
          </cell>
          <cell r="Q35">
            <v>339.34082712753502</v>
          </cell>
        </row>
        <row r="36">
          <cell r="C36">
            <v>0</v>
          </cell>
          <cell r="D36">
            <v>0</v>
          </cell>
          <cell r="E36">
            <v>0</v>
          </cell>
          <cell r="F36">
            <v>0</v>
          </cell>
          <cell r="G36">
            <v>0</v>
          </cell>
          <cell r="H36">
            <v>0</v>
          </cell>
          <cell r="I36">
            <v>0</v>
          </cell>
          <cell r="J36">
            <v>-11.552225569750865</v>
          </cell>
          <cell r="K36">
            <v>-17.886090735787722</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row>
        <row r="39">
          <cell r="C39">
            <v>0</v>
          </cell>
          <cell r="D39">
            <v>0</v>
          </cell>
          <cell r="E39">
            <v>0</v>
          </cell>
          <cell r="F39">
            <v>0</v>
          </cell>
          <cell r="G39">
            <v>0</v>
          </cell>
          <cell r="H39">
            <v>0</v>
          </cell>
          <cell r="I39">
            <v>0</v>
          </cell>
          <cell r="J39">
            <v>274.42247515522394</v>
          </cell>
          <cell r="K39">
            <v>406.29464387067657</v>
          </cell>
          <cell r="L39">
            <v>511.6836849869141</v>
          </cell>
          <cell r="M39">
            <v>663.46603484320553</v>
          </cell>
          <cell r="N39">
            <v>797.56326072911861</v>
          </cell>
        </row>
        <row r="41">
          <cell r="C41">
            <v>0</v>
          </cell>
          <cell r="D41">
            <v>0</v>
          </cell>
          <cell r="E41">
            <v>0</v>
          </cell>
          <cell r="F41">
            <v>0</v>
          </cell>
          <cell r="G41">
            <v>0</v>
          </cell>
          <cell r="H41">
            <v>0</v>
          </cell>
          <cell r="I41">
            <v>0</v>
          </cell>
          <cell r="J41">
            <v>610.80552484477607</v>
          </cell>
          <cell r="K41">
            <v>863.37535612932334</v>
          </cell>
          <cell r="L41">
            <v>1088.4699816797524</v>
          </cell>
          <cell r="M41">
            <v>1320.0209651567945</v>
          </cell>
          <cell r="N41">
            <v>1623.052405937548</v>
          </cell>
        </row>
        <row r="43">
          <cell r="C43">
            <v>0</v>
          </cell>
          <cell r="D43">
            <v>0</v>
          </cell>
          <cell r="E43">
            <v>0</v>
          </cell>
          <cell r="F43">
            <v>0</v>
          </cell>
          <cell r="G43">
            <v>0</v>
          </cell>
          <cell r="H43">
            <v>0</v>
          </cell>
          <cell r="I43">
            <v>0</v>
          </cell>
          <cell r="J43">
            <v>462.74300000000011</v>
          </cell>
          <cell r="K43">
            <v>708.06</v>
          </cell>
          <cell r="L43">
            <v>953</v>
          </cell>
          <cell r="M43">
            <v>1146</v>
          </cell>
          <cell r="N43">
            <v>1453</v>
          </cell>
        </row>
        <row r="44">
          <cell r="C44">
            <v>0</v>
          </cell>
          <cell r="D44">
            <v>0</v>
          </cell>
          <cell r="E44">
            <v>0</v>
          </cell>
          <cell r="F44">
            <v>0</v>
          </cell>
          <cell r="G44">
            <v>0</v>
          </cell>
          <cell r="H44">
            <v>0</v>
          </cell>
          <cell r="I44">
            <v>0</v>
          </cell>
          <cell r="J44">
            <v>235.386</v>
          </cell>
          <cell r="K44">
            <v>352.15300000000002</v>
          </cell>
          <cell r="L44">
            <v>470</v>
          </cell>
          <cell r="M44">
            <v>610</v>
          </cell>
          <cell r="N44">
            <v>860</v>
          </cell>
        </row>
        <row r="45">
          <cell r="C45">
            <v>0</v>
          </cell>
          <cell r="D45">
            <v>0</v>
          </cell>
          <cell r="E45">
            <v>0</v>
          </cell>
          <cell r="F45">
            <v>0</v>
          </cell>
          <cell r="G45">
            <v>0</v>
          </cell>
          <cell r="H45">
            <v>0</v>
          </cell>
          <cell r="I45">
            <v>0</v>
          </cell>
          <cell r="J45">
            <v>0</v>
          </cell>
          <cell r="K45">
            <v>0</v>
          </cell>
          <cell r="L45">
            <v>0</v>
          </cell>
          <cell r="M45">
            <v>0</v>
          </cell>
          <cell r="N45">
            <v>0</v>
          </cell>
        </row>
        <row r="46">
          <cell r="C46">
            <v>0</v>
          </cell>
          <cell r="D46">
            <v>0</v>
          </cell>
          <cell r="E46">
            <v>0</v>
          </cell>
          <cell r="F46">
            <v>0</v>
          </cell>
          <cell r="G46">
            <v>0</v>
          </cell>
          <cell r="H46">
            <v>0</v>
          </cell>
          <cell r="I46">
            <v>0</v>
          </cell>
          <cell r="J46">
            <v>698.12900000000013</v>
          </cell>
          <cell r="K46">
            <v>1060.213</v>
          </cell>
          <cell r="L46">
            <v>1423</v>
          </cell>
          <cell r="M46">
            <v>1756</v>
          </cell>
          <cell r="N46">
            <v>2313</v>
          </cell>
          <cell r="O46">
            <v>3627</v>
          </cell>
          <cell r="P46">
            <v>5364</v>
          </cell>
          <cell r="Q46">
            <v>7260</v>
          </cell>
        </row>
        <row r="48">
          <cell r="C48">
            <v>0</v>
          </cell>
          <cell r="D48">
            <v>0</v>
          </cell>
          <cell r="E48">
            <v>0</v>
          </cell>
          <cell r="F48">
            <v>0</v>
          </cell>
          <cell r="G48">
            <v>0</v>
          </cell>
          <cell r="H48">
            <v>0</v>
          </cell>
          <cell r="I48">
            <v>0</v>
          </cell>
          <cell r="J48">
            <v>0</v>
          </cell>
          <cell r="K48">
            <v>0</v>
          </cell>
          <cell r="L48">
            <v>0</v>
          </cell>
          <cell r="M48">
            <v>0</v>
          </cell>
          <cell r="N48">
            <v>0</v>
          </cell>
        </row>
        <row r="49">
          <cell r="C49">
            <v>0</v>
          </cell>
          <cell r="D49">
            <v>0</v>
          </cell>
          <cell r="E49">
            <v>0</v>
          </cell>
          <cell r="F49">
            <v>0</v>
          </cell>
          <cell r="G49">
            <v>0</v>
          </cell>
          <cell r="H49">
            <v>0</v>
          </cell>
          <cell r="I49">
            <v>0</v>
          </cell>
          <cell r="J49">
            <v>0</v>
          </cell>
          <cell r="K49">
            <v>78.462000000000003</v>
          </cell>
          <cell r="L49">
            <v>195.84633333333335</v>
          </cell>
          <cell r="M49">
            <v>352.51299999999998</v>
          </cell>
          <cell r="N49">
            <v>477.38433333333336</v>
          </cell>
        </row>
        <row r="50">
          <cell r="C50">
            <v>0</v>
          </cell>
          <cell r="D50">
            <v>0</v>
          </cell>
          <cell r="E50">
            <v>0</v>
          </cell>
          <cell r="F50">
            <v>0</v>
          </cell>
          <cell r="G50">
            <v>0</v>
          </cell>
          <cell r="H50">
            <v>0</v>
          </cell>
          <cell r="I50">
            <v>0</v>
          </cell>
          <cell r="J50">
            <v>0</v>
          </cell>
          <cell r="K50">
            <v>0</v>
          </cell>
          <cell r="L50">
            <v>0</v>
          </cell>
          <cell r="M50">
            <v>90</v>
          </cell>
          <cell r="N50">
            <v>46</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D54">
            <v>0</v>
          </cell>
          <cell r="E54">
            <v>0</v>
          </cell>
          <cell r="F54">
            <v>0</v>
          </cell>
          <cell r="G54">
            <v>0</v>
          </cell>
          <cell r="H54">
            <v>0</v>
          </cell>
          <cell r="I54">
            <v>0</v>
          </cell>
          <cell r="J54">
            <v>0</v>
          </cell>
          <cell r="K54">
            <v>0</v>
          </cell>
          <cell r="L54">
            <v>0</v>
          </cell>
          <cell r="M54">
            <v>0</v>
          </cell>
          <cell r="N54">
            <v>0</v>
          </cell>
        </row>
        <row r="55">
          <cell r="C55">
            <v>0</v>
          </cell>
          <cell r="D55">
            <v>0</v>
          </cell>
          <cell r="E55">
            <v>0</v>
          </cell>
          <cell r="F55">
            <v>0</v>
          </cell>
          <cell r="G55">
            <v>0</v>
          </cell>
          <cell r="H55">
            <v>0</v>
          </cell>
          <cell r="I55">
            <v>0</v>
          </cell>
          <cell r="J55">
            <v>0</v>
          </cell>
          <cell r="K55">
            <v>-78.462000000000003</v>
          </cell>
          <cell r="L55">
            <v>-195.84633333333335</v>
          </cell>
          <cell r="M55">
            <v>-262.51299999999998</v>
          </cell>
          <cell r="N55">
            <v>-431.38433333333336</v>
          </cell>
          <cell r="O55">
            <v>-646.66666666666663</v>
          </cell>
          <cell r="P55">
            <v>-967.33333333333337</v>
          </cell>
          <cell r="Q55">
            <v>-1405.6666666666667</v>
          </cell>
        </row>
        <row r="57">
          <cell r="C57">
            <v>0</v>
          </cell>
          <cell r="D57">
            <v>0</v>
          </cell>
          <cell r="E57">
            <v>0</v>
          </cell>
          <cell r="F57">
            <v>0</v>
          </cell>
          <cell r="G57">
            <v>0</v>
          </cell>
          <cell r="H57">
            <v>0</v>
          </cell>
          <cell r="I57">
            <v>0</v>
          </cell>
          <cell r="J57">
            <v>698.12900000000013</v>
          </cell>
          <cell r="K57">
            <v>981.75099999999998</v>
          </cell>
          <cell r="L57">
            <v>1227.1536666666666</v>
          </cell>
          <cell r="M57">
            <v>1493.4870000000001</v>
          </cell>
          <cell r="N57">
            <v>1881.6156666666666</v>
          </cell>
          <cell r="O57">
            <v>2980.3333333333335</v>
          </cell>
          <cell r="P57">
            <v>4396.666666666667</v>
          </cell>
          <cell r="Q57">
            <v>5854.333333333333</v>
          </cell>
        </row>
        <row r="58">
          <cell r="C58">
            <v>0</v>
          </cell>
          <cell r="D58">
            <v>0</v>
          </cell>
          <cell r="E58">
            <v>0</v>
          </cell>
          <cell r="F58">
            <v>0</v>
          </cell>
          <cell r="G58">
            <v>0</v>
          </cell>
          <cell r="H58">
            <v>0</v>
          </cell>
          <cell r="I58">
            <v>0</v>
          </cell>
          <cell r="J58">
            <v>0</v>
          </cell>
          <cell r="K58">
            <v>0</v>
          </cell>
          <cell r="L58">
            <v>75</v>
          </cell>
          <cell r="M58">
            <v>102</v>
          </cell>
          <cell r="N58">
            <v>191</v>
          </cell>
          <cell r="O58">
            <v>320</v>
          </cell>
          <cell r="P58">
            <v>443</v>
          </cell>
          <cell r="Q58">
            <v>703</v>
          </cell>
        </row>
        <row r="59">
          <cell r="C59">
            <v>0</v>
          </cell>
          <cell r="D59">
            <v>0</v>
          </cell>
          <cell r="E59">
            <v>0</v>
          </cell>
          <cell r="F59">
            <v>0</v>
          </cell>
          <cell r="G59">
            <v>0</v>
          </cell>
          <cell r="H59">
            <v>0</v>
          </cell>
          <cell r="I59">
            <v>0</v>
          </cell>
          <cell r="J59">
            <v>16.463000000000001</v>
          </cell>
          <cell r="K59">
            <v>10.608000000000001</v>
          </cell>
          <cell r="L59">
            <v>0</v>
          </cell>
          <cell r="M59">
            <v>16</v>
          </cell>
          <cell r="N59">
            <v>16</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15</v>
          </cell>
          <cell r="Q61">
            <v>28</v>
          </cell>
        </row>
        <row r="63">
          <cell r="C63">
            <v>0</v>
          </cell>
          <cell r="D63">
            <v>0</v>
          </cell>
          <cell r="E63">
            <v>0</v>
          </cell>
          <cell r="F63">
            <v>0</v>
          </cell>
          <cell r="G63">
            <v>0</v>
          </cell>
          <cell r="H63">
            <v>0</v>
          </cell>
          <cell r="I63">
            <v>0</v>
          </cell>
          <cell r="J63">
            <v>-37.265000000000001</v>
          </cell>
          <cell r="K63">
            <v>-55.893999999999998</v>
          </cell>
          <cell r="L63">
            <v>0</v>
          </cell>
          <cell r="M63">
            <v>0</v>
          </cell>
          <cell r="N63">
            <v>0</v>
          </cell>
        </row>
        <row r="64">
          <cell r="C64">
            <v>0</v>
          </cell>
          <cell r="D64">
            <v>0</v>
          </cell>
          <cell r="E64">
            <v>0</v>
          </cell>
          <cell r="F64">
            <v>0</v>
          </cell>
          <cell r="G64">
            <v>0</v>
          </cell>
          <cell r="H64">
            <v>0</v>
          </cell>
          <cell r="I64">
            <v>0</v>
          </cell>
          <cell r="J64">
            <v>78.073700724974785</v>
          </cell>
          <cell r="K64">
            <v>90.975734606464272</v>
          </cell>
          <cell r="L64">
            <v>63.683684986914109</v>
          </cell>
          <cell r="M64">
            <v>87.466034843205591</v>
          </cell>
          <cell r="N64">
            <v>83.563260729118596</v>
          </cell>
        </row>
        <row r="65">
          <cell r="C65">
            <v>0</v>
          </cell>
          <cell r="D65">
            <v>0</v>
          </cell>
          <cell r="E65">
            <v>0</v>
          </cell>
          <cell r="F65">
            <v>0</v>
          </cell>
          <cell r="G65">
            <v>0</v>
          </cell>
          <cell r="H65">
            <v>0</v>
          </cell>
          <cell r="I65">
            <v>0</v>
          </cell>
          <cell r="J65">
            <v>0</v>
          </cell>
          <cell r="K65">
            <v>0</v>
          </cell>
          <cell r="L65">
            <v>0</v>
          </cell>
          <cell r="M65">
            <v>0</v>
          </cell>
          <cell r="N65">
            <v>0</v>
          </cell>
        </row>
        <row r="66">
          <cell r="C66">
            <v>0</v>
          </cell>
          <cell r="D66">
            <v>0</v>
          </cell>
          <cell r="E66">
            <v>0</v>
          </cell>
          <cell r="F66">
            <v>0</v>
          </cell>
          <cell r="G66">
            <v>0</v>
          </cell>
          <cell r="H66">
            <v>0</v>
          </cell>
          <cell r="I66">
            <v>0</v>
          </cell>
          <cell r="J66">
            <v>-11.552225569750865</v>
          </cell>
          <cell r="K66">
            <v>-17.886090735787722</v>
          </cell>
          <cell r="L66">
            <v>0</v>
          </cell>
          <cell r="M66">
            <v>0</v>
          </cell>
          <cell r="N66">
            <v>0</v>
          </cell>
        </row>
        <row r="67">
          <cell r="C67">
            <v>0</v>
          </cell>
          <cell r="D67">
            <v>0</v>
          </cell>
          <cell r="E67">
            <v>0</v>
          </cell>
          <cell r="F67">
            <v>0</v>
          </cell>
          <cell r="G67">
            <v>0</v>
          </cell>
          <cell r="H67">
            <v>0</v>
          </cell>
          <cell r="I67">
            <v>0</v>
          </cell>
          <cell r="J67">
            <v>-103.78647515522391</v>
          </cell>
          <cell r="K67">
            <v>-128.98364387067653</v>
          </cell>
          <cell r="L67">
            <v>-63.683684986914109</v>
          </cell>
          <cell r="M67">
            <v>-87.466034843205591</v>
          </cell>
          <cell r="N67">
            <v>-83.563260729118596</v>
          </cell>
          <cell r="O67">
            <v>-169.71017066193156</v>
          </cell>
          <cell r="P67">
            <v>-270.79789235980428</v>
          </cell>
          <cell r="Q67">
            <v>-339.34082712753502</v>
          </cell>
        </row>
        <row r="69">
          <cell r="C69">
            <v>0</v>
          </cell>
          <cell r="D69">
            <v>0</v>
          </cell>
          <cell r="E69">
            <v>0</v>
          </cell>
          <cell r="F69">
            <v>0</v>
          </cell>
          <cell r="G69">
            <v>0</v>
          </cell>
          <cell r="H69">
            <v>0</v>
          </cell>
          <cell r="I69">
            <v>0</v>
          </cell>
          <cell r="J69">
            <v>610.80552484477619</v>
          </cell>
          <cell r="K69">
            <v>863.37535612932334</v>
          </cell>
          <cell r="L69">
            <v>1088.4699816797524</v>
          </cell>
          <cell r="M69">
            <v>1320.0209651567945</v>
          </cell>
          <cell r="N69">
            <v>1623.052405937548</v>
          </cell>
        </row>
        <row r="71">
          <cell r="C71" t="str">
            <v>P-14</v>
          </cell>
          <cell r="D71" t="str">
            <v>P-13</v>
          </cell>
          <cell r="E71" t="str">
            <v>P-12</v>
          </cell>
          <cell r="F71" t="str">
            <v>P-11</v>
          </cell>
          <cell r="G71" t="str">
            <v>P-10</v>
          </cell>
          <cell r="H71" t="str">
            <v>P-9</v>
          </cell>
          <cell r="I71" t="str">
            <v>P-8</v>
          </cell>
          <cell r="J71" t="str">
            <v>P-7</v>
          </cell>
          <cell r="K71" t="str">
            <v>P-6</v>
          </cell>
          <cell r="L71" t="str">
            <v>P-5</v>
          </cell>
          <cell r="M71" t="str">
            <v>P-4</v>
          </cell>
          <cell r="N71" t="str">
            <v>P-3</v>
          </cell>
        </row>
        <row r="72">
          <cell r="C72">
            <v>1984</v>
          </cell>
          <cell r="D72">
            <v>1985</v>
          </cell>
          <cell r="E72">
            <v>1986</v>
          </cell>
          <cell r="F72">
            <v>1987</v>
          </cell>
          <cell r="G72">
            <v>1988</v>
          </cell>
          <cell r="H72">
            <v>1989</v>
          </cell>
          <cell r="I72">
            <v>1990</v>
          </cell>
          <cell r="J72">
            <v>1991</v>
          </cell>
          <cell r="K72">
            <v>1992</v>
          </cell>
          <cell r="L72">
            <v>1993</v>
          </cell>
          <cell r="M72">
            <v>1994</v>
          </cell>
          <cell r="N72">
            <v>1995</v>
          </cell>
        </row>
        <row r="73">
          <cell r="C73">
            <v>0</v>
          </cell>
          <cell r="D73">
            <v>0</v>
          </cell>
          <cell r="E73">
            <v>0</v>
          </cell>
          <cell r="F73">
            <v>0</v>
          </cell>
          <cell r="G73">
            <v>0</v>
          </cell>
          <cell r="H73">
            <v>0</v>
          </cell>
          <cell r="I73">
            <v>0</v>
          </cell>
          <cell r="J73">
            <v>1843.432</v>
          </cell>
          <cell r="K73">
            <v>2758.7249999999999</v>
          </cell>
          <cell r="L73">
            <v>3753</v>
          </cell>
          <cell r="M73">
            <v>4649</v>
          </cell>
          <cell r="N73">
            <v>5937</v>
          </cell>
        </row>
        <row r="74">
          <cell r="C74">
            <v>0</v>
          </cell>
          <cell r="D74">
            <v>0</v>
          </cell>
          <cell r="E74">
            <v>0</v>
          </cell>
          <cell r="F74">
            <v>0</v>
          </cell>
          <cell r="G74">
            <v>0</v>
          </cell>
          <cell r="H74">
            <v>0</v>
          </cell>
          <cell r="I74">
            <v>0</v>
          </cell>
          <cell r="J74">
            <v>0</v>
          </cell>
          <cell r="K74">
            <v>0</v>
          </cell>
          <cell r="L74">
            <v>0</v>
          </cell>
          <cell r="M74">
            <v>0</v>
          </cell>
          <cell r="N74">
            <v>0</v>
          </cell>
        </row>
        <row r="75">
          <cell r="C75">
            <v>0</v>
          </cell>
          <cell r="D75">
            <v>0</v>
          </cell>
          <cell r="E75">
            <v>0</v>
          </cell>
          <cell r="F75">
            <v>0</v>
          </cell>
          <cell r="G75">
            <v>0</v>
          </cell>
          <cell r="H75">
            <v>0</v>
          </cell>
          <cell r="I75">
            <v>0</v>
          </cell>
          <cell r="J75">
            <v>0</v>
          </cell>
          <cell r="K75">
            <v>0</v>
          </cell>
          <cell r="L75">
            <v>0</v>
          </cell>
          <cell r="M75">
            <v>0</v>
          </cell>
          <cell r="N75">
            <v>0</v>
          </cell>
        </row>
        <row r="76">
          <cell r="C76">
            <v>0</v>
          </cell>
          <cell r="D76">
            <v>0</v>
          </cell>
          <cell r="E76">
            <v>0</v>
          </cell>
          <cell r="F76">
            <v>0</v>
          </cell>
          <cell r="G76">
            <v>0</v>
          </cell>
          <cell r="H76">
            <v>0</v>
          </cell>
          <cell r="I76">
            <v>0</v>
          </cell>
          <cell r="J76">
            <v>1843.432</v>
          </cell>
          <cell r="K76">
            <v>2758.7249999999999</v>
          </cell>
          <cell r="L76">
            <v>3753</v>
          </cell>
          <cell r="M76">
            <v>4649</v>
          </cell>
          <cell r="N76">
            <v>5937</v>
          </cell>
        </row>
        <row r="77">
          <cell r="C77">
            <v>0</v>
          </cell>
          <cell r="D77">
            <v>0</v>
          </cell>
          <cell r="E77">
            <v>0</v>
          </cell>
          <cell r="F77">
            <v>0</v>
          </cell>
          <cell r="G77">
            <v>0</v>
          </cell>
          <cell r="H77">
            <v>0</v>
          </cell>
          <cell r="I77">
            <v>0</v>
          </cell>
          <cell r="J77">
            <v>362.589</v>
          </cell>
          <cell r="K77">
            <v>466.42399999999998</v>
          </cell>
          <cell r="L77">
            <v>633</v>
          </cell>
          <cell r="M77">
            <v>763</v>
          </cell>
          <cell r="N77">
            <v>877</v>
          </cell>
        </row>
        <row r="78">
          <cell r="C78">
            <v>0</v>
          </cell>
          <cell r="D78">
            <v>0</v>
          </cell>
          <cell r="E78">
            <v>0</v>
          </cell>
          <cell r="F78">
            <v>0</v>
          </cell>
          <cell r="G78">
            <v>0</v>
          </cell>
          <cell r="H78">
            <v>0</v>
          </cell>
          <cell r="I78">
            <v>0</v>
          </cell>
          <cell r="J78">
            <v>1480.8430000000001</v>
          </cell>
          <cell r="K78">
            <v>2292.3009999999999</v>
          </cell>
          <cell r="L78">
            <v>3120</v>
          </cell>
          <cell r="M78">
            <v>3886</v>
          </cell>
          <cell r="N78">
            <v>5060</v>
          </cell>
        </row>
        <row r="79">
          <cell r="C79">
            <v>0</v>
          </cell>
          <cell r="D79">
            <v>0</v>
          </cell>
          <cell r="E79">
            <v>0</v>
          </cell>
          <cell r="F79">
            <v>0</v>
          </cell>
          <cell r="G79">
            <v>0</v>
          </cell>
          <cell r="H79">
            <v>0</v>
          </cell>
          <cell r="I79">
            <v>0</v>
          </cell>
          <cell r="J79">
            <v>595.61500000000001</v>
          </cell>
          <cell r="K79">
            <v>944.1690000000001</v>
          </cell>
          <cell r="L79">
            <v>1324</v>
          </cell>
          <cell r="M79">
            <v>1550</v>
          </cell>
          <cell r="N79">
            <v>2162</v>
          </cell>
        </row>
        <row r="80">
          <cell r="C80">
            <v>0</v>
          </cell>
          <cell r="D80">
            <v>0</v>
          </cell>
          <cell r="E80">
            <v>0</v>
          </cell>
          <cell r="F80">
            <v>0</v>
          </cell>
          <cell r="G80">
            <v>0</v>
          </cell>
          <cell r="H80">
            <v>0</v>
          </cell>
          <cell r="I80">
            <v>0</v>
          </cell>
          <cell r="J80">
            <v>235.386</v>
          </cell>
          <cell r="K80">
            <v>352.15300000000002</v>
          </cell>
          <cell r="L80">
            <v>470</v>
          </cell>
          <cell r="M80">
            <v>610</v>
          </cell>
          <cell r="N80">
            <v>860</v>
          </cell>
        </row>
        <row r="81">
          <cell r="C81">
            <v>0</v>
          </cell>
          <cell r="D81">
            <v>0</v>
          </cell>
          <cell r="E81">
            <v>0</v>
          </cell>
          <cell r="F81">
            <v>0</v>
          </cell>
          <cell r="G81">
            <v>0</v>
          </cell>
          <cell r="H81">
            <v>0</v>
          </cell>
          <cell r="I81">
            <v>0</v>
          </cell>
          <cell r="J81">
            <v>0</v>
          </cell>
          <cell r="K81">
            <v>0</v>
          </cell>
          <cell r="L81">
            <v>0</v>
          </cell>
          <cell r="M81">
            <v>0</v>
          </cell>
          <cell r="N81">
            <v>0</v>
          </cell>
        </row>
        <row r="82">
          <cell r="C82">
            <v>0</v>
          </cell>
          <cell r="D82">
            <v>0</v>
          </cell>
          <cell r="E82">
            <v>0</v>
          </cell>
          <cell r="F82">
            <v>0</v>
          </cell>
          <cell r="G82">
            <v>0</v>
          </cell>
          <cell r="H82">
            <v>0</v>
          </cell>
          <cell r="I82">
            <v>0</v>
          </cell>
          <cell r="J82">
            <v>1193.5899999999999</v>
          </cell>
          <cell r="K82">
            <v>1762.7460000000001</v>
          </cell>
          <cell r="L82">
            <v>2427</v>
          </cell>
          <cell r="M82">
            <v>2923</v>
          </cell>
          <cell r="N82">
            <v>3899</v>
          </cell>
        </row>
        <row r="84">
          <cell r="C84">
            <v>0</v>
          </cell>
          <cell r="D84">
            <v>0</v>
          </cell>
          <cell r="E84">
            <v>0</v>
          </cell>
          <cell r="F84">
            <v>0</v>
          </cell>
          <cell r="G84">
            <v>0</v>
          </cell>
          <cell r="H84">
            <v>0</v>
          </cell>
          <cell r="I84">
            <v>0</v>
          </cell>
          <cell r="J84">
            <v>649.8420000000001</v>
          </cell>
          <cell r="K84">
            <v>995.97899999999981</v>
          </cell>
          <cell r="L84">
            <v>1326</v>
          </cell>
          <cell r="M84">
            <v>1726</v>
          </cell>
          <cell r="N84">
            <v>2038</v>
          </cell>
          <cell r="O84">
            <v>3078</v>
          </cell>
          <cell r="P84">
            <v>5130</v>
          </cell>
          <cell r="Q84">
            <v>6644</v>
          </cell>
        </row>
        <row r="85">
          <cell r="C85">
            <v>0</v>
          </cell>
          <cell r="D85">
            <v>0</v>
          </cell>
          <cell r="E85">
            <v>0</v>
          </cell>
          <cell r="F85">
            <v>0</v>
          </cell>
          <cell r="G85">
            <v>0</v>
          </cell>
          <cell r="H85">
            <v>0</v>
          </cell>
          <cell r="I85">
            <v>0</v>
          </cell>
          <cell r="J85">
            <v>0</v>
          </cell>
          <cell r="K85">
            <v>0</v>
          </cell>
          <cell r="L85">
            <v>0</v>
          </cell>
          <cell r="M85">
            <v>0</v>
          </cell>
          <cell r="N85">
            <v>0</v>
          </cell>
        </row>
        <row r="86">
          <cell r="C86">
            <v>0</v>
          </cell>
          <cell r="D86">
            <v>0</v>
          </cell>
          <cell r="E86">
            <v>0</v>
          </cell>
          <cell r="F86">
            <v>0</v>
          </cell>
          <cell r="G86">
            <v>0</v>
          </cell>
          <cell r="H86">
            <v>0</v>
          </cell>
          <cell r="I86">
            <v>0</v>
          </cell>
          <cell r="J86">
            <v>-37.265000000000001</v>
          </cell>
          <cell r="K86">
            <v>-55.893999999999998</v>
          </cell>
          <cell r="L86">
            <v>0</v>
          </cell>
          <cell r="M86">
            <v>0</v>
          </cell>
          <cell r="N86">
            <v>0</v>
          </cell>
        </row>
        <row r="87">
          <cell r="C87">
            <v>0</v>
          </cell>
          <cell r="D87">
            <v>0</v>
          </cell>
          <cell r="E87">
            <v>0</v>
          </cell>
          <cell r="F87">
            <v>0</v>
          </cell>
          <cell r="G87">
            <v>0</v>
          </cell>
          <cell r="H87">
            <v>0</v>
          </cell>
          <cell r="I87">
            <v>0</v>
          </cell>
          <cell r="J87">
            <v>0</v>
          </cell>
          <cell r="K87">
            <v>0</v>
          </cell>
          <cell r="L87">
            <v>0</v>
          </cell>
          <cell r="M87">
            <v>90</v>
          </cell>
          <cell r="N87">
            <v>46</v>
          </cell>
        </row>
        <row r="88">
          <cell r="C88">
            <v>0</v>
          </cell>
          <cell r="D88">
            <v>0</v>
          </cell>
          <cell r="E88">
            <v>0</v>
          </cell>
          <cell r="F88">
            <v>0</v>
          </cell>
          <cell r="G88">
            <v>0</v>
          </cell>
          <cell r="H88">
            <v>0</v>
          </cell>
          <cell r="I88">
            <v>0</v>
          </cell>
          <cell r="J88">
            <v>0</v>
          </cell>
          <cell r="K88">
            <v>0</v>
          </cell>
          <cell r="L88">
            <v>75</v>
          </cell>
          <cell r="M88">
            <v>102</v>
          </cell>
          <cell r="N88">
            <v>191</v>
          </cell>
        </row>
        <row r="89">
          <cell r="C89">
            <v>0</v>
          </cell>
          <cell r="D89">
            <v>0</v>
          </cell>
          <cell r="E89">
            <v>0</v>
          </cell>
          <cell r="F89">
            <v>0</v>
          </cell>
          <cell r="G89">
            <v>0</v>
          </cell>
          <cell r="H89">
            <v>0</v>
          </cell>
          <cell r="I89">
            <v>0</v>
          </cell>
          <cell r="J89">
            <v>16.463000000000001</v>
          </cell>
          <cell r="K89">
            <v>10.608000000000001</v>
          </cell>
          <cell r="L89">
            <v>0</v>
          </cell>
          <cell r="M89">
            <v>16</v>
          </cell>
          <cell r="N89">
            <v>16</v>
          </cell>
        </row>
        <row r="90">
          <cell r="C90">
            <v>0</v>
          </cell>
          <cell r="D90">
            <v>0</v>
          </cell>
          <cell r="E90">
            <v>0</v>
          </cell>
          <cell r="F90">
            <v>0</v>
          </cell>
          <cell r="G90">
            <v>0</v>
          </cell>
          <cell r="H90">
            <v>0</v>
          </cell>
          <cell r="I90">
            <v>0</v>
          </cell>
          <cell r="J90">
            <v>670.64400000000012</v>
          </cell>
          <cell r="K90">
            <v>1041.2649999999999</v>
          </cell>
          <cell r="L90">
            <v>1401</v>
          </cell>
          <cell r="M90">
            <v>1722</v>
          </cell>
          <cell r="N90">
            <v>2167</v>
          </cell>
        </row>
        <row r="91">
          <cell r="C91">
            <v>0</v>
          </cell>
          <cell r="D91">
            <v>0</v>
          </cell>
          <cell r="E91">
            <v>0</v>
          </cell>
          <cell r="F91">
            <v>0</v>
          </cell>
          <cell r="G91">
            <v>0</v>
          </cell>
          <cell r="H91">
            <v>0</v>
          </cell>
          <cell r="I91">
            <v>0</v>
          </cell>
          <cell r="J91">
            <v>207.90100000000001</v>
          </cell>
          <cell r="K91">
            <v>333.20499999999998</v>
          </cell>
          <cell r="L91">
            <v>448</v>
          </cell>
          <cell r="M91">
            <v>576</v>
          </cell>
          <cell r="N91">
            <v>714</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row>
        <row r="94">
          <cell r="C94">
            <v>0</v>
          </cell>
          <cell r="D94">
            <v>0</v>
          </cell>
          <cell r="E94">
            <v>0</v>
          </cell>
          <cell r="F94">
            <v>0</v>
          </cell>
          <cell r="G94">
            <v>0</v>
          </cell>
          <cell r="H94">
            <v>0</v>
          </cell>
          <cell r="I94">
            <v>0</v>
          </cell>
          <cell r="J94">
            <v>462.74300000000011</v>
          </cell>
          <cell r="K94">
            <v>708.06</v>
          </cell>
          <cell r="L94">
            <v>953</v>
          </cell>
          <cell r="M94">
            <v>1146</v>
          </cell>
          <cell r="N94">
            <v>1453</v>
          </cell>
        </row>
        <row r="95">
          <cell r="N95">
            <v>-671.71600000000001</v>
          </cell>
        </row>
        <row r="96">
          <cell r="C96">
            <v>0</v>
          </cell>
          <cell r="D96">
            <v>0</v>
          </cell>
          <cell r="E96">
            <v>0</v>
          </cell>
          <cell r="F96">
            <v>0</v>
          </cell>
          <cell r="G96">
            <v>0</v>
          </cell>
          <cell r="H96">
            <v>0</v>
          </cell>
          <cell r="I96">
            <v>0</v>
          </cell>
          <cell r="J96">
            <v>0.22427542553603974</v>
          </cell>
          <cell r="K96">
            <v>0.33348718914845515</v>
          </cell>
          <cell r="L96">
            <v>0.43012402736906719</v>
          </cell>
          <cell r="M96">
            <v>0.50392232736482923</v>
          </cell>
          <cell r="N96">
            <v>0.62389433728938737</v>
          </cell>
        </row>
        <row r="97">
          <cell r="C97">
            <v>0</v>
          </cell>
          <cell r="D97">
            <v>0</v>
          </cell>
          <cell r="E97">
            <v>0</v>
          </cell>
          <cell r="F97">
            <v>0</v>
          </cell>
          <cell r="G97">
            <v>0</v>
          </cell>
          <cell r="H97">
            <v>0</v>
          </cell>
          <cell r="I97">
            <v>0</v>
          </cell>
          <cell r="J97">
            <v>0.31000202790153941</v>
          </cell>
          <cell r="K97">
            <v>0.32000019207406383</v>
          </cell>
          <cell r="L97">
            <v>0.31977159172019987</v>
          </cell>
          <cell r="M97">
            <v>0.33449477351916374</v>
          </cell>
          <cell r="N97">
            <v>0.32948777111213662</v>
          </cell>
        </row>
        <row r="98">
          <cell r="C98">
            <v>0</v>
          </cell>
          <cell r="D98">
            <v>0</v>
          </cell>
          <cell r="E98">
            <v>0</v>
          </cell>
          <cell r="F98">
            <v>0</v>
          </cell>
          <cell r="G98">
            <v>0</v>
          </cell>
          <cell r="H98">
            <v>0</v>
          </cell>
          <cell r="I98">
            <v>0</v>
          </cell>
          <cell r="J98">
            <v>0.31000202790153936</v>
          </cell>
          <cell r="K98">
            <v>0.32000019207406377</v>
          </cell>
          <cell r="L98">
            <v>0.31977159172019987</v>
          </cell>
          <cell r="M98">
            <v>0.33449477351916379</v>
          </cell>
          <cell r="N98">
            <v>0.32948777111213662</v>
          </cell>
          <cell r="O98">
            <v>0.35039952648712636</v>
          </cell>
          <cell r="P98">
            <v>0.35001881821603315</v>
          </cell>
          <cell r="Q98">
            <v>0.36911620064633976</v>
          </cell>
        </row>
        <row r="100">
          <cell r="C100">
            <v>0</v>
          </cell>
          <cell r="D100">
            <v>0</v>
          </cell>
          <cell r="E100">
            <v>0</v>
          </cell>
          <cell r="F100">
            <v>0</v>
          </cell>
          <cell r="G100">
            <v>0</v>
          </cell>
          <cell r="H100">
            <v>0</v>
          </cell>
          <cell r="I100">
            <v>0</v>
          </cell>
          <cell r="J100">
            <v>75.762</v>
          </cell>
          <cell r="K100">
            <v>112.321</v>
          </cell>
          <cell r="L100">
            <v>151</v>
          </cell>
          <cell r="M100">
            <v>237</v>
          </cell>
          <cell r="N100">
            <v>269</v>
          </cell>
        </row>
        <row r="101">
          <cell r="C101">
            <v>0</v>
          </cell>
          <cell r="D101">
            <v>0</v>
          </cell>
          <cell r="E101">
            <v>0</v>
          </cell>
          <cell r="F101">
            <v>0</v>
          </cell>
          <cell r="G101">
            <v>0</v>
          </cell>
          <cell r="H101">
            <v>0</v>
          </cell>
          <cell r="I101">
            <v>0</v>
          </cell>
          <cell r="J101">
            <v>649.8420000000001</v>
          </cell>
          <cell r="K101">
            <v>995.97899999999981</v>
          </cell>
          <cell r="L101">
            <v>1326</v>
          </cell>
          <cell r="M101">
            <v>1726</v>
          </cell>
          <cell r="N101">
            <v>2038</v>
          </cell>
        </row>
        <row r="102">
          <cell r="C102">
            <v>0</v>
          </cell>
          <cell r="D102">
            <v>0</v>
          </cell>
          <cell r="E102">
            <v>0</v>
          </cell>
          <cell r="F102">
            <v>0</v>
          </cell>
          <cell r="G102">
            <v>0</v>
          </cell>
          <cell r="H102">
            <v>0</v>
          </cell>
          <cell r="I102">
            <v>0</v>
          </cell>
          <cell r="J102">
            <v>725.60400000000004</v>
          </cell>
          <cell r="K102">
            <v>1108.2999999999997</v>
          </cell>
          <cell r="L102">
            <v>1477</v>
          </cell>
          <cell r="M102">
            <v>1963</v>
          </cell>
          <cell r="N102">
            <v>2307</v>
          </cell>
        </row>
        <row r="103">
          <cell r="C103">
            <v>0</v>
          </cell>
          <cell r="D103">
            <v>0</v>
          </cell>
          <cell r="E103">
            <v>0</v>
          </cell>
          <cell r="F103">
            <v>0</v>
          </cell>
          <cell r="G103">
            <v>0</v>
          </cell>
          <cell r="H103">
            <v>0</v>
          </cell>
          <cell r="I103">
            <v>0</v>
          </cell>
          <cell r="J103">
            <v>286.827</v>
          </cell>
          <cell r="K103">
            <v>354.10299999999995</v>
          </cell>
          <cell r="L103">
            <v>482</v>
          </cell>
          <cell r="M103">
            <v>526</v>
          </cell>
          <cell r="N103">
            <v>608</v>
          </cell>
          <cell r="O103">
            <v>708</v>
          </cell>
          <cell r="P103">
            <v>605</v>
          </cell>
          <cell r="Q103">
            <v>173</v>
          </cell>
        </row>
        <row r="104">
          <cell r="C104">
            <v>0</v>
          </cell>
          <cell r="D104">
            <v>0</v>
          </cell>
          <cell r="E104">
            <v>0</v>
          </cell>
          <cell r="F104">
            <v>0</v>
          </cell>
          <cell r="G104">
            <v>0</v>
          </cell>
          <cell r="H104">
            <v>0</v>
          </cell>
          <cell r="I104">
            <v>0</v>
          </cell>
          <cell r="J104">
            <v>75.762</v>
          </cell>
          <cell r="K104">
            <v>112.321</v>
          </cell>
          <cell r="L104">
            <v>151</v>
          </cell>
          <cell r="M104">
            <v>237</v>
          </cell>
          <cell r="N104">
            <v>269</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8">
          <cell r="C108" t="str">
            <v xml:space="preserve">--  </v>
          </cell>
          <cell r="D108" t="str">
            <v xml:space="preserve">--  </v>
          </cell>
          <cell r="E108" t="str">
            <v xml:space="preserve">--  </v>
          </cell>
          <cell r="F108" t="str">
            <v xml:space="preserve">--  </v>
          </cell>
          <cell r="G108" t="str">
            <v xml:space="preserve">--  </v>
          </cell>
          <cell r="H108" t="str">
            <v xml:space="preserve">--  </v>
          </cell>
          <cell r="I108" t="str">
            <v xml:space="preserve">--  </v>
          </cell>
          <cell r="J108">
            <v>0.8033076348897058</v>
          </cell>
          <cell r="K108">
            <v>0.83092769304660663</v>
          </cell>
          <cell r="L108">
            <v>0.83133493205435649</v>
          </cell>
          <cell r="M108">
            <v>0.83587868358786832</v>
          </cell>
          <cell r="N108">
            <v>0.85228229745662798</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v>0.39361582092531761</v>
          </cell>
          <cell r="K109">
            <v>0.40174355907167253</v>
          </cell>
          <cell r="L109">
            <v>0.39355182520650145</v>
          </cell>
          <cell r="M109">
            <v>0.42224134222413423</v>
          </cell>
          <cell r="N109">
            <v>0.38858009095502777</v>
          </cell>
        </row>
        <row r="110">
          <cell r="C110" t="str">
            <v xml:space="preserve">--  </v>
          </cell>
          <cell r="D110" t="str">
            <v xml:space="preserve">--  </v>
          </cell>
          <cell r="E110" t="str">
            <v xml:space="preserve">--  </v>
          </cell>
          <cell r="F110" t="str">
            <v xml:space="preserve">--  </v>
          </cell>
          <cell r="G110" t="str">
            <v xml:space="preserve">--  </v>
          </cell>
          <cell r="H110" t="str">
            <v xml:space="preserve">--  </v>
          </cell>
          <cell r="I110" t="str">
            <v xml:space="preserve">--  </v>
          </cell>
          <cell r="J110">
            <v>0.35251747826879432</v>
          </cell>
          <cell r="K110">
            <v>0.36102873610091613</v>
          </cell>
          <cell r="L110">
            <v>0.35331734612310151</v>
          </cell>
          <cell r="M110">
            <v>0.37126263712626373</v>
          </cell>
          <cell r="N110">
            <v>0.34327101229577228</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v>0.35251747826879432</v>
          </cell>
          <cell r="K111">
            <v>0.36102873610091613</v>
          </cell>
          <cell r="L111">
            <v>0.35331734612310151</v>
          </cell>
          <cell r="M111">
            <v>0.37126263712626373</v>
          </cell>
          <cell r="N111">
            <v>0.34327101229577228</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v>0.33134150044307359</v>
          </cell>
          <cell r="K112">
            <v>0.3129617327313608</v>
          </cell>
          <cell r="L112">
            <v>0.29002664046889221</v>
          </cell>
          <cell r="M112">
            <v>0.2839365379988803</v>
          </cell>
          <cell r="N112">
            <v>0.27337921609188948</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v>0.25102254924510375</v>
          </cell>
          <cell r="K113">
            <v>0.2566620449664247</v>
          </cell>
          <cell r="L113">
            <v>0.25393018918198773</v>
          </cell>
          <cell r="M113">
            <v>0.24650462465046247</v>
          </cell>
          <cell r="N113">
            <v>0.24473639885464038</v>
          </cell>
        </row>
        <row r="114">
          <cell r="C114" t="str">
            <v xml:space="preserve">--  </v>
          </cell>
          <cell r="D114" t="str">
            <v xml:space="preserve">--  </v>
          </cell>
          <cell r="E114" t="str">
            <v xml:space="preserve">--  </v>
          </cell>
          <cell r="F114" t="str">
            <v xml:space="preserve">--  </v>
          </cell>
          <cell r="G114" t="str">
            <v xml:space="preserve">--  </v>
          </cell>
          <cell r="H114" t="str">
            <v xml:space="preserve">--  </v>
          </cell>
          <cell r="I114" t="str">
            <v xml:space="preserve">--  </v>
          </cell>
          <cell r="J114">
            <v>0.32310115046283239</v>
          </cell>
          <cell r="K114">
            <v>0.34224832123535331</v>
          </cell>
          <cell r="L114">
            <v>0.35278443911537438</v>
          </cell>
          <cell r="M114">
            <v>0.33340503334050331</v>
          </cell>
          <cell r="N114">
            <v>0.36415698164055921</v>
          </cell>
          <cell r="O114">
            <v>0.34286702802444929</v>
          </cell>
          <cell r="P114">
            <v>0.28332452896636734</v>
          </cell>
          <cell r="Q114">
            <v>0.26546534106600389</v>
          </cell>
        </row>
        <row r="115">
          <cell r="C115" t="str">
            <v xml:space="preserve">--  </v>
          </cell>
          <cell r="D115" t="str">
            <v xml:space="preserve">--  </v>
          </cell>
          <cell r="E115" t="str">
            <v xml:space="preserve">--  </v>
          </cell>
          <cell r="F115" t="str">
            <v xml:space="preserve">--  </v>
          </cell>
          <cell r="G115" t="str">
            <v xml:space="preserve">--  </v>
          </cell>
          <cell r="H115" t="str">
            <v xml:space="preserve">--  </v>
          </cell>
          <cell r="I115" t="str">
            <v xml:space="preserve">--  </v>
          </cell>
          <cell r="J115">
            <v>4.1098342656523269E-2</v>
          </cell>
          <cell r="K115">
            <v>4.0714822970756417E-2</v>
          </cell>
          <cell r="L115">
            <v>4.0234479083399943E-2</v>
          </cell>
          <cell r="M115">
            <v>5.0978705097870509E-2</v>
          </cell>
          <cell r="N115">
            <v>4.5309078659255514E-2</v>
          </cell>
          <cell r="O115">
            <v>5.5356936916157305E-2</v>
          </cell>
          <cell r="P115">
            <v>4.226096143687269E-2</v>
          </cell>
          <cell r="Q115">
            <v>7.0698702016017675E-2</v>
          </cell>
        </row>
        <row r="119">
          <cell r="C119" t="str">
            <v xml:space="preserve">--  </v>
          </cell>
          <cell r="D119" t="str">
            <v xml:space="preserve">--  </v>
          </cell>
          <cell r="E119" t="str">
            <v xml:space="preserve">--  </v>
          </cell>
          <cell r="F119" t="str">
            <v xml:space="preserve">--  </v>
          </cell>
          <cell r="G119" t="str">
            <v xml:space="preserve">--  </v>
          </cell>
          <cell r="H119" t="str">
            <v xml:space="preserve">--  </v>
          </cell>
          <cell r="I119" t="str">
            <v xml:space="preserve">--  </v>
          </cell>
          <cell r="J119">
            <v>0.33134150044307359</v>
          </cell>
          <cell r="K119">
            <v>0.3129617327313608</v>
          </cell>
          <cell r="L119">
            <v>0.29002664046889221</v>
          </cell>
          <cell r="M119">
            <v>0.2839365379988803</v>
          </cell>
          <cell r="N119">
            <v>0.27337921609188948</v>
          </cell>
        </row>
        <row r="120">
          <cell r="C120" t="str">
            <v>N/A</v>
          </cell>
          <cell r="D120" t="str">
            <v xml:space="preserve">--  </v>
          </cell>
          <cell r="E120" t="str">
            <v xml:space="preserve">--  </v>
          </cell>
          <cell r="F120" t="str">
            <v xml:space="preserve">--  </v>
          </cell>
          <cell r="G120" t="str">
            <v xml:space="preserve">--  </v>
          </cell>
          <cell r="H120" t="str">
            <v xml:space="preserve">--  </v>
          </cell>
          <cell r="I120" t="str">
            <v xml:space="preserve">--  </v>
          </cell>
          <cell r="J120">
            <v>1.8562470096051515</v>
          </cell>
          <cell r="K120">
            <v>2.2347777025918978</v>
          </cell>
          <cell r="L120">
            <v>2.2331591506220132</v>
          </cell>
          <cell r="M120">
            <v>2.3550996130135848</v>
          </cell>
          <cell r="N120">
            <v>2.1403747428329716</v>
          </cell>
        </row>
        <row r="121">
          <cell r="C121" t="str">
            <v>N/A</v>
          </cell>
          <cell r="D121" t="str">
            <v xml:space="preserve">--  </v>
          </cell>
          <cell r="E121" t="str">
            <v xml:space="preserve">--  </v>
          </cell>
          <cell r="F121" t="str">
            <v xml:space="preserve">--  </v>
          </cell>
          <cell r="G121" t="str">
            <v xml:space="preserve">--  </v>
          </cell>
          <cell r="H121" t="str">
            <v xml:space="preserve">--  </v>
          </cell>
          <cell r="I121" t="str">
            <v xml:space="preserve">--  </v>
          </cell>
          <cell r="J121">
            <v>0.61505166935553934</v>
          </cell>
          <cell r="K121">
            <v>0.69939990207257008</v>
          </cell>
          <cell r="L121">
            <v>0.64767564608726735</v>
          </cell>
          <cell r="M121">
            <v>0.66869883076157999</v>
          </cell>
          <cell r="N121">
            <v>0.58513396933855732</v>
          </cell>
        </row>
        <row r="122">
          <cell r="C122" t="str">
            <v>N/A</v>
          </cell>
          <cell r="D122" t="str">
            <v>N/A</v>
          </cell>
          <cell r="E122" t="str">
            <v>NM</v>
          </cell>
          <cell r="F122" t="str">
            <v>NM</v>
          </cell>
          <cell r="G122" t="str">
            <v>NM</v>
          </cell>
          <cell r="H122" t="str">
            <v>NM</v>
          </cell>
          <cell r="I122" t="str">
            <v>NM</v>
          </cell>
          <cell r="J122" t="str">
            <v>NM</v>
          </cell>
          <cell r="K122">
            <v>0.25432562418273008</v>
          </cell>
          <cell r="L122">
            <v>0.46631370761856944</v>
          </cell>
          <cell r="M122">
            <v>0.56538777747845093</v>
          </cell>
          <cell r="N122">
            <v>1.7088849457823854</v>
          </cell>
        </row>
        <row r="123">
          <cell r="C123" t="str">
            <v>N/A</v>
          </cell>
          <cell r="D123" t="str">
            <v xml:space="preserve">--  </v>
          </cell>
          <cell r="E123" t="str">
            <v xml:space="preserve">--  </v>
          </cell>
          <cell r="F123" t="str">
            <v xml:space="preserve">--  </v>
          </cell>
          <cell r="G123" t="str">
            <v xml:space="preserve">--  </v>
          </cell>
          <cell r="H123" t="str">
            <v xml:space="preserve">--  </v>
          </cell>
          <cell r="I123" t="str">
            <v xml:space="preserve">--  </v>
          </cell>
          <cell r="J123" t="str">
            <v xml:space="preserve">--  </v>
          </cell>
          <cell r="K123">
            <v>8.4348232717030736E-2</v>
          </cell>
          <cell r="L123">
            <v>-5.1724255985302725E-2</v>
          </cell>
          <cell r="M123">
            <v>2.1023184674312634E-2</v>
          </cell>
          <cell r="N123">
            <v>-8.3564861423022663E-2</v>
          </cell>
        </row>
        <row r="124">
          <cell r="C124" t="str">
            <v xml:space="preserve">--  </v>
          </cell>
          <cell r="D124" t="str">
            <v xml:space="preserve">--  </v>
          </cell>
          <cell r="E124" t="str">
            <v xml:space="preserve">--  </v>
          </cell>
          <cell r="F124" t="str">
            <v xml:space="preserve">--  </v>
          </cell>
          <cell r="G124" t="str">
            <v xml:space="preserve">--  </v>
          </cell>
          <cell r="H124" t="str">
            <v xml:space="preserve">--  </v>
          </cell>
          <cell r="I124" t="str">
            <v xml:space="preserve">--  </v>
          </cell>
          <cell r="J124">
            <v>479.19094330720065</v>
          </cell>
          <cell r="K124">
            <v>705.96118637485597</v>
          </cell>
          <cell r="L124">
            <v>871.39801667225242</v>
          </cell>
          <cell r="M124">
            <v>1064.6526224859613</v>
          </cell>
          <cell r="N124">
            <v>1285.3545016708813</v>
          </cell>
          <cell r="O124">
            <v>2093.6521206047355</v>
          </cell>
          <cell r="P124">
            <v>3584.9915151018267</v>
          </cell>
          <cell r="Q124">
            <v>4691.3010948295905</v>
          </cell>
        </row>
        <row r="125">
          <cell r="C125" t="str">
            <v xml:space="preserve">--  </v>
          </cell>
          <cell r="D125" t="str">
            <v xml:space="preserve">--  </v>
          </cell>
          <cell r="E125" t="str">
            <v xml:space="preserve">--  </v>
          </cell>
          <cell r="F125" t="str">
            <v xml:space="preserve">--  </v>
          </cell>
          <cell r="G125" t="str">
            <v xml:space="preserve">--  </v>
          </cell>
          <cell r="H125" t="str">
            <v xml:space="preserve">--  </v>
          </cell>
          <cell r="I125" t="str">
            <v xml:space="preserve">--  </v>
          </cell>
          <cell r="J125" t="str">
            <v xml:space="preserve">--  </v>
          </cell>
          <cell r="K125">
            <v>226.77024306765531</v>
          </cell>
          <cell r="L125">
            <v>165.43683029739645</v>
          </cell>
          <cell r="M125">
            <v>193.25460581370885</v>
          </cell>
          <cell r="N125">
            <v>220.70187918492002</v>
          </cell>
        </row>
        <row r="128">
          <cell r="C128" t="str">
            <v>--</v>
          </cell>
          <cell r="D128" t="str">
            <v xml:space="preserve">--  </v>
          </cell>
          <cell r="E128" t="str">
            <v xml:space="preserve">--  </v>
          </cell>
          <cell r="F128" t="str">
            <v xml:space="preserve">--  </v>
          </cell>
          <cell r="G128" t="str">
            <v xml:space="preserve">--  </v>
          </cell>
          <cell r="H128" t="str">
            <v xml:space="preserve">--  </v>
          </cell>
          <cell r="I128" t="str">
            <v xml:space="preserve">--  </v>
          </cell>
          <cell r="J128">
            <v>15.153322592312499</v>
          </cell>
          <cell r="K128">
            <v>10.744393099378991</v>
          </cell>
          <cell r="L128">
            <v>12.341030721044369</v>
          </cell>
          <cell r="M128">
            <v>11.436654366543666</v>
          </cell>
          <cell r="N128">
            <v>11.244318181818182</v>
          </cell>
        </row>
        <row r="129">
          <cell r="C129" t="str">
            <v>--</v>
          </cell>
          <cell r="D129" t="str">
            <v xml:space="preserve">--  </v>
          </cell>
          <cell r="E129" t="str">
            <v xml:space="preserve">--  </v>
          </cell>
          <cell r="F129" t="str">
            <v xml:space="preserve">--  </v>
          </cell>
          <cell r="G129" t="str">
            <v xml:space="preserve">--  </v>
          </cell>
          <cell r="H129" t="str">
            <v xml:space="preserve">--  </v>
          </cell>
          <cell r="I129" t="str">
            <v xml:space="preserve">--  </v>
          </cell>
          <cell r="J129">
            <v>78.267396934573085</v>
          </cell>
          <cell r="K129">
            <v>41.491137698433583</v>
          </cell>
          <cell r="L129">
            <v>35.260460462341399</v>
          </cell>
          <cell r="M129">
            <v>40.602620087336241</v>
          </cell>
          <cell r="N129">
            <v>62.494736842105262</v>
          </cell>
        </row>
        <row r="130">
          <cell r="C130" t="str">
            <v>--</v>
          </cell>
          <cell r="D130" t="str">
            <v xml:space="preserve">--  </v>
          </cell>
          <cell r="E130" t="str">
            <v xml:space="preserve">--  </v>
          </cell>
          <cell r="F130" t="str">
            <v xml:space="preserve">--  </v>
          </cell>
          <cell r="G130" t="str">
            <v xml:space="preserve">--  </v>
          </cell>
          <cell r="H130" t="str">
            <v xml:space="preserve">--  </v>
          </cell>
          <cell r="I130" t="str">
            <v xml:space="preserve">--  </v>
          </cell>
          <cell r="J130">
            <v>25.958478420787596</v>
          </cell>
          <cell r="K130">
            <v>23.128116717502184</v>
          </cell>
          <cell r="L130">
            <v>30.806358274745449</v>
          </cell>
          <cell r="M130">
            <v>78.743224932249291</v>
          </cell>
          <cell r="N130">
            <v>-44.213583556747103</v>
          </cell>
        </row>
        <row r="131">
          <cell r="C131" t="str">
            <v>--</v>
          </cell>
          <cell r="D131" t="str">
            <v xml:space="preserve">--  </v>
          </cell>
          <cell r="E131" t="str">
            <v xml:space="preserve">--  </v>
          </cell>
          <cell r="F131" t="str">
            <v xml:space="preserve">--  </v>
          </cell>
          <cell r="G131" t="str">
            <v xml:space="preserve">--  </v>
          </cell>
          <cell r="H131" t="str">
            <v xml:space="preserve">--  </v>
          </cell>
          <cell r="I131" t="str">
            <v xml:space="preserve">--  </v>
          </cell>
          <cell r="J131">
            <v>6.9538411629016705</v>
          </cell>
          <cell r="K131">
            <v>4.2545964323526535</v>
          </cell>
          <cell r="L131">
            <v>4.5946756609513777</v>
          </cell>
          <cell r="M131">
            <v>5.1741791875347802</v>
          </cell>
          <cell r="N131">
            <v>5.5956644674835063</v>
          </cell>
        </row>
        <row r="132">
          <cell r="C132" t="str">
            <v>--</v>
          </cell>
          <cell r="D132" t="str">
            <v xml:space="preserve">--  </v>
          </cell>
          <cell r="E132" t="str">
            <v xml:space="preserve">--  </v>
          </cell>
          <cell r="F132" t="str">
            <v xml:space="preserve">--  </v>
          </cell>
          <cell r="G132" t="str">
            <v xml:space="preserve">--  </v>
          </cell>
          <cell r="H132" t="str">
            <v xml:space="preserve">--  </v>
          </cell>
          <cell r="I132" t="str">
            <v xml:space="preserve">--  </v>
          </cell>
          <cell r="J132">
            <v>4.3320490631172399</v>
          </cell>
          <cell r="K132">
            <v>2.4738123239340317</v>
          </cell>
          <cell r="L132">
            <v>2.4076933275737451</v>
          </cell>
          <cell r="M132">
            <v>2.4277089899820234</v>
          </cell>
          <cell r="N132">
            <v>2.325931709595066</v>
          </cell>
        </row>
        <row r="133">
          <cell r="C133" t="str">
            <v>--</v>
          </cell>
          <cell r="D133" t="str">
            <v xml:space="preserve">--  </v>
          </cell>
          <cell r="E133" t="str">
            <v xml:space="preserve">--  </v>
          </cell>
          <cell r="F133" t="str">
            <v xml:space="preserve">--  </v>
          </cell>
          <cell r="G133" t="str">
            <v xml:space="preserve">--  </v>
          </cell>
          <cell r="H133" t="str">
            <v xml:space="preserve">--  </v>
          </cell>
          <cell r="I133" t="str">
            <v xml:space="preserve">--  </v>
          </cell>
          <cell r="J133">
            <v>43.12626038133115</v>
          </cell>
          <cell r="K133">
            <v>29.183746872669378</v>
          </cell>
          <cell r="L133">
            <v>39.181704764340779</v>
          </cell>
          <cell r="M133">
            <v>44.488038277511961</v>
          </cell>
          <cell r="N133">
            <v>22.878612716763005</v>
          </cell>
        </row>
        <row r="134">
          <cell r="C134" t="str">
            <v>--</v>
          </cell>
          <cell r="D134" t="str">
            <v xml:space="preserve">--  </v>
          </cell>
          <cell r="E134" t="str">
            <v xml:space="preserve">--  </v>
          </cell>
          <cell r="F134" t="str">
            <v xml:space="preserve">--  </v>
          </cell>
          <cell r="G134" t="str">
            <v xml:space="preserve">--  </v>
          </cell>
          <cell r="H134" t="str">
            <v xml:space="preserve">--  </v>
          </cell>
          <cell r="I134" t="str">
            <v xml:space="preserve">--  </v>
          </cell>
          <cell r="J134" t="str">
            <v xml:space="preserve">--  </v>
          </cell>
          <cell r="K134" t="str">
            <v xml:space="preserve">--  </v>
          </cell>
          <cell r="L134" t="str">
            <v xml:space="preserve">--  </v>
          </cell>
          <cell r="M134" t="str">
            <v xml:space="preserve">--  </v>
          </cell>
          <cell r="N134" t="str">
            <v xml:space="preserve">--  </v>
          </cell>
        </row>
        <row r="135">
          <cell r="C135" t="str">
            <v>--</v>
          </cell>
          <cell r="D135" t="str">
            <v xml:space="preserve">--  </v>
          </cell>
          <cell r="E135" t="str">
            <v xml:space="preserve">--  </v>
          </cell>
          <cell r="F135" t="str">
            <v xml:space="preserve">--  </v>
          </cell>
          <cell r="G135" t="str">
            <v xml:space="preserve">--  </v>
          </cell>
          <cell r="H135" t="str">
            <v xml:space="preserve">--  </v>
          </cell>
          <cell r="I135" t="str">
            <v xml:space="preserve">--  </v>
          </cell>
          <cell r="J135">
            <v>1.8562470096051515</v>
          </cell>
          <cell r="K135">
            <v>2.2347777025918978</v>
          </cell>
          <cell r="L135">
            <v>2.2331591506220132</v>
          </cell>
          <cell r="M135">
            <v>2.3550996130135848</v>
          </cell>
          <cell r="N135">
            <v>2.1403747428329716</v>
          </cell>
        </row>
        <row r="138">
          <cell r="C138" t="str">
            <v xml:space="preserve">  --</v>
          </cell>
          <cell r="D138" t="str">
            <v xml:space="preserve">  --</v>
          </cell>
          <cell r="E138" t="str">
            <v xml:space="preserve">  --</v>
          </cell>
          <cell r="F138" t="str">
            <v xml:space="preserve">  --</v>
          </cell>
          <cell r="G138" t="str">
            <v xml:space="preserve">  --</v>
          </cell>
          <cell r="H138" t="str">
            <v xml:space="preserve">  --</v>
          </cell>
          <cell r="I138" t="str">
            <v xml:space="preserve">  --</v>
          </cell>
          <cell r="J138" t="e">
            <v>#DIV/0!</v>
          </cell>
          <cell r="K138">
            <v>0.49651573803644511</v>
          </cell>
          <cell r="L138">
            <v>0.36041105945681434</v>
          </cell>
          <cell r="M138">
            <v>0.23874233946176393</v>
          </cell>
          <cell r="N138">
            <v>0.27704882770488276</v>
          </cell>
        </row>
        <row r="139">
          <cell r="C139" t="str">
            <v xml:space="preserve">  --</v>
          </cell>
          <cell r="D139" t="str">
            <v xml:space="preserve">  --</v>
          </cell>
          <cell r="E139" t="str">
            <v xml:space="preserve">  --</v>
          </cell>
          <cell r="F139" t="str">
            <v xml:space="preserve">  --</v>
          </cell>
          <cell r="G139" t="str">
            <v xml:space="preserve">  --</v>
          </cell>
          <cell r="H139" t="str">
            <v xml:space="preserve">  --</v>
          </cell>
          <cell r="I139" t="str">
            <v xml:space="preserve">  --</v>
          </cell>
          <cell r="J139" t="str">
            <v xml:space="preserve">  --</v>
          </cell>
          <cell r="K139" t="str">
            <v xml:space="preserve">  --</v>
          </cell>
          <cell r="L139" t="str">
            <v xml:space="preserve">--  </v>
          </cell>
          <cell r="M139" t="str">
            <v xml:space="preserve">--  </v>
          </cell>
          <cell r="N139" t="str">
            <v xml:space="preserve">--  </v>
          </cell>
        </row>
        <row r="140">
          <cell r="C140" t="str">
            <v xml:space="preserve">  --</v>
          </cell>
          <cell r="D140" t="str">
            <v xml:space="preserve">  --</v>
          </cell>
          <cell r="E140" t="str">
            <v xml:space="preserve">  --</v>
          </cell>
          <cell r="F140" t="str">
            <v xml:space="preserve">  --</v>
          </cell>
          <cell r="G140" t="str">
            <v xml:space="preserve">  --</v>
          </cell>
          <cell r="H140" t="str">
            <v xml:space="preserve">  --</v>
          </cell>
          <cell r="I140" t="str">
            <v xml:space="preserve">  --</v>
          </cell>
          <cell r="J140" t="e">
            <v>#DIV/0!</v>
          </cell>
          <cell r="K140">
            <v>0.49651573803644511</v>
          </cell>
          <cell r="L140">
            <v>0.36041105945681434</v>
          </cell>
          <cell r="M140">
            <v>0.23874233946176393</v>
          </cell>
          <cell r="N140">
            <v>0.27704882770488276</v>
          </cell>
          <cell r="O140">
            <v>0.46050193700522152</v>
          </cell>
          <cell r="P140">
            <v>0.30988351977857226</v>
          </cell>
          <cell r="Q140">
            <v>0.27522451135763337</v>
          </cell>
        </row>
        <row r="141">
          <cell r="C141" t="str">
            <v xml:space="preserve">  --</v>
          </cell>
          <cell r="D141" t="str">
            <v xml:space="preserve">  --</v>
          </cell>
          <cell r="E141" t="str">
            <v xml:space="preserve">  --</v>
          </cell>
          <cell r="F141" t="str">
            <v xml:space="preserve">  --</v>
          </cell>
          <cell r="G141" t="str">
            <v xml:space="preserve">  --</v>
          </cell>
          <cell r="H141" t="str">
            <v xml:space="preserve">  --</v>
          </cell>
          <cell r="I141" t="str">
            <v xml:space="preserve">  --</v>
          </cell>
          <cell r="J141" t="e">
            <v>#DIV/0!</v>
          </cell>
          <cell r="K141">
            <v>0.53013659850067918</v>
          </cell>
          <cell r="L141">
            <v>0.34593113577945384</v>
          </cell>
          <cell r="M141">
            <v>0.20251836306400839</v>
          </cell>
          <cell r="N141">
            <v>0.26788830715532286</v>
          </cell>
          <cell r="O141">
            <v>0.51066758430832759</v>
          </cell>
          <cell r="P141">
            <v>0.56674259681093397</v>
          </cell>
          <cell r="Q141">
            <v>0.29747019482407677</v>
          </cell>
        </row>
        <row r="142">
          <cell r="C142" t="str">
            <v xml:space="preserve">  --</v>
          </cell>
          <cell r="D142" t="str">
            <v xml:space="preserve">  --</v>
          </cell>
          <cell r="E142" t="str">
            <v xml:space="preserve">  --</v>
          </cell>
          <cell r="F142" t="str">
            <v xml:space="preserve">  --</v>
          </cell>
          <cell r="G142" t="str">
            <v xml:space="preserve">  --</v>
          </cell>
          <cell r="H142" t="str">
            <v xml:space="preserve">  --</v>
          </cell>
          <cell r="I142" t="str">
            <v xml:space="preserve">  --</v>
          </cell>
          <cell r="J142" t="e">
            <v>#DIV/0!</v>
          </cell>
          <cell r="K142">
            <v>0.52741715867056915</v>
          </cell>
          <cell r="L142">
            <v>0.33267165929802434</v>
          </cell>
          <cell r="M142">
            <v>0.32904536222071767</v>
          </cell>
          <cell r="N142">
            <v>0.17524197656647988</v>
          </cell>
          <cell r="O142">
            <v>0.5422626788036411</v>
          </cell>
          <cell r="P142">
            <v>0.57672849915682967</v>
          </cell>
          <cell r="Q142">
            <v>0.36684491978609624</v>
          </cell>
        </row>
        <row r="143">
          <cell r="C143" t="str">
            <v xml:space="preserve">  --</v>
          </cell>
          <cell r="D143" t="str">
            <v xml:space="preserve">  --</v>
          </cell>
          <cell r="E143" t="str">
            <v xml:space="preserve">  --</v>
          </cell>
          <cell r="F143" t="str">
            <v xml:space="preserve">  --</v>
          </cell>
          <cell r="G143" t="str">
            <v xml:space="preserve">  --</v>
          </cell>
          <cell r="H143" t="str">
            <v xml:space="preserve">  --</v>
          </cell>
          <cell r="I143" t="str">
            <v xml:space="preserve">  --</v>
          </cell>
          <cell r="J143" t="e">
            <v>#DIV/0!</v>
          </cell>
          <cell r="K143">
            <v>0.5326479359598173</v>
          </cell>
          <cell r="L143">
            <v>0.33135337190844411</v>
          </cell>
          <cell r="M143">
            <v>0.30165912518853694</v>
          </cell>
          <cell r="N143">
            <v>0.18076477404403243</v>
          </cell>
          <cell r="O143">
            <v>0.51030421982335628</v>
          </cell>
          <cell r="P143">
            <v>0.66666666666666663</v>
          </cell>
          <cell r="Q143">
            <v>0.29512670565302146</v>
          </cell>
        </row>
        <row r="144">
          <cell r="C144" t="str">
            <v xml:space="preserve">  --</v>
          </cell>
          <cell r="D144" t="str">
            <v xml:space="preserve">  --</v>
          </cell>
          <cell r="E144" t="str">
            <v xml:space="preserve">  --</v>
          </cell>
          <cell r="F144" t="str">
            <v xml:space="preserve">  --</v>
          </cell>
          <cell r="G144" t="str">
            <v xml:space="preserve">  --</v>
          </cell>
          <cell r="H144" t="str">
            <v xml:space="preserve">  --</v>
          </cell>
          <cell r="I144" t="str">
            <v xml:space="preserve">  --</v>
          </cell>
          <cell r="J144" t="e">
            <v>#DIV/0!</v>
          </cell>
          <cell r="K144">
            <v>0.41350285976658885</v>
          </cell>
          <cell r="L144">
            <v>0.26071467520172376</v>
          </cell>
          <cell r="M144">
            <v>0.21273070215469533</v>
          </cell>
          <cell r="N144">
            <v>0.22956562719801862</v>
          </cell>
          <cell r="O144">
            <v>0.54623667941376852</v>
          </cell>
          <cell r="P144">
            <v>0.57667845641611015</v>
          </cell>
          <cell r="Q144">
            <v>0.28131429051344392</v>
          </cell>
        </row>
        <row r="145">
          <cell r="C145" t="str">
            <v>--</v>
          </cell>
          <cell r="D145" t="str">
            <v>--</v>
          </cell>
          <cell r="E145" t="str">
            <v>--</v>
          </cell>
          <cell r="F145" t="str">
            <v>--</v>
          </cell>
          <cell r="G145" t="str">
            <v>--</v>
          </cell>
          <cell r="H145" t="str">
            <v>--</v>
          </cell>
          <cell r="I145" t="str">
            <v>--</v>
          </cell>
          <cell r="J145" t="str">
            <v>--</v>
          </cell>
          <cell r="K145" t="str">
            <v>--</v>
          </cell>
          <cell r="L145" t="str">
            <v>--</v>
          </cell>
          <cell r="M145" t="str">
            <v>--</v>
          </cell>
          <cell r="N145">
            <v>0.4098360655737705</v>
          </cell>
        </row>
        <row r="146">
          <cell r="C146" t="str">
            <v>--</v>
          </cell>
          <cell r="D146" t="str">
            <v>--</v>
          </cell>
          <cell r="E146" t="str">
            <v>--</v>
          </cell>
          <cell r="F146" t="str">
            <v>--</v>
          </cell>
          <cell r="G146" t="str">
            <v>--</v>
          </cell>
          <cell r="H146" t="str">
            <v>--</v>
          </cell>
          <cell r="I146" t="str">
            <v>--</v>
          </cell>
          <cell r="J146" t="str">
            <v>--</v>
          </cell>
          <cell r="K146" t="str">
            <v>--</v>
          </cell>
          <cell r="L146">
            <v>0.34436125034499337</v>
          </cell>
          <cell r="M146">
            <v>0.56953642384105962</v>
          </cell>
          <cell r="N146">
            <v>0.13502109704641349</v>
          </cell>
        </row>
        <row r="147">
          <cell r="C147" t="str">
            <v>--</v>
          </cell>
          <cell r="D147" t="str">
            <v>--</v>
          </cell>
          <cell r="E147" t="str">
            <v>--</v>
          </cell>
          <cell r="F147" t="str">
            <v>--</v>
          </cell>
          <cell r="G147" t="str">
            <v>--</v>
          </cell>
          <cell r="H147" t="str">
            <v>--</v>
          </cell>
          <cell r="I147" t="str">
            <v>--</v>
          </cell>
          <cell r="J147" t="str">
            <v>--</v>
          </cell>
          <cell r="K147" t="str">
            <v>--</v>
          </cell>
          <cell r="L147" t="str">
            <v>--</v>
          </cell>
          <cell r="M147" t="str">
            <v>--</v>
          </cell>
          <cell r="N147">
            <v>0</v>
          </cell>
        </row>
        <row r="148">
          <cell r="C148" t="str">
            <v>--</v>
          </cell>
          <cell r="D148" t="str">
            <v>--</v>
          </cell>
          <cell r="E148" t="str">
            <v>--</v>
          </cell>
          <cell r="F148" t="str">
            <v>--</v>
          </cell>
          <cell r="G148" t="str">
            <v>--</v>
          </cell>
          <cell r="H148" t="str">
            <v>--</v>
          </cell>
          <cell r="I148" t="str">
            <v>--</v>
          </cell>
          <cell r="J148" t="str">
            <v>--</v>
          </cell>
          <cell r="K148" t="str">
            <v>--</v>
          </cell>
          <cell r="L148" t="str">
            <v>--</v>
          </cell>
          <cell r="M148" t="str">
            <v>--</v>
          </cell>
          <cell r="N148">
            <v>0</v>
          </cell>
        </row>
        <row r="149">
          <cell r="M149" t="str">
            <v>--</v>
          </cell>
          <cell r="N149">
            <v>0</v>
          </cell>
        </row>
        <row r="150">
          <cell r="C150" t="str">
            <v xml:space="preserve">  --</v>
          </cell>
          <cell r="D150" t="str">
            <v xml:space="preserve">  --</v>
          </cell>
          <cell r="E150" t="str">
            <v xml:space="preserve">  --</v>
          </cell>
          <cell r="F150" t="str">
            <v xml:space="preserve">  --</v>
          </cell>
          <cell r="G150" t="str">
            <v xml:space="preserve">  --</v>
          </cell>
          <cell r="H150" t="str">
            <v xml:space="preserve">  --</v>
          </cell>
          <cell r="I150" t="str">
            <v xml:space="preserve">  --</v>
          </cell>
          <cell r="J150" t="str">
            <v xml:space="preserve">  --</v>
          </cell>
          <cell r="K150">
            <v>0.48695376834706194</v>
          </cell>
          <cell r="L150">
            <v>0.2897767631415466</v>
          </cell>
          <cell r="M150">
            <v>0.171574465270315</v>
          </cell>
          <cell r="N150">
            <v>0.23807639274872003</v>
          </cell>
          <cell r="O150">
            <v>0.48767144362065107</v>
          </cell>
          <cell r="P150">
            <v>0.41205064864714708</v>
          </cell>
          <cell r="Q150">
            <v>0.27423088107007848</v>
          </cell>
        </row>
        <row r="151">
          <cell r="C151" t="str">
            <v>--</v>
          </cell>
          <cell r="D151" t="str">
            <v>--</v>
          </cell>
          <cell r="E151" t="str">
            <v>--</v>
          </cell>
          <cell r="F151" t="str">
            <v>--</v>
          </cell>
          <cell r="G151" t="str">
            <v>--</v>
          </cell>
          <cell r="H151" t="str">
            <v>--</v>
          </cell>
          <cell r="I151" t="str">
            <v>--</v>
          </cell>
          <cell r="J151" t="str">
            <v>--</v>
          </cell>
          <cell r="K151" t="str">
            <v>--</v>
          </cell>
          <cell r="L151">
            <v>3.6231351510252127E-2</v>
          </cell>
          <cell r="M151">
            <v>3.0141843971631204E-2</v>
          </cell>
          <cell r="N151">
            <v>1.2048192771084338E-2</v>
          </cell>
        </row>
        <row r="152">
          <cell r="C152" t="str">
            <v>--</v>
          </cell>
          <cell r="D152" t="str">
            <v>--</v>
          </cell>
          <cell r="E152" t="str">
            <v>--</v>
          </cell>
          <cell r="F152" t="str">
            <v>--</v>
          </cell>
          <cell r="G152" t="str">
            <v>--</v>
          </cell>
          <cell r="H152" t="str">
            <v>--</v>
          </cell>
          <cell r="I152" t="str">
            <v>--</v>
          </cell>
          <cell r="J152" t="str">
            <v>--</v>
          </cell>
          <cell r="K152" t="str">
            <v>--</v>
          </cell>
          <cell r="L152">
            <v>0.70272756135953496</v>
          </cell>
          <cell r="M152">
            <v>0.57816593886462886</v>
          </cell>
          <cell r="N152">
            <v>0.31433314886552299</v>
          </cell>
          <cell r="O152">
            <v>0.46105263157894738</v>
          </cell>
          <cell r="P152">
            <v>0.29193083573487033</v>
          </cell>
          <cell r="Q152">
            <v>0.553312513941557</v>
          </cell>
        </row>
        <row r="153">
          <cell r="C153" t="str">
            <v>--</v>
          </cell>
          <cell r="D153" t="str">
            <v>--</v>
          </cell>
          <cell r="E153" t="str">
            <v>--</v>
          </cell>
          <cell r="F153" t="str">
            <v>--</v>
          </cell>
          <cell r="G153" t="str">
            <v>--</v>
          </cell>
          <cell r="H153" t="str">
            <v>--</v>
          </cell>
          <cell r="I153" t="str">
            <v>--</v>
          </cell>
          <cell r="J153" t="str">
            <v>--</v>
          </cell>
          <cell r="K153" t="str">
            <v>--</v>
          </cell>
          <cell r="L153" t="str">
            <v>--</v>
          </cell>
          <cell r="M153" t="str">
            <v>--</v>
          </cell>
          <cell r="N153">
            <v>0</v>
          </cell>
        </row>
        <row r="154">
          <cell r="C154" t="str">
            <v>--</v>
          </cell>
          <cell r="D154" t="str">
            <v>--</v>
          </cell>
          <cell r="E154" t="str">
            <v>--</v>
          </cell>
          <cell r="F154" t="str">
            <v>--</v>
          </cell>
          <cell r="G154" t="str">
            <v>--</v>
          </cell>
          <cell r="H154" t="str">
            <v>--</v>
          </cell>
          <cell r="I154" t="str">
            <v>--</v>
          </cell>
          <cell r="J154" t="str">
            <v>--</v>
          </cell>
          <cell r="K154" t="str">
            <v>--</v>
          </cell>
          <cell r="L154" t="str">
            <v>--</v>
          </cell>
          <cell r="M154" t="str">
            <v>--</v>
          </cell>
          <cell r="N154">
            <v>0.2817204301075269</v>
          </cell>
        </row>
        <row r="155">
          <cell r="C155" t="str">
            <v>--</v>
          </cell>
          <cell r="D155" t="str">
            <v>--</v>
          </cell>
          <cell r="E155" t="str">
            <v>--</v>
          </cell>
          <cell r="F155" t="str">
            <v>--</v>
          </cell>
          <cell r="G155" t="str">
            <v>--</v>
          </cell>
          <cell r="H155" t="str">
            <v>--</v>
          </cell>
          <cell r="I155" t="str">
            <v>--</v>
          </cell>
          <cell r="J155" t="str">
            <v>--</v>
          </cell>
          <cell r="K155" t="str">
            <v>--</v>
          </cell>
          <cell r="L155" t="str">
            <v>--</v>
          </cell>
          <cell r="M155" t="str">
            <v>--</v>
          </cell>
          <cell r="N155">
            <v>2.2892561983471076</v>
          </cell>
        </row>
        <row r="159">
          <cell r="M159" t="str">
            <v>Last 4 year CAGR</v>
          </cell>
        </row>
        <row r="160">
          <cell r="M160" t="str">
            <v>Sales</v>
          </cell>
          <cell r="N160">
            <v>0.32856327275532071</v>
          </cell>
        </row>
        <row r="161">
          <cell r="M161" t="str">
            <v>EBIT</v>
          </cell>
          <cell r="N161">
            <v>0.4007067067211576</v>
          </cell>
        </row>
        <row r="162">
          <cell r="M162" t="str">
            <v>EBITDA</v>
          </cell>
          <cell r="N162">
            <v>0.40585474532550547</v>
          </cell>
        </row>
        <row r="163">
          <cell r="M163" t="str">
            <v>NOPAT</v>
          </cell>
          <cell r="N163">
            <v>0.39993097256135401</v>
          </cell>
        </row>
      </sheetData>
      <sheetData sheetId="9" refreshError="1">
        <row r="1">
          <cell r="F1" t="str">
            <v>Discounted Cash Flow</v>
          </cell>
        </row>
        <row r="2">
          <cell r="N2">
            <v>11</v>
          </cell>
          <cell r="O2">
            <v>12</v>
          </cell>
          <cell r="P2">
            <v>13</v>
          </cell>
          <cell r="S2">
            <v>16</v>
          </cell>
          <cell r="T2">
            <v>17</v>
          </cell>
          <cell r="U2">
            <v>18</v>
          </cell>
          <cell r="V2">
            <v>19</v>
          </cell>
          <cell r="W2">
            <v>20</v>
          </cell>
          <cell r="X2">
            <v>21</v>
          </cell>
          <cell r="Y2">
            <v>22</v>
          </cell>
          <cell r="Z2">
            <v>23</v>
          </cell>
        </row>
        <row r="3">
          <cell r="C3" t="str">
            <v>Present(P)</v>
          </cell>
          <cell r="D3" t="str">
            <v>Estimated Year 1</v>
          </cell>
          <cell r="E3" t="str">
            <v>EY 2</v>
          </cell>
          <cell r="F3" t="str">
            <v>EY 3</v>
          </cell>
          <cell r="G3" t="str">
            <v>EY 4</v>
          </cell>
          <cell r="H3" t="str">
            <v>EY 5</v>
          </cell>
          <cell r="I3" t="str">
            <v>EY 6</v>
          </cell>
          <cell r="J3" t="str">
            <v>EY 7</v>
          </cell>
          <cell r="K3" t="str">
            <v>EY 8</v>
          </cell>
          <cell r="L3" t="str">
            <v>EY 9</v>
          </cell>
          <cell r="M3" t="str">
            <v>EY 10</v>
          </cell>
          <cell r="N3" t="str">
            <v>EY 11</v>
          </cell>
          <cell r="O3" t="str">
            <v>EY 12</v>
          </cell>
          <cell r="P3" t="str">
            <v>EY 13</v>
          </cell>
          <cell r="Q3" t="str">
            <v>EY 14</v>
          </cell>
          <cell r="R3" t="str">
            <v>EY 15</v>
          </cell>
          <cell r="S3" t="str">
            <v>EY 16</v>
          </cell>
          <cell r="T3" t="str">
            <v>EY 17</v>
          </cell>
          <cell r="U3" t="str">
            <v>EY 18</v>
          </cell>
          <cell r="V3" t="str">
            <v>EY 19</v>
          </cell>
          <cell r="W3" t="str">
            <v>EY 20</v>
          </cell>
          <cell r="X3" t="str">
            <v>EY 21</v>
          </cell>
          <cell r="Y3" t="str">
            <v>EY 22</v>
          </cell>
          <cell r="Z3" t="str">
            <v>EY 23</v>
          </cell>
          <cell r="AA3" t="str">
            <v>EY 24</v>
          </cell>
          <cell r="AB3" t="str">
            <v>EY 25</v>
          </cell>
          <cell r="AC3" t="str">
            <v>EY 26</v>
          </cell>
        </row>
        <row r="4">
          <cell r="C4">
            <v>1998</v>
          </cell>
          <cell r="D4" t="str">
            <v>1999E</v>
          </cell>
          <cell r="E4" t="str">
            <v>2000E</v>
          </cell>
          <cell r="F4" t="str">
            <v>2001E</v>
          </cell>
          <cell r="G4" t="str">
            <v>2002E</v>
          </cell>
          <cell r="H4" t="str">
            <v>2003E</v>
          </cell>
          <cell r="I4" t="str">
            <v>2004E</v>
          </cell>
          <cell r="J4" t="str">
            <v>2005E</v>
          </cell>
          <cell r="K4" t="str">
            <v>2006E</v>
          </cell>
          <cell r="L4" t="str">
            <v>2007E</v>
          </cell>
          <cell r="M4" t="str">
            <v>2008E</v>
          </cell>
          <cell r="N4" t="str">
            <v>2009E</v>
          </cell>
          <cell r="O4" t="str">
            <v>2010E</v>
          </cell>
          <cell r="P4" t="str">
            <v>2011E</v>
          </cell>
          <cell r="Q4" t="str">
            <v>2012E</v>
          </cell>
          <cell r="R4" t="str">
            <v>2013E</v>
          </cell>
          <cell r="S4" t="str">
            <v>2014E</v>
          </cell>
          <cell r="T4" t="str">
            <v>2015E</v>
          </cell>
          <cell r="U4" t="str">
            <v>2016E</v>
          </cell>
          <cell r="V4" t="str">
            <v>2017E</v>
          </cell>
          <cell r="W4" t="str">
            <v>2018E</v>
          </cell>
          <cell r="X4" t="str">
            <v>2019E</v>
          </cell>
          <cell r="Y4" t="str">
            <v>2020E</v>
          </cell>
          <cell r="Z4" t="str">
            <v>2021E</v>
          </cell>
          <cell r="AA4" t="str">
            <v>2022E</v>
          </cell>
          <cell r="AB4" t="str">
            <v>2023E</v>
          </cell>
          <cell r="AC4" t="str">
            <v>2023E</v>
          </cell>
        </row>
        <row r="6">
          <cell r="C6">
            <v>14484</v>
          </cell>
          <cell r="D6">
            <v>17500</v>
          </cell>
          <cell r="E6">
            <v>21612.5</v>
          </cell>
          <cell r="F6">
            <v>26691.437500000004</v>
          </cell>
          <cell r="G6">
            <v>32296.639375000002</v>
          </cell>
          <cell r="H6">
            <v>39078.933643750002</v>
          </cell>
          <cell r="I6">
            <v>46503.931036062502</v>
          </cell>
          <cell r="J6">
            <v>55339.677932914376</v>
          </cell>
          <cell r="K6">
            <v>65854.216740168107</v>
          </cell>
          <cell r="L6">
            <v>78366.517920800048</v>
          </cell>
          <cell r="M6">
            <v>93256.156325752047</v>
          </cell>
          <cell r="N6">
            <v>108177.14133787237</v>
          </cell>
          <cell r="O6">
            <v>125485.48395193194</v>
          </cell>
          <cell r="P6">
            <v>145563.16138424104</v>
          </cell>
          <cell r="Q6">
            <v>168853.2672057196</v>
          </cell>
          <cell r="R6">
            <v>195869.78995863473</v>
          </cell>
          <cell r="S6">
            <v>223291.56055284361</v>
          </cell>
          <cell r="T6">
            <v>254552.37903024175</v>
          </cell>
          <cell r="U6">
            <v>290189.71209447563</v>
          </cell>
          <cell r="V6">
            <v>330816.27178770228</v>
          </cell>
          <cell r="W6">
            <v>377130.54983798065</v>
          </cell>
          <cell r="X6">
            <v>429928.826815298</v>
          </cell>
          <cell r="Y6">
            <v>490118.86256943975</v>
          </cell>
          <cell r="Z6">
            <v>558735.50332916132</v>
          </cell>
          <cell r="AA6">
            <v>636958.473795244</v>
          </cell>
          <cell r="AB6">
            <v>726132.6601265783</v>
          </cell>
          <cell r="AC6">
            <v>827791.23254429933</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14484</v>
          </cell>
          <cell r="D9">
            <v>17500</v>
          </cell>
          <cell r="E9">
            <v>21612.5</v>
          </cell>
          <cell r="F9">
            <v>26691.437500000004</v>
          </cell>
          <cell r="G9">
            <v>32296.639375000002</v>
          </cell>
          <cell r="H9">
            <v>39078.933643750002</v>
          </cell>
          <cell r="I9">
            <v>46503.931036062502</v>
          </cell>
          <cell r="J9">
            <v>55339.677932914376</v>
          </cell>
          <cell r="K9">
            <v>65854.216740168107</v>
          </cell>
          <cell r="L9">
            <v>78366.517920800048</v>
          </cell>
          <cell r="M9">
            <v>93256.156325752047</v>
          </cell>
          <cell r="N9">
            <v>108177.14133787237</v>
          </cell>
          <cell r="O9">
            <v>125485.48395193194</v>
          </cell>
          <cell r="P9">
            <v>145563.16138424104</v>
          </cell>
          <cell r="Q9">
            <v>168853.2672057196</v>
          </cell>
          <cell r="R9">
            <v>195869.78995863473</v>
          </cell>
          <cell r="S9">
            <v>223291.56055284361</v>
          </cell>
          <cell r="T9">
            <v>254552.37903024175</v>
          </cell>
          <cell r="U9">
            <v>290189.71209447563</v>
          </cell>
          <cell r="V9">
            <v>330816.27178770228</v>
          </cell>
          <cell r="W9">
            <v>377130.54983798065</v>
          </cell>
          <cell r="X9">
            <v>429928.826815298</v>
          </cell>
          <cell r="Y9">
            <v>490118.86256943975</v>
          </cell>
          <cell r="Z9">
            <v>558735.50332916132</v>
          </cell>
          <cell r="AA9">
            <v>636958.473795244</v>
          </cell>
          <cell r="AB9">
            <v>726132.6601265783</v>
          </cell>
          <cell r="AC9">
            <v>827791.23254429933</v>
          </cell>
        </row>
        <row r="10">
          <cell r="C10">
            <v>0.27522451135763337</v>
          </cell>
          <cell r="D10">
            <v>0.20822977078155205</v>
          </cell>
          <cell r="E10">
            <v>0.23499999999999999</v>
          </cell>
          <cell r="F10">
            <v>0.23500000000000018</v>
          </cell>
          <cell r="G10">
            <v>0.20999999999999994</v>
          </cell>
          <cell r="H10">
            <v>0.21</v>
          </cell>
          <cell r="I10">
            <v>0.18999999999999997</v>
          </cell>
          <cell r="J10">
            <v>0.18999999999999995</v>
          </cell>
          <cell r="K10">
            <v>0.19</v>
          </cell>
          <cell r="L10">
            <v>0.19</v>
          </cell>
          <cell r="M10">
            <v>0.18999999999999986</v>
          </cell>
          <cell r="N10">
            <v>0.15999999999999992</v>
          </cell>
          <cell r="O10">
            <v>0.15999999999999992</v>
          </cell>
          <cell r="P10">
            <v>0.16</v>
          </cell>
          <cell r="Q10">
            <v>0.15999999999999995</v>
          </cell>
          <cell r="R10">
            <v>0.15999999999999998</v>
          </cell>
          <cell r="S10">
            <v>0.1400000000000001</v>
          </cell>
          <cell r="T10">
            <v>0.14000000000000012</v>
          </cell>
          <cell r="U10">
            <v>0.14000000000000015</v>
          </cell>
          <cell r="V10">
            <v>0.14000000000000021</v>
          </cell>
          <cell r="W10">
            <v>0.14000000000000015</v>
          </cell>
          <cell r="X10">
            <v>0.14000000000000015</v>
          </cell>
          <cell r="Y10">
            <v>0.14000000000000007</v>
          </cell>
          <cell r="Z10">
            <v>0.14000000000000001</v>
          </cell>
          <cell r="AA10">
            <v>0.14000000000000018</v>
          </cell>
          <cell r="AB10">
            <v>0.14000000000000021</v>
          </cell>
          <cell r="AC10">
            <v>0.1400000000000001</v>
          </cell>
        </row>
        <row r="12">
          <cell r="C12">
            <v>5069.9925062057982</v>
          </cell>
          <cell r="D12">
            <v>6318.6657333333351</v>
          </cell>
          <cell r="E12">
            <v>7475.881768166666</v>
          </cell>
          <cell r="F12">
            <v>8875.9970636858325</v>
          </cell>
          <cell r="G12">
            <v>10754.780911875001</v>
          </cell>
          <cell r="H12">
            <v>13013.284903368751</v>
          </cell>
          <cell r="I12">
            <v>15485.809035008813</v>
          </cell>
          <cell r="J12">
            <v>18428.112751660487</v>
          </cell>
          <cell r="K12">
            <v>21929.454174475981</v>
          </cell>
          <cell r="L12">
            <v>26096.050467626417</v>
          </cell>
          <cell r="M12">
            <v>31054.300056475433</v>
          </cell>
          <cell r="N12">
            <v>36022.988065511498</v>
          </cell>
          <cell r="O12">
            <v>41786.666155993335</v>
          </cell>
          <cell r="P12">
            <v>48472.532740952272</v>
          </cell>
          <cell r="Q12">
            <v>56228.13797950463</v>
          </cell>
          <cell r="R12">
            <v>65224.640056225369</v>
          </cell>
          <cell r="S12">
            <v>74356.089664096929</v>
          </cell>
          <cell r="T12">
            <v>84765.942217070507</v>
          </cell>
          <cell r="U12">
            <v>96633.174127460385</v>
          </cell>
          <cell r="V12">
            <v>110161.81850530487</v>
          </cell>
          <cell r="W12">
            <v>125584.47309604756</v>
          </cell>
          <cell r="X12">
            <v>143166.29932949424</v>
          </cell>
          <cell r="Y12">
            <v>163209.58123562345</v>
          </cell>
          <cell r="Z12">
            <v>186058.92260861074</v>
          </cell>
          <cell r="AA12">
            <v>212107.17177381626</v>
          </cell>
          <cell r="AB12">
            <v>241802.17582215057</v>
          </cell>
          <cell r="AC12">
            <v>275654.48043725168</v>
          </cell>
        </row>
        <row r="13">
          <cell r="C13">
            <v>0.28131429051344392</v>
          </cell>
          <cell r="D13">
            <v>0.2462869965979495</v>
          </cell>
          <cell r="E13">
            <v>0.18314246767772216</v>
          </cell>
          <cell r="F13">
            <v>0.1872843015630678</v>
          </cell>
          <cell r="G13">
            <v>0.21167017459658641</v>
          </cell>
          <cell r="H13">
            <v>0.20999999999999996</v>
          </cell>
          <cell r="I13">
            <v>0.18999999999999997</v>
          </cell>
          <cell r="J13">
            <v>0.18999999999999992</v>
          </cell>
          <cell r="K13">
            <v>0.19000000000000011</v>
          </cell>
          <cell r="L13">
            <v>0.19</v>
          </cell>
          <cell r="M13">
            <v>0.18999999999999986</v>
          </cell>
          <cell r="N13">
            <v>0.15999999999999984</v>
          </cell>
          <cell r="O13">
            <v>0.15999999999999992</v>
          </cell>
          <cell r="P13">
            <v>0.16000000000000011</v>
          </cell>
          <cell r="Q13">
            <v>0.15999999999999989</v>
          </cell>
          <cell r="R13">
            <v>0.15999999999999998</v>
          </cell>
          <cell r="S13">
            <v>0.14000000000000012</v>
          </cell>
          <cell r="T13">
            <v>0.1400000000000001</v>
          </cell>
          <cell r="U13">
            <v>0.14000000000000007</v>
          </cell>
          <cell r="V13">
            <v>0.14000000000000029</v>
          </cell>
          <cell r="W13">
            <v>0.1400000000000001</v>
          </cell>
          <cell r="X13">
            <v>0.14000000000000021</v>
          </cell>
          <cell r="Y13">
            <v>0.14000000000000012</v>
          </cell>
          <cell r="Z13">
            <v>0.14000000000000001</v>
          </cell>
          <cell r="AA13">
            <v>0.14000000000000007</v>
          </cell>
          <cell r="AB13">
            <v>0.14000000000000021</v>
          </cell>
          <cell r="AC13">
            <v>0.14000000000000012</v>
          </cell>
        </row>
        <row r="15">
          <cell r="C15">
            <v>7668</v>
          </cell>
          <cell r="D15">
            <v>10062.500000000002</v>
          </cell>
          <cell r="E15">
            <v>11772.999999999998</v>
          </cell>
          <cell r="F15">
            <v>13773.999999999998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-1439.9599999999998</v>
          </cell>
          <cell r="D18">
            <v>-311.36000000000013</v>
          </cell>
          <cell r="E18">
            <v>-429.5454545454545</v>
          </cell>
          <cell r="F18">
            <v>-519.02746212121247</v>
          </cell>
          <cell r="G18">
            <v>-165.23270833333299</v>
          </cell>
          <cell r="H18">
            <v>-968.89918125000077</v>
          </cell>
          <cell r="I18">
            <v>-617.81933189166648</v>
          </cell>
          <cell r="J18">
            <v>-1178.0995862469163</v>
          </cell>
          <cell r="K18">
            <v>-1401.9385076338303</v>
          </cell>
          <cell r="L18">
            <v>-1668.3068240842586</v>
          </cell>
          <cell r="M18">
            <v>-1985.2851206602663</v>
          </cell>
          <cell r="N18">
            <v>-1087.9884904671071</v>
          </cell>
          <cell r="O18">
            <v>-2163.5428267574462</v>
          </cell>
          <cell r="P18">
            <v>-2509.7096790386386</v>
          </cell>
          <cell r="Q18">
            <v>-2911.2632276848199</v>
          </cell>
          <cell r="R18">
            <v>-3377.0653441143913</v>
          </cell>
          <cell r="S18">
            <v>-1785.8716143287311</v>
          </cell>
          <cell r="T18">
            <v>-3677.7433502821332</v>
          </cell>
          <cell r="U18">
            <v>-4192.6274193216304</v>
          </cell>
          <cell r="V18">
            <v>-4779.5952580266676</v>
          </cell>
          <cell r="W18">
            <v>-5448.7385941503962</v>
          </cell>
          <cell r="X18">
            <v>-6211.5619973314533</v>
          </cell>
          <cell r="Y18">
            <v>-7081.1806769578543</v>
          </cell>
          <cell r="Z18">
            <v>-8072.5459717319536</v>
          </cell>
          <cell r="AA18">
            <v>-9202.7024077744281</v>
          </cell>
          <cell r="AB18">
            <v>-10491.080744862862</v>
          </cell>
        </row>
        <row r="19">
          <cell r="C19">
            <v>975.40054330008002</v>
          </cell>
          <cell r="D19">
            <v>347.58825583323483</v>
          </cell>
          <cell r="E19">
            <v>622.52545538638253</v>
          </cell>
          <cell r="F19">
            <v>642.47306548298025</v>
          </cell>
          <cell r="G19">
            <v>1244.671824259769</v>
          </cell>
          <cell r="H19">
            <v>2187.8368608870969</v>
          </cell>
          <cell r="I19">
            <v>1926.3708217534004</v>
          </cell>
          <cell r="J19">
            <v>2761.17090526621</v>
          </cell>
          <cell r="K19">
            <v>3285.793377266793</v>
          </cell>
          <cell r="L19">
            <v>3910.0941189474797</v>
          </cell>
          <cell r="M19">
            <v>4653.0120015475004</v>
          </cell>
          <cell r="N19">
            <v>3638.4030687698723</v>
          </cell>
          <cell r="O19">
            <v>5244.9523072907759</v>
          </cell>
          <cell r="P19">
            <v>6084.144676457312</v>
          </cell>
          <cell r="Q19">
            <v>7057.6078246904726</v>
          </cell>
          <cell r="R19">
            <v>8186.8250766409474</v>
          </cell>
          <cell r="S19">
            <v>5367.7096589454522</v>
          </cell>
          <cell r="T19">
            <v>9061.1068050429385</v>
          </cell>
          <cell r="U19">
            <v>10329.661757748952</v>
          </cell>
          <cell r="V19">
            <v>11775.814403833807</v>
          </cell>
          <cell r="W19">
            <v>13424.428420370547</v>
          </cell>
          <cell r="X19">
            <v>15303.848399222421</v>
          </cell>
          <cell r="Y19">
            <v>17446.387175113559</v>
          </cell>
          <cell r="Z19">
            <v>19888.881379629427</v>
          </cell>
          <cell r="AA19">
            <v>22673.324772777589</v>
          </cell>
          <cell r="AB19">
            <v>25847.59024096647</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C21">
            <v>-464.55945669991979</v>
          </cell>
          <cell r="D21">
            <v>549.99925583323602</v>
          </cell>
          <cell r="E21">
            <v>520.00010084092901</v>
          </cell>
          <cell r="F21">
            <v>520.00000186176749</v>
          </cell>
          <cell r="G21">
            <v>1079.439115926436</v>
          </cell>
          <cell r="H21">
            <v>1218.9376796370962</v>
          </cell>
          <cell r="I21">
            <v>1308.5514898617339</v>
          </cell>
          <cell r="J21">
            <v>1583.0713190192928</v>
          </cell>
          <cell r="K21">
            <v>1883.8548696329635</v>
          </cell>
          <cell r="L21">
            <v>2241.7872948632212</v>
          </cell>
          <cell r="M21">
            <v>2667.7268808872359</v>
          </cell>
          <cell r="N21">
            <v>2550.4145783027634</v>
          </cell>
          <cell r="O21">
            <v>3081.4094805333298</v>
          </cell>
          <cell r="P21">
            <v>3574.4349974186734</v>
          </cell>
          <cell r="Q21">
            <v>4146.3445970056528</v>
          </cell>
          <cell r="R21">
            <v>4809.7597325265524</v>
          </cell>
          <cell r="S21">
            <v>3581.8380446167284</v>
          </cell>
          <cell r="T21">
            <v>5383.3634547608017</v>
          </cell>
          <cell r="U21">
            <v>6137.0343384273219</v>
          </cell>
          <cell r="V21">
            <v>6996.2191458071393</v>
          </cell>
          <cell r="W21">
            <v>7975.6898262201503</v>
          </cell>
          <cell r="X21">
            <v>9092.2864018909604</v>
          </cell>
          <cell r="Y21">
            <v>10365.20649815572</v>
          </cell>
          <cell r="Z21">
            <v>11816.335407897466</v>
          </cell>
          <cell r="AA21">
            <v>13470.622365003161</v>
          </cell>
          <cell r="AB21">
            <v>15356.509496103608</v>
          </cell>
        </row>
        <row r="23">
          <cell r="C23">
            <v>5534.551962905718</v>
          </cell>
          <cell r="D23">
            <v>5768.6664775000991</v>
          </cell>
          <cell r="E23">
            <v>6955.881667325737</v>
          </cell>
          <cell r="F23">
            <v>8355.9970618240659</v>
          </cell>
          <cell r="G23">
            <v>9675.341795948565</v>
          </cell>
          <cell r="H23">
            <v>11794.347223731655</v>
          </cell>
          <cell r="I23">
            <v>14177.25754514708</v>
          </cell>
          <cell r="J23">
            <v>16845.041432641192</v>
          </cell>
          <cell r="K23">
            <v>20045.599304843017</v>
          </cell>
          <cell r="L23">
            <v>23854.263172763196</v>
          </cell>
          <cell r="M23">
            <v>28386.573175588197</v>
          </cell>
          <cell r="N23">
            <v>33472.573487208734</v>
          </cell>
          <cell r="O23">
            <v>38705.256675460005</v>
          </cell>
          <cell r="P23">
            <v>44898.097743533595</v>
          </cell>
          <cell r="Q23">
            <v>52081.793382498974</v>
          </cell>
          <cell r="R23">
            <v>60414.880323698817</v>
          </cell>
          <cell r="S23">
            <v>70774.251619480201</v>
          </cell>
          <cell r="T23">
            <v>79382.578762309713</v>
          </cell>
          <cell r="U23">
            <v>90496.13978903307</v>
          </cell>
          <cell r="V23">
            <v>103165.59935949772</v>
          </cell>
          <cell r="W23">
            <v>117608.7832698274</v>
          </cell>
          <cell r="X23">
            <v>134074.01292760327</v>
          </cell>
          <cell r="Y23">
            <v>152844.37473746773</v>
          </cell>
          <cell r="Z23">
            <v>174242.58720071329</v>
          </cell>
          <cell r="AA23">
            <v>198636.54940881309</v>
          </cell>
          <cell r="AB23">
            <v>226445.66632604698</v>
          </cell>
        </row>
        <row r="26">
          <cell r="C26">
            <v>5534.551962905718</v>
          </cell>
          <cell r="D26">
            <v>5150.929813933788</v>
          </cell>
          <cell r="E26">
            <v>5545.9070811825331</v>
          </cell>
          <cell r="F26">
            <v>5948.7933710985008</v>
          </cell>
          <cell r="G26">
            <v>6150.4532742778074</v>
          </cell>
          <cell r="H26">
            <v>6694.6043971750541</v>
          </cell>
          <cell r="I26">
            <v>7185.4412023210007</v>
          </cell>
          <cell r="J26">
            <v>7623.3085230587631</v>
          </cell>
          <cell r="K26">
            <v>8100.2917213917799</v>
          </cell>
          <cell r="L26">
            <v>8607.1193069490364</v>
          </cell>
          <cell r="M26">
            <v>9145.6586147895032</v>
          </cell>
          <cell r="N26">
            <v>9629.4464871042564</v>
          </cell>
          <cell r="O26">
            <v>9942.4261544921428</v>
          </cell>
          <cell r="P26">
            <v>10298.182053345965</v>
          </cell>
          <cell r="Q26">
            <v>10666.667466867808</v>
          </cell>
          <cell r="R26">
            <v>11048.33787743816</v>
          </cell>
          <cell r="S26">
            <v>11556.824423496868</v>
          </cell>
          <cell r="T26">
            <v>11574.403925961489</v>
          </cell>
          <cell r="U26">
            <v>11781.855380674637</v>
          </cell>
          <cell r="V26">
            <v>11993.02504898547</v>
          </cell>
          <cell r="W26">
            <v>12207.979573532752</v>
          </cell>
          <cell r="X26">
            <v>12426.786791410919</v>
          </cell>
          <cell r="Y26">
            <v>12649.515755578652</v>
          </cell>
          <cell r="Z26">
            <v>12876.236756651175</v>
          </cell>
          <cell r="AA26">
            <v>13107.021345083123</v>
          </cell>
          <cell r="AB26">
            <v>13341.942353749055</v>
          </cell>
        </row>
        <row r="27">
          <cell r="C27">
            <v>5534.551962905718</v>
          </cell>
          <cell r="D27">
            <v>5150.929813933788</v>
          </cell>
          <cell r="E27">
            <v>10696.836895116321</v>
          </cell>
          <cell r="F27">
            <v>16645.630266214823</v>
          </cell>
          <cell r="G27">
            <v>22796.083540492629</v>
          </cell>
          <cell r="H27">
            <v>29490.687937667684</v>
          </cell>
          <cell r="I27">
            <v>36676.129139988683</v>
          </cell>
          <cell r="J27">
            <v>44299.437663047443</v>
          </cell>
          <cell r="K27">
            <v>52399.729384439226</v>
          </cell>
          <cell r="L27">
            <v>61006.848691388266</v>
          </cell>
          <cell r="M27">
            <v>70152.507306177766</v>
          </cell>
          <cell r="N27">
            <v>79781.953793282024</v>
          </cell>
          <cell r="O27">
            <v>89724.37994777417</v>
          </cell>
          <cell r="P27">
            <v>100022.56200112014</v>
          </cell>
          <cell r="Q27">
            <v>110689.22946798794</v>
          </cell>
          <cell r="R27">
            <v>121737.5673454261</v>
          </cell>
          <cell r="S27">
            <v>133294.39176892297</v>
          </cell>
          <cell r="T27">
            <v>144868.79569488447</v>
          </cell>
          <cell r="U27">
            <v>156650.65107555912</v>
          </cell>
          <cell r="V27">
            <v>168643.67612454458</v>
          </cell>
          <cell r="W27">
            <v>180851.65569807735</v>
          </cell>
          <cell r="X27">
            <v>193278.44248948825</v>
          </cell>
          <cell r="Y27">
            <v>205927.9582450669</v>
          </cell>
          <cell r="Z27">
            <v>218804.19500171806</v>
          </cell>
          <cell r="AA27">
            <v>231911.2163468012</v>
          </cell>
          <cell r="AB27">
            <v>245253.15870055027</v>
          </cell>
        </row>
        <row r="29">
          <cell r="C29">
            <v>52309.571795579046</v>
          </cell>
          <cell r="D29">
            <v>62336.824987497377</v>
          </cell>
          <cell r="E29">
            <v>74011.533716940015</v>
          </cell>
          <cell r="F29">
            <v>89677.567980965847</v>
          </cell>
          <cell r="G29">
            <v>108509.85725696868</v>
          </cell>
          <cell r="H29">
            <v>129126.73013579272</v>
          </cell>
          <cell r="I29">
            <v>153660.80886159334</v>
          </cell>
          <cell r="J29">
            <v>182856.36254529608</v>
          </cell>
          <cell r="K29">
            <v>217599.07142890233</v>
          </cell>
          <cell r="L29">
            <v>258942.89500039374</v>
          </cell>
          <cell r="M29">
            <v>300373.75820045674</v>
          </cell>
          <cell r="N29">
            <v>348433.55951252976</v>
          </cell>
          <cell r="O29">
            <v>404182.92903453455</v>
          </cell>
          <cell r="P29">
            <v>468852.19768006005</v>
          </cell>
          <cell r="Q29">
            <v>543868.54930886964</v>
          </cell>
          <cell r="R29">
            <v>620010.14621211146</v>
          </cell>
          <cell r="S29">
            <v>706811.56668180716</v>
          </cell>
          <cell r="T29">
            <v>805765.18601726019</v>
          </cell>
          <cell r="U29">
            <v>918572.31205967686</v>
          </cell>
          <cell r="V29">
            <v>1047172.4357480317</v>
          </cell>
          <cell r="W29">
            <v>1193776.5767527563</v>
          </cell>
          <cell r="X29">
            <v>1360905.2974981423</v>
          </cell>
          <cell r="Y29">
            <v>1551432.0391478823</v>
          </cell>
          <cell r="Z29">
            <v>1768632.5246285859</v>
          </cell>
          <cell r="AA29">
            <v>2016241.0780765882</v>
          </cell>
          <cell r="AB29">
            <v>2298514.8290073108</v>
          </cell>
        </row>
        <row r="30">
          <cell r="C30">
            <v>52309.571795579046</v>
          </cell>
          <cell r="D30">
            <v>55661.496740442723</v>
          </cell>
          <cell r="E30">
            <v>59009.210990181142</v>
          </cell>
          <cell r="F30">
            <v>63843.167726647174</v>
          </cell>
          <cell r="G30">
            <v>68977.904960112108</v>
          </cell>
          <cell r="H30">
            <v>73293.787181416163</v>
          </cell>
          <cell r="I30">
            <v>77879.710068045475</v>
          </cell>
          <cell r="J30">
            <v>82752.569808818414</v>
          </cell>
          <cell r="K30">
            <v>87930.31977109451</v>
          </cell>
          <cell r="L30">
            <v>93432.036647434827</v>
          </cell>
          <cell r="M30">
            <v>96775.184251727958</v>
          </cell>
          <cell r="N30">
            <v>100237.95502067779</v>
          </cell>
          <cell r="O30">
            <v>103824.62926231035</v>
          </cell>
          <cell r="P30">
            <v>107539.64044091386</v>
          </cell>
          <cell r="Q30">
            <v>111387.58065721499</v>
          </cell>
          <cell r="R30">
            <v>113384.01311215005</v>
          </cell>
          <cell r="S30">
            <v>115416.2282146981</v>
          </cell>
          <cell r="T30">
            <v>117484.86730780412</v>
          </cell>
          <cell r="U30">
            <v>119590.58322939192</v>
          </cell>
          <cell r="V30">
            <v>121734.0405183918</v>
          </cell>
          <cell r="W30">
            <v>123915.91562446141</v>
          </cell>
          <cell r="X30">
            <v>126136.89712146501</v>
          </cell>
          <cell r="Y30">
            <v>128397.6859247793</v>
          </cell>
          <cell r="Z30">
            <v>130698.99551249394</v>
          </cell>
          <cell r="AA30">
            <v>133041.5521505769</v>
          </cell>
          <cell r="AB30">
            <v>135426.09512207506</v>
          </cell>
        </row>
        <row r="32">
          <cell r="C32">
            <v>57844.123758484762</v>
          </cell>
          <cell r="D32">
            <v>60812.426554376507</v>
          </cell>
          <cell r="E32">
            <v>69706.047885297463</v>
          </cell>
          <cell r="F32">
            <v>80488.797992862004</v>
          </cell>
          <cell r="G32">
            <v>91773.988500604741</v>
          </cell>
          <cell r="H32">
            <v>102784.47511908384</v>
          </cell>
          <cell r="I32">
            <v>114555.83920803416</v>
          </cell>
          <cell r="J32">
            <v>127052.00747186586</v>
          </cell>
          <cell r="K32">
            <v>140330.04915553372</v>
          </cell>
          <cell r="L32">
            <v>154438.88533882308</v>
          </cell>
          <cell r="M32">
            <v>166927.69155790572</v>
          </cell>
          <cell r="N32">
            <v>180019.9088139598</v>
          </cell>
          <cell r="O32">
            <v>193549.00921008451</v>
          </cell>
          <cell r="P32">
            <v>207562.202442034</v>
          </cell>
          <cell r="Q32">
            <v>222076.81012520293</v>
          </cell>
          <cell r="R32">
            <v>235121.58045757614</v>
          </cell>
          <cell r="S32">
            <v>248710.61998362106</v>
          </cell>
          <cell r="T32">
            <v>262353.66300268855</v>
          </cell>
          <cell r="U32">
            <v>276241.23430495104</v>
          </cell>
          <cell r="V32">
            <v>290377.7166429364</v>
          </cell>
          <cell r="W32">
            <v>304767.57132253877</v>
          </cell>
          <cell r="X32">
            <v>319415.33961095323</v>
          </cell>
          <cell r="Y32">
            <v>334325.6441698462</v>
          </cell>
          <cell r="Z32">
            <v>349503.19051421201</v>
          </cell>
          <cell r="AA32">
            <v>364952.7684973781</v>
          </cell>
          <cell r="AB32">
            <v>380679.25382262532</v>
          </cell>
        </row>
        <row r="33">
          <cell r="C33">
            <v>13347.64</v>
          </cell>
          <cell r="D33">
            <v>13347.64</v>
          </cell>
          <cell r="E33">
            <v>13347.64</v>
          </cell>
          <cell r="F33">
            <v>13347.64</v>
          </cell>
          <cell r="G33">
            <v>13347.64</v>
          </cell>
          <cell r="H33">
            <v>13347.64</v>
          </cell>
          <cell r="I33">
            <v>13347.64</v>
          </cell>
          <cell r="J33">
            <v>13347.64</v>
          </cell>
          <cell r="K33">
            <v>13347.64</v>
          </cell>
          <cell r="L33">
            <v>13347.64</v>
          </cell>
          <cell r="M33">
            <v>13347.64</v>
          </cell>
          <cell r="N33">
            <v>13347.64</v>
          </cell>
          <cell r="O33">
            <v>13347.64</v>
          </cell>
          <cell r="P33">
            <v>13347.64</v>
          </cell>
          <cell r="Q33">
            <v>13347.64</v>
          </cell>
          <cell r="R33">
            <v>13347.64</v>
          </cell>
          <cell r="S33">
            <v>13347.64</v>
          </cell>
          <cell r="T33">
            <v>13347.64</v>
          </cell>
          <cell r="U33">
            <v>13347.64</v>
          </cell>
          <cell r="V33">
            <v>13347.64</v>
          </cell>
          <cell r="W33">
            <v>13347.64</v>
          </cell>
          <cell r="X33">
            <v>13347.64</v>
          </cell>
          <cell r="Y33">
            <v>13347.64</v>
          </cell>
          <cell r="Z33">
            <v>13347.64</v>
          </cell>
          <cell r="AA33">
            <v>13347.64</v>
          </cell>
          <cell r="AB33">
            <v>13347.64</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C36">
            <v>71191.763758484769</v>
          </cell>
          <cell r="D36">
            <v>74160.066554376506</v>
          </cell>
          <cell r="E36">
            <v>83053.687885297462</v>
          </cell>
          <cell r="F36">
            <v>93836.437992862004</v>
          </cell>
          <cell r="G36">
            <v>105121.62850060474</v>
          </cell>
          <cell r="H36">
            <v>116132.11511908384</v>
          </cell>
          <cell r="I36">
            <v>127903.47920803416</v>
          </cell>
          <cell r="J36">
            <v>140399.64747186587</v>
          </cell>
          <cell r="K36">
            <v>153677.68915553374</v>
          </cell>
          <cell r="L36">
            <v>167786.52533882309</v>
          </cell>
          <cell r="M36">
            <v>180275.33155790571</v>
          </cell>
          <cell r="N36">
            <v>193367.54881395982</v>
          </cell>
          <cell r="O36">
            <v>206896.64921008452</v>
          </cell>
          <cell r="P36">
            <v>220909.84244203399</v>
          </cell>
          <cell r="Q36">
            <v>235424.45012520294</v>
          </cell>
          <cell r="R36">
            <v>248469.22045757616</v>
          </cell>
          <cell r="S36">
            <v>262058.25998362107</v>
          </cell>
          <cell r="T36">
            <v>275701.30300268857</v>
          </cell>
          <cell r="U36">
            <v>289588.87430495105</v>
          </cell>
          <cell r="V36">
            <v>303725.35664293641</v>
          </cell>
          <cell r="W36">
            <v>318115.21132253879</v>
          </cell>
          <cell r="X36">
            <v>332762.97961095325</v>
          </cell>
          <cell r="Y36">
            <v>347673.28416984621</v>
          </cell>
          <cell r="Z36">
            <v>362850.83051421202</v>
          </cell>
          <cell r="AA36">
            <v>378300.40849737811</v>
          </cell>
          <cell r="AB36">
            <v>394026.89382262534</v>
          </cell>
        </row>
        <row r="37">
          <cell r="C37">
            <v>2470</v>
          </cell>
          <cell r="D37">
            <v>2470</v>
          </cell>
          <cell r="E37">
            <v>2470</v>
          </cell>
          <cell r="F37">
            <v>2470</v>
          </cell>
          <cell r="G37">
            <v>2470</v>
          </cell>
          <cell r="H37">
            <v>2470</v>
          </cell>
          <cell r="I37">
            <v>2470</v>
          </cell>
          <cell r="J37">
            <v>2470</v>
          </cell>
          <cell r="K37">
            <v>2470</v>
          </cell>
          <cell r="L37">
            <v>2470</v>
          </cell>
          <cell r="M37">
            <v>2470</v>
          </cell>
          <cell r="N37">
            <v>2470</v>
          </cell>
          <cell r="O37">
            <v>2470</v>
          </cell>
          <cell r="P37">
            <v>2470</v>
          </cell>
          <cell r="Q37">
            <v>2470</v>
          </cell>
          <cell r="R37">
            <v>2470</v>
          </cell>
          <cell r="S37">
            <v>2470</v>
          </cell>
          <cell r="T37">
            <v>2470</v>
          </cell>
          <cell r="U37">
            <v>2470</v>
          </cell>
          <cell r="V37">
            <v>2470</v>
          </cell>
          <cell r="W37">
            <v>2470</v>
          </cell>
          <cell r="X37">
            <v>2470</v>
          </cell>
          <cell r="Y37">
            <v>2470</v>
          </cell>
          <cell r="Z37">
            <v>2470</v>
          </cell>
          <cell r="AA37">
            <v>2470</v>
          </cell>
          <cell r="AB37">
            <v>2470</v>
          </cell>
        </row>
        <row r="39">
          <cell r="C39">
            <v>28.822576420439177</v>
          </cell>
          <cell r="D39">
            <v>30.024318443067411</v>
          </cell>
          <cell r="E39">
            <v>33.624974852347151</v>
          </cell>
          <cell r="F39">
            <v>37.990460725855066</v>
          </cell>
          <cell r="G39">
            <v>42.559363765427022</v>
          </cell>
          <cell r="H39">
            <v>47.017050655499531</v>
          </cell>
          <cell r="I39">
            <v>51.782785104467273</v>
          </cell>
          <cell r="J39">
            <v>56.841962539216951</v>
          </cell>
          <cell r="K39">
            <v>62.217687917220132</v>
          </cell>
          <cell r="L39">
            <v>67.929767343653069</v>
          </cell>
          <cell r="M39">
            <v>72.985964193484094</v>
          </cell>
          <cell r="N39">
            <v>78.286457009700328</v>
          </cell>
          <cell r="O39">
            <v>83.763825591127343</v>
          </cell>
          <cell r="P39">
            <v>89.437183174912548</v>
          </cell>
          <cell r="Q39">
            <v>95.313542560810902</v>
          </cell>
          <cell r="R39">
            <v>100.59482609618468</v>
          </cell>
          <cell r="S39">
            <v>106.0964615318304</v>
          </cell>
          <cell r="T39">
            <v>111.61996072983342</v>
          </cell>
          <cell r="U39">
            <v>117.24245923277371</v>
          </cell>
          <cell r="V39">
            <v>122.96573143438721</v>
          </cell>
          <cell r="W39">
            <v>128.79158353139223</v>
          </cell>
          <cell r="X39">
            <v>134.72185409350334</v>
          </cell>
          <cell r="Y39">
            <v>140.75841464366243</v>
          </cell>
          <cell r="Z39">
            <v>146.90317024866883</v>
          </cell>
          <cell r="AA39">
            <v>153.15806012039599</v>
          </cell>
          <cell r="AB39">
            <v>159.52505822778355</v>
          </cell>
        </row>
        <row r="41">
          <cell r="D41">
            <v>1</v>
          </cell>
          <cell r="E41">
            <v>2</v>
          </cell>
          <cell r="F41">
            <v>3</v>
          </cell>
          <cell r="G41">
            <v>4</v>
          </cell>
          <cell r="H41">
            <v>5</v>
          </cell>
          <cell r="I41">
            <v>6</v>
          </cell>
          <cell r="J41">
            <v>7</v>
          </cell>
          <cell r="K41">
            <v>8</v>
          </cell>
          <cell r="L41">
            <v>9</v>
          </cell>
          <cell r="M41">
            <v>10</v>
          </cell>
          <cell r="N41">
            <v>11</v>
          </cell>
          <cell r="O41">
            <v>12</v>
          </cell>
          <cell r="P41">
            <v>13</v>
          </cell>
          <cell r="Q41">
            <v>14</v>
          </cell>
          <cell r="R41">
            <v>15</v>
          </cell>
          <cell r="S41">
            <v>16</v>
          </cell>
          <cell r="T41">
            <v>17</v>
          </cell>
          <cell r="U41">
            <v>18</v>
          </cell>
          <cell r="V41">
            <v>19</v>
          </cell>
          <cell r="W41">
            <v>20</v>
          </cell>
          <cell r="X41">
            <v>21</v>
          </cell>
          <cell r="Y41">
            <v>22</v>
          </cell>
          <cell r="Z41">
            <v>23</v>
          </cell>
          <cell r="AA41">
            <v>24</v>
          </cell>
          <cell r="AB41">
            <v>25</v>
          </cell>
          <cell r="AC41">
            <v>26</v>
          </cell>
        </row>
        <row r="44">
          <cell r="C44">
            <v>1.6172087338563206</v>
          </cell>
          <cell r="D44">
            <v>1.8529668652028675</v>
          </cell>
          <cell r="E44">
            <v>1.8950145878589821</v>
          </cell>
          <cell r="F44">
            <v>1.9878936909743068</v>
          </cell>
          <cell r="G44">
            <v>2.0427921429411025</v>
          </cell>
          <cell r="H44">
            <v>2.0289084580577792</v>
          </cell>
          <cell r="I44">
            <v>2.0169910608393615</v>
          </cell>
          <cell r="J44">
            <v>2.0198534565148138</v>
          </cell>
          <cell r="K44">
            <v>2.0198534565148138</v>
          </cell>
          <cell r="L44">
            <v>2.0198534565148138</v>
          </cell>
          <cell r="M44">
            <v>2.0198534565148134</v>
          </cell>
          <cell r="N44">
            <v>2.0031019446081317</v>
          </cell>
          <cell r="O44">
            <v>2.0090212765957447</v>
          </cell>
          <cell r="P44">
            <v>2.0090212765957447</v>
          </cell>
          <cell r="Q44">
            <v>2.0090212765957443</v>
          </cell>
          <cell r="R44">
            <v>2.0090212765957447</v>
          </cell>
          <cell r="S44">
            <v>2.0281693468496682</v>
          </cell>
          <cell r="T44">
            <v>2.0602121772924957</v>
          </cell>
          <cell r="U44">
            <v>2.0602121772924962</v>
          </cell>
          <cell r="V44">
            <v>2.0602121772924962</v>
          </cell>
          <cell r="W44">
            <v>2.0602121772924962</v>
          </cell>
          <cell r="X44">
            <v>2.0602121772924962</v>
          </cell>
          <cell r="Y44">
            <v>2.0602121772924957</v>
          </cell>
          <cell r="Z44">
            <v>2.0602121772924957</v>
          </cell>
          <cell r="AA44">
            <v>2.0602121772924962</v>
          </cell>
          <cell r="AB44">
            <v>2.0602121772924962</v>
          </cell>
        </row>
        <row r="45">
          <cell r="C45">
            <v>0.33486481934004386</v>
          </cell>
          <cell r="D45">
            <v>0.23575813134654688</v>
          </cell>
          <cell r="E45">
            <v>4.2047722656114672E-2</v>
          </cell>
          <cell r="F45">
            <v>9.2879103115324657E-2</v>
          </cell>
          <cell r="G45">
            <v>5.4898451966795658E-2</v>
          </cell>
          <cell r="H45">
            <v>-1.3883684883323255E-2</v>
          </cell>
          <cell r="I45">
            <v>-1.1917397218417669E-2</v>
          </cell>
          <cell r="J45">
            <v>2.8623956754523228E-3</v>
          </cell>
          <cell r="K45">
            <v>0</v>
          </cell>
          <cell r="L45">
            <v>0</v>
          </cell>
          <cell r="M45">
            <v>-4.4408920985006262E-16</v>
          </cell>
          <cell r="N45">
            <v>-1.6751511906681671E-2</v>
          </cell>
          <cell r="O45">
            <v>5.9193319876129635E-3</v>
          </cell>
          <cell r="P45">
            <v>0</v>
          </cell>
          <cell r="Q45">
            <v>-4.4408920985006262E-16</v>
          </cell>
          <cell r="R45">
            <v>4.4408920985006262E-16</v>
          </cell>
          <cell r="S45">
            <v>1.914807025392351E-2</v>
          </cell>
          <cell r="T45">
            <v>3.2042830442827519E-2</v>
          </cell>
          <cell r="U45">
            <v>4.4408920985006262E-16</v>
          </cell>
          <cell r="V45">
            <v>0</v>
          </cell>
          <cell r="W45">
            <v>0</v>
          </cell>
          <cell r="X45">
            <v>0</v>
          </cell>
          <cell r="Y45">
            <v>-4.4408920985006262E-16</v>
          </cell>
          <cell r="Z45">
            <v>0</v>
          </cell>
          <cell r="AA45">
            <v>4.4408920985006262E-16</v>
          </cell>
          <cell r="AB45">
            <v>0</v>
          </cell>
        </row>
        <row r="46">
          <cell r="C46">
            <v>9.5426712753357048</v>
          </cell>
          <cell r="D46">
            <v>9.486575090296455</v>
          </cell>
          <cell r="E46">
            <v>3.1437366886592808</v>
          </cell>
          <cell r="F46">
            <v>2.3937145238754018</v>
          </cell>
          <cell r="G46">
            <v>2.0930608151202255</v>
          </cell>
          <cell r="H46">
            <v>1.9647490499711482</v>
          </cell>
          <cell r="I46">
            <v>1.8325321293555097</v>
          </cell>
          <cell r="J46">
            <v>1.8667361449172493</v>
          </cell>
          <cell r="K46">
            <v>1.8670738031554825</v>
          </cell>
          <cell r="L46">
            <v>1.8586046511627907</v>
          </cell>
          <cell r="M46">
            <v>1.8586046511627898</v>
          </cell>
          <cell r="N46">
            <v>1.8892317012247664</v>
          </cell>
          <cell r="O46">
            <v>1.8905379101016728</v>
          </cell>
          <cell r="P46">
            <v>1.8919989735290825</v>
          </cell>
          <cell r="Q46">
            <v>1.8704680851063826</v>
          </cell>
          <cell r="R46">
            <v>1.8704680851063831</v>
          </cell>
          <cell r="S46">
            <v>2.0644182395120967</v>
          </cell>
          <cell r="T46">
            <v>2.0717157570991698</v>
          </cell>
          <cell r="U46">
            <v>2.0797274263596934</v>
          </cell>
          <cell r="V46">
            <v>1.9337079207920798</v>
          </cell>
          <cell r="W46">
            <v>1.9337079207920789</v>
          </cell>
          <cell r="X46">
            <v>1.9337079207920804</v>
          </cell>
          <cell r="Y46">
            <v>1.9337079207920782</v>
          </cell>
          <cell r="Z46">
            <v>1.9337079207920804</v>
          </cell>
          <cell r="AA46">
            <v>1.9337079207920789</v>
          </cell>
          <cell r="AB46">
            <v>1.9337079207920795</v>
          </cell>
        </row>
        <row r="47">
          <cell r="C47" t="str">
            <v>NM</v>
          </cell>
          <cell r="D47">
            <v>25.290438032558981</v>
          </cell>
          <cell r="E47">
            <v>2.1040320010618481</v>
          </cell>
          <cell r="F47">
            <v>2.6925288923116377</v>
          </cell>
          <cell r="G47">
            <v>3.6130458489663795</v>
          </cell>
          <cell r="H47">
            <v>2.0922940054431631</v>
          </cell>
          <cell r="I47">
            <v>2.0284253846153857</v>
          </cell>
          <cell r="J47">
            <v>2.248519633692494</v>
          </cell>
          <cell r="K47">
            <v>2.2117395348837241</v>
          </cell>
          <cell r="L47">
            <v>2.211739534883717</v>
          </cell>
          <cell r="M47">
            <v>2.211739534883721</v>
          </cell>
          <cell r="N47">
            <v>1.862517503059973</v>
          </cell>
          <cell r="O47">
            <v>2.2598985041551241</v>
          </cell>
          <cell r="P47">
            <v>2.1697429787234084</v>
          </cell>
          <cell r="Q47">
            <v>2.1697429787233991</v>
          </cell>
          <cell r="R47">
            <v>2.1697429787234044</v>
          </cell>
          <cell r="S47">
            <v>1.8985251063829829</v>
          </cell>
          <cell r="T47">
            <v>2.9062878955733118</v>
          </cell>
          <cell r="U47">
            <v>2.2044270297029707</v>
          </cell>
          <cell r="V47">
            <v>2.2044270297029711</v>
          </cell>
          <cell r="W47">
            <v>2.2044270297029716</v>
          </cell>
          <cell r="X47">
            <v>2.2044270297029702</v>
          </cell>
          <cell r="Y47">
            <v>2.2044270297029716</v>
          </cell>
          <cell r="Z47">
            <v>2.2044270297029649</v>
          </cell>
          <cell r="AA47">
            <v>2.2044270297029764</v>
          </cell>
          <cell r="AB47">
            <v>2.2044270297029702</v>
          </cell>
        </row>
        <row r="48">
          <cell r="C48">
            <v>4691.3010948295905</v>
          </cell>
          <cell r="D48">
            <v>5909.7107791829258</v>
          </cell>
          <cell r="E48">
            <v>7002.7657929495372</v>
          </cell>
          <cell r="F48">
            <v>8340.518930881708</v>
          </cell>
          <cell r="G48">
            <v>10123.394640162907</v>
          </cell>
          <cell r="H48">
            <v>12244.079668421226</v>
          </cell>
          <cell r="I48">
            <v>14565.046432443634</v>
          </cell>
          <cell r="J48">
            <v>17333.958014978241</v>
          </cell>
          <cell r="K48">
            <v>20627.410037824109</v>
          </cell>
          <cell r="L48">
            <v>24546.617945010687</v>
          </cell>
          <cell r="M48">
            <v>29210.475354562717</v>
          </cell>
          <cell r="N48">
            <v>33866.264779124052</v>
          </cell>
          <cell r="O48">
            <v>39292.238384244156</v>
          </cell>
          <cell r="P48">
            <v>45578.996525723225</v>
          </cell>
          <cell r="Q48">
            <v>52871.635969838935</v>
          </cell>
          <cell r="R48">
            <v>61331.097725013162</v>
          </cell>
          <cell r="S48">
            <v>69959.356860475222</v>
          </cell>
          <cell r="T48">
            <v>79831.623592783581</v>
          </cell>
          <cell r="U48">
            <v>91008.050895773282</v>
          </cell>
          <cell r="V48">
            <v>103749.17802118156</v>
          </cell>
          <cell r="W48">
            <v>118274.06294414699</v>
          </cell>
          <cell r="X48">
            <v>134832.4317563276</v>
          </cell>
          <cell r="Y48">
            <v>153708.97220221348</v>
          </cell>
          <cell r="Z48">
            <v>175228.22831052338</v>
          </cell>
          <cell r="AA48">
            <v>199760.18027399667</v>
          </cell>
          <cell r="AB48">
            <v>227726.60551235624</v>
          </cell>
        </row>
        <row r="49">
          <cell r="C49">
            <v>4697.2650815105171</v>
          </cell>
          <cell r="D49">
            <v>5306.3186988261568</v>
          </cell>
          <cell r="E49">
            <v>5608.1482760641866</v>
          </cell>
          <cell r="F49">
            <v>5959.9725964786603</v>
          </cell>
          <cell r="G49">
            <v>6476.4189017800381</v>
          </cell>
          <cell r="H49">
            <v>6991.3653871256629</v>
          </cell>
          <cell r="I49">
            <v>7421.7522971001745</v>
          </cell>
          <cell r="J49">
            <v>7887.5297322467759</v>
          </cell>
          <cell r="K49">
            <v>8381.0450015362167</v>
          </cell>
          <cell r="L49">
            <v>8905.4390540809618</v>
          </cell>
          <cell r="M49">
            <v>9462.6439461205318</v>
          </cell>
          <cell r="N49">
            <v>9786.7000157860366</v>
          </cell>
          <cell r="O49">
            <v>10140.670764368651</v>
          </cell>
          <cell r="P49">
            <v>10503.520172219542</v>
          </cell>
          <cell r="Q49">
            <v>10879.352911827966</v>
          </cell>
          <cell r="R49">
            <v>11268.633547555555</v>
          </cell>
          <cell r="S49">
            <v>11458.830851520013</v>
          </cell>
          <cell r="T49">
            <v>11686.943883263752</v>
          </cell>
          <cell r="U49">
            <v>11896.412424818267</v>
          </cell>
          <cell r="V49">
            <v>12109.635332812739</v>
          </cell>
          <cell r="W49">
            <v>12326.679897863985</v>
          </cell>
          <cell r="X49">
            <v>12547.614616658391</v>
          </cell>
          <cell r="Y49">
            <v>12772.509213568665</v>
          </cell>
          <cell r="Z49">
            <v>13001.434662657979</v>
          </cell>
          <cell r="AA49">
            <v>13234.463210078604</v>
          </cell>
          <cell r="AB49">
            <v>13471.668396871873</v>
          </cell>
        </row>
        <row r="50">
          <cell r="C50">
            <v>4697.2650815105171</v>
          </cell>
          <cell r="D50">
            <v>5306.3186988261568</v>
          </cell>
          <cell r="E50">
            <v>10914.466974890343</v>
          </cell>
          <cell r="F50">
            <v>16874.439571369003</v>
          </cell>
          <cell r="G50">
            <v>23350.858473149041</v>
          </cell>
          <cell r="H50">
            <v>30342.223860274702</v>
          </cell>
          <cell r="I50">
            <v>37763.976157374876</v>
          </cell>
          <cell r="J50">
            <v>45651.505889621651</v>
          </cell>
          <cell r="K50">
            <v>54032.550891157865</v>
          </cell>
          <cell r="L50">
            <v>62937.989945238827</v>
          </cell>
          <cell r="M50">
            <v>72400.633891359364</v>
          </cell>
          <cell r="N50">
            <v>82187.333907145396</v>
          </cell>
          <cell r="O50">
            <v>92328.004671514049</v>
          </cell>
          <cell r="P50">
            <v>102831.52484373358</v>
          </cell>
          <cell r="Q50">
            <v>113710.87775556155</v>
          </cell>
          <cell r="R50">
            <v>124979.51130311711</v>
          </cell>
          <cell r="S50">
            <v>136438.34215463712</v>
          </cell>
          <cell r="T50">
            <v>148125.28603790086</v>
          </cell>
          <cell r="U50">
            <v>160021.69846271913</v>
          </cell>
          <cell r="V50">
            <v>172131.33379553186</v>
          </cell>
          <cell r="W50">
            <v>184458.01369339583</v>
          </cell>
          <cell r="X50">
            <v>197005.62831005422</v>
          </cell>
          <cell r="Y50">
            <v>209778.13752362289</v>
          </cell>
          <cell r="Z50">
            <v>222779.57218628086</v>
          </cell>
          <cell r="AA50">
            <v>236014.03539635945</v>
          </cell>
          <cell r="AB50">
            <v>249485.70379323134</v>
          </cell>
        </row>
        <row r="51">
          <cell r="B51" t="str">
            <v>Economic Profit2</v>
          </cell>
          <cell r="C51">
            <v>4697.2650815105171</v>
          </cell>
          <cell r="D51">
            <v>5942.6907184885731</v>
          </cell>
          <cell r="E51">
            <v>7033.9468747106084</v>
          </cell>
          <cell r="F51">
            <v>8371.7000067076315</v>
          </cell>
          <cell r="G51">
            <v>10188.121703244953</v>
          </cell>
          <cell r="H51">
            <v>12317.171568574611</v>
          </cell>
          <cell r="I51">
            <v>14643.511899907904</v>
          </cell>
          <cell r="J51">
            <v>17428.88468163104</v>
          </cell>
          <cell r="K51">
            <v>20740.372771140937</v>
          </cell>
          <cell r="L51">
            <v>24681.043597657714</v>
          </cell>
          <cell r="M51">
            <v>29370.441881212679</v>
          </cell>
          <cell r="N51">
            <v>34019.196836948817</v>
          </cell>
          <cell r="O51">
            <v>39477.010811781132</v>
          </cell>
          <cell r="P51">
            <v>45793.332541666117</v>
          </cell>
          <cell r="Q51">
            <v>53120.265748332691</v>
          </cell>
          <cell r="R51">
            <v>61619.508268065918</v>
          </cell>
          <cell r="S51">
            <v>70174.136789831959</v>
          </cell>
          <cell r="T51">
            <v>80154.429484092063</v>
          </cell>
          <cell r="U51">
            <v>91376.049611864961</v>
          </cell>
          <cell r="V51">
            <v>104168.69655752608</v>
          </cell>
          <cell r="W51">
            <v>118752.31407557975</v>
          </cell>
          <cell r="X51">
            <v>135377.63804616092</v>
          </cell>
          <cell r="Y51">
            <v>154330.50737262348</v>
          </cell>
          <cell r="Z51">
            <v>175936.77840479076</v>
          </cell>
          <cell r="AA51">
            <v>200567.92738146149</v>
          </cell>
          <cell r="AB51">
            <v>228647.43721486614</v>
          </cell>
          <cell r="AC51">
            <v>260658.07842494742</v>
          </cell>
        </row>
        <row r="52">
          <cell r="C52">
            <v>3085.6533333333318</v>
          </cell>
          <cell r="D52">
            <v>3135.0266666666648</v>
          </cell>
          <cell r="E52">
            <v>3135.0266666666648</v>
          </cell>
          <cell r="F52">
            <v>3135.0266666666648</v>
          </cell>
          <cell r="G52">
            <v>3135.0266666666648</v>
          </cell>
          <cell r="H52">
            <v>3135.0266666666648</v>
          </cell>
          <cell r="I52">
            <v>3135.0266666666648</v>
          </cell>
          <cell r="J52">
            <v>3135.0266666666648</v>
          </cell>
          <cell r="K52">
            <v>3135.0266666666648</v>
          </cell>
          <cell r="L52">
            <v>3135.0266666666648</v>
          </cell>
          <cell r="M52">
            <v>3135.0266666666648</v>
          </cell>
          <cell r="N52">
            <v>3135.0266666666648</v>
          </cell>
          <cell r="O52">
            <v>3135.0266666666648</v>
          </cell>
          <cell r="P52">
            <v>3135.0266666666648</v>
          </cell>
          <cell r="Q52">
            <v>3135.0266666666648</v>
          </cell>
          <cell r="R52">
            <v>3135.0266666666648</v>
          </cell>
          <cell r="S52">
            <v>3135.0266666666648</v>
          </cell>
          <cell r="T52">
            <v>3135.0266666666648</v>
          </cell>
          <cell r="U52">
            <v>3135.0266666666648</v>
          </cell>
          <cell r="V52">
            <v>3135.0266666666648</v>
          </cell>
          <cell r="W52">
            <v>3135.0266666666648</v>
          </cell>
          <cell r="X52">
            <v>3135.0266666666648</v>
          </cell>
          <cell r="Y52">
            <v>3135.0266666666648</v>
          </cell>
          <cell r="Z52">
            <v>3135.0266666666648</v>
          </cell>
          <cell r="AA52">
            <v>3135.0266666666648</v>
          </cell>
          <cell r="AB52">
            <v>3135.0266666666648</v>
          </cell>
        </row>
        <row r="54">
          <cell r="C54">
            <v>49197.033031482904</v>
          </cell>
          <cell r="D54">
            <v>58651.799064997474</v>
          </cell>
          <cell r="E54">
            <v>69806.507693599182</v>
          </cell>
          <cell r="F54">
            <v>84952.541955763256</v>
          </cell>
          <cell r="G54">
            <v>102705.39211583966</v>
          </cell>
          <cell r="H54">
            <v>122103.3273150266</v>
          </cell>
          <cell r="I54">
            <v>145328.85455096548</v>
          </cell>
          <cell r="J54">
            <v>172941.33691564892</v>
          </cell>
          <cell r="K54">
            <v>205800.19092962221</v>
          </cell>
          <cell r="L54">
            <v>244902.22720625042</v>
          </cell>
          <cell r="M54">
            <v>283665.36352542613</v>
          </cell>
          <cell r="N54">
            <v>329174.75025919644</v>
          </cell>
          <cell r="O54">
            <v>381842.71030066791</v>
          </cell>
          <cell r="P54">
            <v>442937.54394877475</v>
          </cell>
          <cell r="Q54">
            <v>513807.55098057864</v>
          </cell>
          <cell r="R54">
            <v>585139.38815129385</v>
          </cell>
          <cell r="S54">
            <v>668358.97057637281</v>
          </cell>
          <cell r="T54">
            <v>761929.22645706509</v>
          </cell>
          <cell r="U54">
            <v>868599.3181610544</v>
          </cell>
          <cell r="V54">
            <v>990203.22270360216</v>
          </cell>
          <cell r="W54">
            <v>1128831.6738821066</v>
          </cell>
          <cell r="X54">
            <v>1286868.1082256017</v>
          </cell>
          <cell r="Y54">
            <v>1467029.6433771858</v>
          </cell>
          <cell r="Z54">
            <v>1672413.7934499921</v>
          </cell>
          <cell r="AA54">
            <v>1906551.7245329912</v>
          </cell>
          <cell r="AB54">
            <v>2173468.9659676105</v>
          </cell>
        </row>
        <row r="55">
          <cell r="C55">
            <v>49197.033031482904</v>
          </cell>
          <cell r="D55">
            <v>52371.081188883683</v>
          </cell>
          <cell r="E55">
            <v>55656.554243740451</v>
          </cell>
          <cell r="F55">
            <v>60479.331754826329</v>
          </cell>
          <cell r="G55">
            <v>65288.103360789028</v>
          </cell>
          <cell r="H55">
            <v>69307.224592142491</v>
          </cell>
          <cell r="I55">
            <v>73656.836383992602</v>
          </cell>
          <cell r="J55">
            <v>78265.474915577535</v>
          </cell>
          <cell r="K55">
            <v>83162.471597709198</v>
          </cell>
          <cell r="L55">
            <v>88365.868726917601</v>
          </cell>
          <cell r="M55">
            <v>91392.030999879673</v>
          </cell>
          <cell r="N55">
            <v>94697.548240147764</v>
          </cell>
          <cell r="O55">
            <v>98085.9778719038</v>
          </cell>
          <cell r="P55">
            <v>101595.65093163375</v>
          </cell>
          <cell r="Q55">
            <v>105230.90570297471</v>
          </cell>
          <cell r="R55">
            <v>107007.04248779235</v>
          </cell>
          <cell r="S55">
            <v>109137.25116231725</v>
          </cell>
          <cell r="T55">
            <v>111093.350298121</v>
          </cell>
          <cell r="U55">
            <v>113084.50917556518</v>
          </cell>
          <cell r="V55">
            <v>115111.35618073781</v>
          </cell>
          <cell r="W55">
            <v>117174.53096247619</v>
          </cell>
          <cell r="X55">
            <v>119274.68463423231</v>
          </cell>
          <cell r="Y55">
            <v>121412.47997955658</v>
          </cell>
          <cell r="Z55">
            <v>123588.59166126442</v>
          </cell>
          <cell r="AA55">
            <v>125803.70643435189</v>
          </cell>
          <cell r="AB55">
            <v>128058.52336272725</v>
          </cell>
        </row>
        <row r="56">
          <cell r="C56">
            <v>53894.29811299342</v>
          </cell>
          <cell r="D56">
            <v>57677.399887709842</v>
          </cell>
          <cell r="E56">
            <v>66571.021218630791</v>
          </cell>
          <cell r="F56">
            <v>77353.771326195332</v>
          </cell>
          <cell r="G56">
            <v>88638.961833938069</v>
          </cell>
          <cell r="H56">
            <v>99649.448452417186</v>
          </cell>
          <cell r="I56">
            <v>111420.81254136749</v>
          </cell>
          <cell r="J56">
            <v>123916.98080519919</v>
          </cell>
          <cell r="K56">
            <v>137195.02248886705</v>
          </cell>
          <cell r="L56">
            <v>151303.85867215644</v>
          </cell>
          <cell r="M56">
            <v>163792.66489123902</v>
          </cell>
          <cell r="N56">
            <v>176884.88214729316</v>
          </cell>
          <cell r="O56">
            <v>190413.98254341783</v>
          </cell>
          <cell r="P56">
            <v>204427.17577536733</v>
          </cell>
          <cell r="Q56">
            <v>218941.78345853626</v>
          </cell>
          <cell r="R56">
            <v>231986.55379090947</v>
          </cell>
          <cell r="S56">
            <v>245575.59331695439</v>
          </cell>
          <cell r="T56">
            <v>259218.63633602188</v>
          </cell>
          <cell r="U56">
            <v>273106.20763828431</v>
          </cell>
          <cell r="V56">
            <v>287242.68997626967</v>
          </cell>
          <cell r="W56">
            <v>301632.54465587204</v>
          </cell>
          <cell r="X56">
            <v>316280.3129442865</v>
          </cell>
          <cell r="Y56">
            <v>331190.61750317947</v>
          </cell>
          <cell r="Z56">
            <v>346368.16384754528</v>
          </cell>
          <cell r="AA56">
            <v>361817.74183071137</v>
          </cell>
          <cell r="AB56">
            <v>377544.22715595859</v>
          </cell>
        </row>
        <row r="58">
          <cell r="C58">
            <v>56979.951446326755</v>
          </cell>
          <cell r="D58">
            <v>60812.426554376507</v>
          </cell>
          <cell r="E58">
            <v>69706.047885297448</v>
          </cell>
          <cell r="F58">
            <v>80488.797992862004</v>
          </cell>
          <cell r="G58">
            <v>91773.988500604726</v>
          </cell>
          <cell r="H58">
            <v>102784.47511908386</v>
          </cell>
          <cell r="I58">
            <v>114555.83920803416</v>
          </cell>
          <cell r="J58">
            <v>127052.00747186586</v>
          </cell>
          <cell r="K58">
            <v>140330.04915553372</v>
          </cell>
          <cell r="L58">
            <v>154438.88533882311</v>
          </cell>
          <cell r="M58">
            <v>166927.69155790569</v>
          </cell>
          <cell r="N58">
            <v>180019.90881395983</v>
          </cell>
          <cell r="O58">
            <v>193549.00921008451</v>
          </cell>
          <cell r="P58">
            <v>207562.202442034</v>
          </cell>
          <cell r="Q58">
            <v>222076.81012520293</v>
          </cell>
          <cell r="R58">
            <v>235121.58045757614</v>
          </cell>
          <cell r="S58">
            <v>248710.61998362106</v>
          </cell>
          <cell r="T58">
            <v>262353.66300268855</v>
          </cell>
          <cell r="U58">
            <v>276241.23430495098</v>
          </cell>
          <cell r="V58">
            <v>290377.71664293634</v>
          </cell>
          <cell r="W58">
            <v>304767.57132253872</v>
          </cell>
          <cell r="X58">
            <v>319415.33961095317</v>
          </cell>
          <cell r="Y58">
            <v>334325.64416984614</v>
          </cell>
          <cell r="Z58">
            <v>349503.19051421195</v>
          </cell>
          <cell r="AA58">
            <v>364952.76849737804</v>
          </cell>
          <cell r="AB58">
            <v>380679.25382262527</v>
          </cell>
        </row>
        <row r="59">
          <cell r="C59">
            <v>13347.64</v>
          </cell>
          <cell r="D59">
            <v>13347.64</v>
          </cell>
          <cell r="E59">
            <v>13347.64</v>
          </cell>
          <cell r="F59">
            <v>13347.64</v>
          </cell>
          <cell r="G59">
            <v>13347.64</v>
          </cell>
          <cell r="H59">
            <v>13347.64</v>
          </cell>
          <cell r="I59">
            <v>13347.64</v>
          </cell>
          <cell r="J59">
            <v>13347.64</v>
          </cell>
          <cell r="K59">
            <v>13347.64</v>
          </cell>
          <cell r="L59">
            <v>13347.64</v>
          </cell>
          <cell r="M59">
            <v>13347.64</v>
          </cell>
          <cell r="N59">
            <v>13347.64</v>
          </cell>
          <cell r="O59">
            <v>13347.64</v>
          </cell>
          <cell r="P59">
            <v>13347.64</v>
          </cell>
          <cell r="Q59">
            <v>13347.64</v>
          </cell>
          <cell r="R59">
            <v>13347.64</v>
          </cell>
          <cell r="S59">
            <v>13347.64</v>
          </cell>
          <cell r="T59">
            <v>13347.64</v>
          </cell>
          <cell r="U59">
            <v>13347.64</v>
          </cell>
          <cell r="V59">
            <v>13347.64</v>
          </cell>
          <cell r="W59">
            <v>13347.64</v>
          </cell>
          <cell r="X59">
            <v>13347.64</v>
          </cell>
          <cell r="Y59">
            <v>13347.64</v>
          </cell>
          <cell r="Z59">
            <v>13347.64</v>
          </cell>
          <cell r="AA59">
            <v>13347.64</v>
          </cell>
          <cell r="AB59">
            <v>13347.64</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row>
        <row r="61">
          <cell r="C61">
            <v>70327.591446326755</v>
          </cell>
          <cell r="D61">
            <v>74160.066554376506</v>
          </cell>
          <cell r="E61">
            <v>83053.687885297448</v>
          </cell>
          <cell r="F61">
            <v>93836.437992862004</v>
          </cell>
          <cell r="G61">
            <v>105121.62850060473</v>
          </cell>
          <cell r="H61">
            <v>116132.11511908386</v>
          </cell>
          <cell r="I61">
            <v>127903.47920803416</v>
          </cell>
          <cell r="J61">
            <v>140399.64747186587</v>
          </cell>
          <cell r="K61">
            <v>153677.68915553374</v>
          </cell>
          <cell r="L61">
            <v>167786.52533882309</v>
          </cell>
          <cell r="M61">
            <v>180275.33155790571</v>
          </cell>
          <cell r="N61">
            <v>193367.54881395982</v>
          </cell>
          <cell r="O61">
            <v>206896.64921008452</v>
          </cell>
          <cell r="P61">
            <v>220909.84244203399</v>
          </cell>
          <cell r="Q61">
            <v>235424.45012520294</v>
          </cell>
          <cell r="R61">
            <v>248469.22045757616</v>
          </cell>
          <cell r="S61">
            <v>262058.25998362107</v>
          </cell>
          <cell r="T61">
            <v>275701.30300268857</v>
          </cell>
          <cell r="U61">
            <v>289588.87430495099</v>
          </cell>
          <cell r="V61">
            <v>303725.35664293636</v>
          </cell>
          <cell r="W61">
            <v>318115.21132253873</v>
          </cell>
          <cell r="X61">
            <v>332762.97961095319</v>
          </cell>
          <cell r="Y61">
            <v>347673.28416984616</v>
          </cell>
          <cell r="Z61">
            <v>362850.83051421196</v>
          </cell>
          <cell r="AA61">
            <v>378300.40849737806</v>
          </cell>
          <cell r="AB61">
            <v>394026.89382262528</v>
          </cell>
        </row>
        <row r="62">
          <cell r="C62">
            <v>2470</v>
          </cell>
          <cell r="D62">
            <v>2470</v>
          </cell>
          <cell r="E62">
            <v>2470</v>
          </cell>
          <cell r="F62">
            <v>2470</v>
          </cell>
          <cell r="G62">
            <v>2470</v>
          </cell>
          <cell r="H62">
            <v>2470</v>
          </cell>
          <cell r="I62">
            <v>2470</v>
          </cell>
          <cell r="J62">
            <v>2470</v>
          </cell>
          <cell r="K62">
            <v>2470</v>
          </cell>
          <cell r="L62">
            <v>2470</v>
          </cell>
          <cell r="M62">
            <v>2470</v>
          </cell>
          <cell r="N62">
            <v>2470</v>
          </cell>
          <cell r="O62">
            <v>2470</v>
          </cell>
          <cell r="P62">
            <v>2470</v>
          </cell>
          <cell r="Q62">
            <v>2470</v>
          </cell>
          <cell r="R62">
            <v>2470</v>
          </cell>
          <cell r="S62">
            <v>2470</v>
          </cell>
          <cell r="T62">
            <v>2470</v>
          </cell>
          <cell r="U62">
            <v>2470</v>
          </cell>
          <cell r="V62">
            <v>2470</v>
          </cell>
          <cell r="W62">
            <v>2470</v>
          </cell>
          <cell r="X62">
            <v>2470</v>
          </cell>
          <cell r="Y62">
            <v>2470</v>
          </cell>
          <cell r="Z62">
            <v>2470</v>
          </cell>
          <cell r="AA62">
            <v>2470</v>
          </cell>
          <cell r="AB62">
            <v>2470</v>
          </cell>
        </row>
        <row r="64">
          <cell r="C64">
            <v>28.472709087581681</v>
          </cell>
          <cell r="D64">
            <v>30.024318443067411</v>
          </cell>
          <cell r="E64">
            <v>33.624974852347144</v>
          </cell>
          <cell r="F64">
            <v>37.990460725855066</v>
          </cell>
          <cell r="G64">
            <v>42.559363765427015</v>
          </cell>
          <cell r="H64">
            <v>47.017050655499538</v>
          </cell>
          <cell r="I64">
            <v>51.782785104467273</v>
          </cell>
          <cell r="J64">
            <v>56.841962539216951</v>
          </cell>
          <cell r="K64">
            <v>62.217687917220132</v>
          </cell>
          <cell r="L64">
            <v>67.929767343653069</v>
          </cell>
          <cell r="M64">
            <v>72.985964193484094</v>
          </cell>
          <cell r="N64">
            <v>78.286457009700328</v>
          </cell>
          <cell r="O64">
            <v>83.763825591127343</v>
          </cell>
          <cell r="P64">
            <v>89.437183174912548</v>
          </cell>
          <cell r="Q64">
            <v>95.313542560810902</v>
          </cell>
          <cell r="R64">
            <v>100.59482609618468</v>
          </cell>
          <cell r="S64">
            <v>106.0964615318304</v>
          </cell>
          <cell r="T64">
            <v>111.61996072983342</v>
          </cell>
          <cell r="U64">
            <v>117.24245923277368</v>
          </cell>
          <cell r="V64">
            <v>122.96573143438719</v>
          </cell>
          <cell r="W64">
            <v>128.79158353139221</v>
          </cell>
          <cell r="X64">
            <v>134.72185409350331</v>
          </cell>
          <cell r="Y64">
            <v>140.75841464366241</v>
          </cell>
          <cell r="Z64">
            <v>146.9031702486688</v>
          </cell>
          <cell r="AA64">
            <v>153.15806012039599</v>
          </cell>
          <cell r="AB64">
            <v>159.52505822778352</v>
          </cell>
        </row>
        <row r="65">
          <cell r="C65">
            <v>1106.3095797277638</v>
          </cell>
          <cell r="D65">
            <v>1218.4096843533353</v>
          </cell>
          <cell r="E65">
            <v>1093.0550137666114</v>
          </cell>
          <cell r="F65">
            <v>1337.7531379321708</v>
          </cell>
          <cell r="G65">
            <v>1782.8757092811993</v>
          </cell>
          <cell r="H65">
            <v>2120.6850282583182</v>
          </cell>
          <cell r="I65">
            <v>2320.9667640224088</v>
          </cell>
          <cell r="J65">
            <v>2768.9115825346071</v>
          </cell>
          <cell r="K65">
            <v>3293.4520228458678</v>
          </cell>
          <cell r="L65">
            <v>3919.2079071865774</v>
          </cell>
          <cell r="M65">
            <v>4663.8574095520307</v>
          </cell>
          <cell r="N65">
            <v>4655.7894245613352</v>
          </cell>
          <cell r="O65">
            <v>5425.9736051201035</v>
          </cell>
          <cell r="P65">
            <v>6286.7581414790693</v>
          </cell>
          <cell r="Q65">
            <v>7292.6394441157099</v>
          </cell>
          <cell r="R65">
            <v>8459.4617551742267</v>
          </cell>
          <cell r="S65">
            <v>8628.2591354620599</v>
          </cell>
          <cell r="T65">
            <v>9872.2667323083588</v>
          </cell>
          <cell r="U65">
            <v>11176.427302989701</v>
          </cell>
          <cell r="V65">
            <v>12741.127125408282</v>
          </cell>
          <cell r="W65">
            <v>14524.88492296543</v>
          </cell>
          <cell r="X65">
            <v>16558.368812180604</v>
          </cell>
          <cell r="Y65">
            <v>18876.540445885883</v>
          </cell>
          <cell r="Z65">
            <v>21519.256108309899</v>
          </cell>
          <cell r="AA65">
            <v>24531.951963473286</v>
          </cell>
          <cell r="AB65">
            <v>27966.425238359574</v>
          </cell>
        </row>
        <row r="68">
          <cell r="C68">
            <v>0.27522451135763337</v>
          </cell>
          <cell r="D68">
            <v>0.20822977078155205</v>
          </cell>
          <cell r="E68">
            <v>0.23499999999999999</v>
          </cell>
          <cell r="F68">
            <v>0.23500000000000018</v>
          </cell>
          <cell r="G68">
            <v>0.20999999999999994</v>
          </cell>
          <cell r="H68">
            <v>0.21</v>
          </cell>
          <cell r="I68">
            <v>0.18999999999999997</v>
          </cell>
          <cell r="J68">
            <v>0.18999999999999995</v>
          </cell>
          <cell r="K68">
            <v>0.19</v>
          </cell>
          <cell r="L68">
            <v>0.19</v>
          </cell>
          <cell r="M68">
            <v>0.18999999999999986</v>
          </cell>
          <cell r="N68">
            <v>0.15999999999999992</v>
          </cell>
          <cell r="O68">
            <v>0.15999999999999992</v>
          </cell>
          <cell r="P68">
            <v>0.16</v>
          </cell>
          <cell r="Q68">
            <v>0.15999999999999995</v>
          </cell>
          <cell r="R68">
            <v>0.15999999999999998</v>
          </cell>
          <cell r="S68">
            <v>0.1400000000000001</v>
          </cell>
          <cell r="T68">
            <v>0.14000000000000012</v>
          </cell>
          <cell r="U68">
            <v>0.14000000000000015</v>
          </cell>
          <cell r="V68">
            <v>0.14000000000000021</v>
          </cell>
          <cell r="W68">
            <v>0.14000000000000015</v>
          </cell>
          <cell r="X68">
            <v>0.14000000000000015</v>
          </cell>
          <cell r="Y68">
            <v>0.14000000000000007</v>
          </cell>
          <cell r="Z68">
            <v>0.14000000000000001</v>
          </cell>
          <cell r="AA68">
            <v>0.14000000000000018</v>
          </cell>
          <cell r="AB68">
            <v>0.14000000000000021</v>
          </cell>
        </row>
        <row r="69">
          <cell r="C69">
            <v>0.35004090763641249</v>
          </cell>
          <cell r="D69">
            <v>0.36106661333333345</v>
          </cell>
          <cell r="E69">
            <v>0.34590546064391747</v>
          </cell>
          <cell r="F69">
            <v>0.33254099048377711</v>
          </cell>
          <cell r="G69">
            <v>0.33300000000000002</v>
          </cell>
          <cell r="H69">
            <v>0.33300000000000002</v>
          </cell>
          <cell r="I69">
            <v>0.33300000000000002</v>
          </cell>
          <cell r="J69">
            <v>0.33300000000000002</v>
          </cell>
          <cell r="K69">
            <v>0.33300000000000002</v>
          </cell>
          <cell r="L69">
            <v>0.33300000000000002</v>
          </cell>
          <cell r="M69">
            <v>0.33300000000000002</v>
          </cell>
          <cell r="N69">
            <v>0.33300000000000002</v>
          </cell>
          <cell r="O69">
            <v>0.33300000000000002</v>
          </cell>
          <cell r="P69">
            <v>0.33300000000000002</v>
          </cell>
          <cell r="Q69">
            <v>0.33300000000000002</v>
          </cell>
          <cell r="R69">
            <v>0.33300000000000002</v>
          </cell>
          <cell r="S69">
            <v>0.33300000000000002</v>
          </cell>
          <cell r="T69">
            <v>0.33300000000000002</v>
          </cell>
          <cell r="U69">
            <v>0.33300000000000002</v>
          </cell>
          <cell r="V69">
            <v>0.33300000000000002</v>
          </cell>
          <cell r="W69">
            <v>0.33300000000000002</v>
          </cell>
          <cell r="X69">
            <v>0.33300000000000002</v>
          </cell>
          <cell r="Y69">
            <v>0.33300000000000002</v>
          </cell>
          <cell r="Z69">
            <v>0.33300000000000002</v>
          </cell>
          <cell r="AA69">
            <v>0.33300000000000002</v>
          </cell>
          <cell r="AB69">
            <v>0.33300000000000002</v>
          </cell>
        </row>
        <row r="70">
          <cell r="C70">
            <v>-0.46063979526551496</v>
          </cell>
          <cell r="D70">
            <v>-0.10323607427055707</v>
          </cell>
          <cell r="E70">
            <v>-0.10444874274661507</v>
          </cell>
          <cell r="F70">
            <v>-0.10219213410702772</v>
          </cell>
          <cell r="G70">
            <v>-2.9478458049886566E-2</v>
          </cell>
          <cell r="H70">
            <v>-0.14285714285714296</v>
          </cell>
          <cell r="I70">
            <v>-8.3208020050125286E-2</v>
          </cell>
          <cell r="J70">
            <v>-0.1333333333333333</v>
          </cell>
          <cell r="K70">
            <v>-0.13333333333333328</v>
          </cell>
          <cell r="L70">
            <v>-0.1333333333333333</v>
          </cell>
          <cell r="M70">
            <v>-0.13333333333333333</v>
          </cell>
          <cell r="N70">
            <v>-7.2916666666666699E-2</v>
          </cell>
          <cell r="O70">
            <v>-0.125</v>
          </cell>
          <cell r="P70">
            <v>-0.125</v>
          </cell>
          <cell r="Q70">
            <v>-0.125</v>
          </cell>
          <cell r="R70">
            <v>-0.125</v>
          </cell>
          <cell r="S70">
            <v>-6.5126050420168127E-2</v>
          </cell>
          <cell r="T70">
            <v>-0.11764705882352941</v>
          </cell>
          <cell r="U70">
            <v>-0.11764705882352933</v>
          </cell>
          <cell r="V70">
            <v>-0.11764705882352948</v>
          </cell>
          <cell r="W70">
            <v>-0.1176470588235294</v>
          </cell>
          <cell r="X70">
            <v>-0.11764705882352942</v>
          </cell>
          <cell r="Y70">
            <v>-0.11764705882352944</v>
          </cell>
          <cell r="Z70">
            <v>-0.11764705882352947</v>
          </cell>
          <cell r="AA70">
            <v>-0.11764705882352934</v>
          </cell>
          <cell r="AB70">
            <v>-0.11764705882352947</v>
          </cell>
        </row>
        <row r="71">
          <cell r="C71">
            <v>0.31202832479209214</v>
          </cell>
          <cell r="D71">
            <v>0.11524809543542269</v>
          </cell>
          <cell r="E71">
            <v>0.1513739709146219</v>
          </cell>
          <cell r="F71">
            <v>0.1264975332897835</v>
          </cell>
          <cell r="G71">
            <v>0.22205655603791599</v>
          </cell>
          <cell r="H71">
            <v>0.32258064516129037</v>
          </cell>
          <cell r="I71">
            <v>0.25944397283531384</v>
          </cell>
          <cell r="J71">
            <v>0.31249999999999994</v>
          </cell>
          <cell r="K71">
            <v>0.31250000000000017</v>
          </cell>
          <cell r="L71">
            <v>0.31249999999999983</v>
          </cell>
          <cell r="M71">
            <v>0.31250000000000006</v>
          </cell>
          <cell r="N71">
            <v>0.24384469696969716</v>
          </cell>
          <cell r="O71">
            <v>0.30303030303030287</v>
          </cell>
          <cell r="P71">
            <v>0.30303030303030337</v>
          </cell>
          <cell r="Q71">
            <v>0.30303030303030304</v>
          </cell>
          <cell r="R71">
            <v>0.30303030303030298</v>
          </cell>
          <cell r="S71">
            <v>0.19574628270280411</v>
          </cell>
          <cell r="T71">
            <v>0.28985507246376813</v>
          </cell>
          <cell r="U71">
            <v>0.28985507246376813</v>
          </cell>
          <cell r="V71">
            <v>0.28985507246376802</v>
          </cell>
          <cell r="W71">
            <v>0.28985507246376818</v>
          </cell>
          <cell r="X71">
            <v>0.28985507246376813</v>
          </cell>
          <cell r="Y71">
            <v>0.28985507246376829</v>
          </cell>
          <cell r="Z71">
            <v>0.2898550724637679</v>
          </cell>
          <cell r="AA71">
            <v>0.28985507246376813</v>
          </cell>
          <cell r="AB71">
            <v>0.28985507246376824</v>
          </cell>
        </row>
        <row r="74">
          <cell r="C74">
            <v>-3188.64</v>
          </cell>
          <cell r="D74">
            <v>-3500</v>
          </cell>
          <cell r="E74">
            <v>-3929.5454545454545</v>
          </cell>
          <cell r="F74">
            <v>-4448.572916666667</v>
          </cell>
          <cell r="G74">
            <v>-4613.805625</v>
          </cell>
          <cell r="H74">
            <v>-5582.7048062500007</v>
          </cell>
          <cell r="I74">
            <v>-6200.5241381416672</v>
          </cell>
          <cell r="J74">
            <v>-7378.6237243885835</v>
          </cell>
          <cell r="K74">
            <v>-8780.5622320224138</v>
          </cell>
          <cell r="L74">
            <v>-10448.869056106672</v>
          </cell>
          <cell r="M74">
            <v>-12434.154176766939</v>
          </cell>
          <cell r="N74">
            <v>-13522.142667234046</v>
          </cell>
          <cell r="O74">
            <v>-15685.685493991492</v>
          </cell>
          <cell r="P74">
            <v>-18195.395173030131</v>
          </cell>
          <cell r="Q74">
            <v>-21106.65840071495</v>
          </cell>
          <cell r="R74">
            <v>-24483.723744829342</v>
          </cell>
          <cell r="S74">
            <v>-26269.595359158073</v>
          </cell>
          <cell r="T74">
            <v>-29947.338709440206</v>
          </cell>
          <cell r="U74">
            <v>-34139.966128761836</v>
          </cell>
          <cell r="V74">
            <v>-38919.561386788504</v>
          </cell>
          <cell r="W74">
            <v>-44368.2999809389</v>
          </cell>
          <cell r="X74">
            <v>-50579.861978270354</v>
          </cell>
          <cell r="Y74">
            <v>-57661.042655228208</v>
          </cell>
          <cell r="Z74">
            <v>-65733.588626960161</v>
          </cell>
          <cell r="AA74">
            <v>-74936.29103473459</v>
          </cell>
          <cell r="AB74">
            <v>-85427.371779597452</v>
          </cell>
        </row>
        <row r="75">
          <cell r="C75">
            <v>6323.6666666666652</v>
          </cell>
          <cell r="D75">
            <v>7185.0259224999008</v>
          </cell>
          <cell r="E75">
            <v>8134.5714778862839</v>
          </cell>
          <cell r="F75">
            <v>9173.5989418692643</v>
          </cell>
          <cell r="G75">
            <v>10418.270766129033</v>
          </cell>
          <cell r="H75">
            <v>12606.10762701613</v>
          </cell>
          <cell r="I75">
            <v>14532.478448769531</v>
          </cell>
          <cell r="J75">
            <v>17293.649354035741</v>
          </cell>
          <cell r="K75">
            <v>20579.442731302534</v>
          </cell>
          <cell r="L75">
            <v>24489.536850250013</v>
          </cell>
          <cell r="M75">
            <v>29142.548851797514</v>
          </cell>
          <cell r="N75">
            <v>32780.951920567386</v>
          </cell>
          <cell r="O75">
            <v>38025.904227858162</v>
          </cell>
          <cell r="P75">
            <v>44110.048904315474</v>
          </cell>
          <cell r="Q75">
            <v>51167.656729005947</v>
          </cell>
          <cell r="R75">
            <v>59354.481805646894</v>
          </cell>
          <cell r="S75">
            <v>64722.191464592346</v>
          </cell>
          <cell r="T75">
            <v>73783.298269635285</v>
          </cell>
          <cell r="U75">
            <v>84112.960027384237</v>
          </cell>
          <cell r="V75">
            <v>95888.774431218044</v>
          </cell>
          <cell r="W75">
            <v>109313.20285158859</v>
          </cell>
          <cell r="X75">
            <v>124617.05125081101</v>
          </cell>
          <cell r="Y75">
            <v>142063.43842592457</v>
          </cell>
          <cell r="Z75">
            <v>161952.319805554</v>
          </cell>
          <cell r="AA75">
            <v>184625.64457833159</v>
          </cell>
          <cell r="AB75">
            <v>210473.23481929806</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C77">
            <v>3135.0266666666648</v>
          </cell>
          <cell r="D77">
            <v>3685.0259224999008</v>
          </cell>
          <cell r="E77">
            <v>4205.0260233408299</v>
          </cell>
          <cell r="F77">
            <v>4725.0260252025973</v>
          </cell>
          <cell r="G77">
            <v>5804.4651411290333</v>
          </cell>
          <cell r="H77">
            <v>7023.4028207661295</v>
          </cell>
          <cell r="I77">
            <v>8331.9543106278634</v>
          </cell>
          <cell r="J77">
            <v>9915.0256296471562</v>
          </cell>
          <cell r="K77">
            <v>11798.88049928012</v>
          </cell>
          <cell r="L77">
            <v>14040.667794143341</v>
          </cell>
          <cell r="M77">
            <v>16708.394675030577</v>
          </cell>
          <cell r="N77">
            <v>19258.80925333334</v>
          </cell>
          <cell r="O77">
            <v>22340.21873386667</v>
          </cell>
          <cell r="P77">
            <v>25914.653731285343</v>
          </cell>
          <cell r="Q77">
            <v>30060.998328290996</v>
          </cell>
          <cell r="R77">
            <v>34870.758060817549</v>
          </cell>
          <cell r="S77">
            <v>38452.596105434277</v>
          </cell>
          <cell r="T77">
            <v>43835.959560195079</v>
          </cell>
          <cell r="U77">
            <v>49972.993898622401</v>
          </cell>
          <cell r="V77">
            <v>56969.21304442954</v>
          </cell>
          <cell r="W77">
            <v>64944.90287064969</v>
          </cell>
          <cell r="X77">
            <v>74037.189272540651</v>
          </cell>
          <cell r="Y77">
            <v>84402.39577069637</v>
          </cell>
          <cell r="Z77">
            <v>96218.731178593836</v>
          </cell>
          <cell r="AA77">
            <v>109689.353543597</v>
          </cell>
          <cell r="AB77">
            <v>125045.86303970061</v>
          </cell>
        </row>
        <row r="78">
          <cell r="C78">
            <v>3135.0266666666648</v>
          </cell>
          <cell r="D78">
            <v>3410.0262945832828</v>
          </cell>
          <cell r="E78">
            <v>3945.0259729203653</v>
          </cell>
          <cell r="F78">
            <v>4465.026024271714</v>
          </cell>
          <cell r="G78">
            <v>5264.7455831658153</v>
          </cell>
          <cell r="H78">
            <v>6413.9339809475814</v>
          </cell>
          <cell r="I78">
            <v>7677.6785656969969</v>
          </cell>
          <cell r="J78">
            <v>9123.4899701375107</v>
          </cell>
          <cell r="K78">
            <v>10856.953064463638</v>
          </cell>
          <cell r="L78">
            <v>12919.77414671173</v>
          </cell>
          <cell r="M78">
            <v>15374.531234586959</v>
          </cell>
          <cell r="N78">
            <v>17983.601964181958</v>
          </cell>
          <cell r="O78">
            <v>20799.513993600005</v>
          </cell>
          <cell r="P78">
            <v>24127.436232576008</v>
          </cell>
          <cell r="Q78">
            <v>27987.826029788172</v>
          </cell>
          <cell r="R78">
            <v>32465.878194554272</v>
          </cell>
          <cell r="S78">
            <v>36661.677083125913</v>
          </cell>
          <cell r="T78">
            <v>41144.277832814681</v>
          </cell>
          <cell r="U78">
            <v>46904.476729408736</v>
          </cell>
          <cell r="V78">
            <v>53471.103471525974</v>
          </cell>
          <cell r="W78">
            <v>60957.057957539611</v>
          </cell>
          <cell r="X78">
            <v>69491.046071595163</v>
          </cell>
          <cell r="Y78">
            <v>79219.79252161851</v>
          </cell>
          <cell r="Z78">
            <v>90310.563474645111</v>
          </cell>
          <cell r="AA78">
            <v>102954.04236109542</v>
          </cell>
          <cell r="AB78">
            <v>117367.60829164879</v>
          </cell>
        </row>
        <row r="79">
          <cell r="C79">
            <v>1.600093335176981E-2</v>
          </cell>
          <cell r="D79">
            <v>0.17543686683151116</v>
          </cell>
          <cell r="E79">
            <v>0.14111165342580925</v>
          </cell>
          <cell r="F79">
            <v>0.12366154192040774</v>
          </cell>
          <cell r="G79">
            <v>0.22845146464143598</v>
          </cell>
          <cell r="H79">
            <v>0.20999999999999985</v>
          </cell>
          <cell r="I79">
            <v>0.18631303418803394</v>
          </cell>
          <cell r="J79">
            <v>0.18999999999999984</v>
          </cell>
          <cell r="K79">
            <v>0.19000000000000039</v>
          </cell>
          <cell r="L79">
            <v>0.18999999999999986</v>
          </cell>
          <cell r="M79">
            <v>0.19000000000000009</v>
          </cell>
          <cell r="N79">
            <v>0.15264270613107817</v>
          </cell>
          <cell r="O79">
            <v>0.15999999999999975</v>
          </cell>
          <cell r="P79">
            <v>0.16000000000000028</v>
          </cell>
          <cell r="Q79">
            <v>0.15999999999999992</v>
          </cell>
          <cell r="R79">
            <v>0.15999999999999978</v>
          </cell>
          <cell r="S79">
            <v>0.10271752734396253</v>
          </cell>
          <cell r="T79">
            <v>0.14000000000000007</v>
          </cell>
          <cell r="U79">
            <v>0.14000000000000024</v>
          </cell>
          <cell r="V79">
            <v>0.14000000000000007</v>
          </cell>
          <cell r="W79">
            <v>0.14000000000000026</v>
          </cell>
          <cell r="X79">
            <v>0.14000000000000007</v>
          </cell>
          <cell r="Y79">
            <v>0.14000000000000037</v>
          </cell>
          <cell r="Z79">
            <v>0.13999999999999971</v>
          </cell>
          <cell r="AA79">
            <v>0.14000000000000024</v>
          </cell>
          <cell r="AB79">
            <v>0.14000000000000026</v>
          </cell>
        </row>
        <row r="80">
          <cell r="C80">
            <v>-5.8671505999206053</v>
          </cell>
          <cell r="D80">
            <v>-5.232752846617549</v>
          </cell>
          <cell r="E80">
            <v>-5.8179871520342612</v>
          </cell>
          <cell r="F80">
            <v>-6.3717021692397893</v>
          </cell>
          <cell r="G80">
            <v>-7.1276297335203367</v>
          </cell>
          <cell r="H80">
            <v>-7.6651583710407243</v>
          </cell>
          <cell r="I80">
            <v>-7.8932406822488943</v>
          </cell>
          <cell r="J80">
            <v>-8.1506849315068486</v>
          </cell>
          <cell r="K80">
            <v>-8.1506849315068486</v>
          </cell>
          <cell r="L80">
            <v>-8.1506849315068504</v>
          </cell>
          <cell r="M80">
            <v>-8.1506849315068504</v>
          </cell>
          <cell r="N80">
            <v>-8.3353293413173652</v>
          </cell>
          <cell r="O80">
            <v>-8.5925925925925917</v>
          </cell>
          <cell r="P80">
            <v>-8.5925925925925917</v>
          </cell>
          <cell r="Q80">
            <v>-8.5925925925925917</v>
          </cell>
          <cell r="R80">
            <v>-8.5925925925925917</v>
          </cell>
          <cell r="S80">
            <v>-8.7990919409761634</v>
          </cell>
          <cell r="T80">
            <v>-9.0560747663551417</v>
          </cell>
          <cell r="U80">
            <v>-9.0560747663551417</v>
          </cell>
          <cell r="V80">
            <v>-9.05607476635514</v>
          </cell>
          <cell r="W80">
            <v>-9.0560747663551417</v>
          </cell>
          <cell r="X80">
            <v>-9.0560747663551417</v>
          </cell>
          <cell r="Y80">
            <v>-9.05607476635514</v>
          </cell>
          <cell r="Z80">
            <v>-9.05607476635514</v>
          </cell>
          <cell r="AA80">
            <v>-9.05607476635514</v>
          </cell>
          <cell r="AB80">
            <v>-9.05607476635514</v>
          </cell>
        </row>
        <row r="81">
          <cell r="C81">
            <v>2.5961641871303107</v>
          </cell>
          <cell r="D81">
            <v>2.5909243081057753</v>
          </cell>
          <cell r="E81">
            <v>2.8215493443000246</v>
          </cell>
          <cell r="F81">
            <v>3.0842586885479695</v>
          </cell>
          <cell r="G81">
            <v>3.2969430540684987</v>
          </cell>
          <cell r="H81">
            <v>3.3945701357466063</v>
          </cell>
          <cell r="I81">
            <v>3.4271447234722023</v>
          </cell>
          <cell r="J81">
            <v>3.4776255707762562</v>
          </cell>
          <cell r="K81">
            <v>3.4776255707762562</v>
          </cell>
          <cell r="L81">
            <v>3.4776255707762562</v>
          </cell>
          <cell r="M81">
            <v>3.4776255707762558</v>
          </cell>
          <cell r="N81">
            <v>3.4938961779806044</v>
          </cell>
          <cell r="O81">
            <v>3.5444444444444443</v>
          </cell>
          <cell r="P81">
            <v>3.5444444444444443</v>
          </cell>
          <cell r="Q81">
            <v>3.5444444444444438</v>
          </cell>
          <cell r="R81">
            <v>3.5444444444444438</v>
          </cell>
          <cell r="S81">
            <v>3.5992512479201335</v>
          </cell>
          <cell r="T81">
            <v>3.67570093457944</v>
          </cell>
          <cell r="U81">
            <v>3.6757009345794396</v>
          </cell>
          <cell r="V81">
            <v>3.67570093457944</v>
          </cell>
          <cell r="W81">
            <v>3.6757009345794396</v>
          </cell>
          <cell r="X81">
            <v>3.6757009345794396</v>
          </cell>
          <cell r="Y81">
            <v>3.6757009345794391</v>
          </cell>
          <cell r="Z81">
            <v>3.6757009345794391</v>
          </cell>
          <cell r="AA81">
            <v>3.6757009345794396</v>
          </cell>
          <cell r="AB81">
            <v>3.6757009345794396</v>
          </cell>
        </row>
        <row r="82">
          <cell r="C82" t="str">
            <v xml:space="preserve">--  </v>
          </cell>
          <cell r="D82" t="str">
            <v xml:space="preserve">--  </v>
          </cell>
          <cell r="E82" t="str">
            <v xml:space="preserve">--  </v>
          </cell>
          <cell r="F82" t="str">
            <v xml:space="preserve">--  </v>
          </cell>
          <cell r="G82" t="str">
            <v xml:space="preserve">--  </v>
          </cell>
          <cell r="H82" t="str">
            <v xml:space="preserve">--  </v>
          </cell>
          <cell r="I82" t="str">
            <v xml:space="preserve">--  </v>
          </cell>
          <cell r="J82" t="str">
            <v xml:space="preserve">--  </v>
          </cell>
          <cell r="K82" t="str">
            <v xml:space="preserve">--  </v>
          </cell>
          <cell r="L82" t="str">
            <v xml:space="preserve">--  </v>
          </cell>
          <cell r="M82" t="str">
            <v xml:space="preserve">--  </v>
          </cell>
          <cell r="N82" t="str">
            <v xml:space="preserve">--  </v>
          </cell>
          <cell r="O82" t="str">
            <v xml:space="preserve">--  </v>
          </cell>
          <cell r="P82" t="str">
            <v xml:space="preserve">--  </v>
          </cell>
          <cell r="Q82" t="str">
            <v xml:space="preserve">--  </v>
          </cell>
          <cell r="R82" t="str">
            <v xml:space="preserve">--  </v>
          </cell>
          <cell r="S82" t="str">
            <v xml:space="preserve">--  </v>
          </cell>
          <cell r="T82" t="str">
            <v xml:space="preserve">--  </v>
          </cell>
          <cell r="U82" t="str">
            <v xml:space="preserve">--  </v>
          </cell>
          <cell r="V82" t="str">
            <v xml:space="preserve">--  </v>
          </cell>
          <cell r="W82" t="str">
            <v xml:space="preserve">--  </v>
          </cell>
          <cell r="X82" t="str">
            <v xml:space="preserve">--  </v>
          </cell>
          <cell r="Y82" t="str">
            <v xml:space="preserve">--  </v>
          </cell>
          <cell r="Z82" t="str">
            <v xml:space="preserve">--  </v>
          </cell>
          <cell r="AA82" t="str">
            <v xml:space="preserve">--  </v>
          </cell>
          <cell r="AB82" t="str">
            <v xml:space="preserve">--  </v>
          </cell>
        </row>
        <row r="83">
          <cell r="C83">
            <v>4.6200563950545899</v>
          </cell>
          <cell r="D83">
            <v>5.1319252369983737</v>
          </cell>
          <cell r="E83">
            <v>5.4784176703407148</v>
          </cell>
          <cell r="F83">
            <v>5.9778906897532851</v>
          </cell>
          <cell r="G83">
            <v>6.1345109397630706</v>
          </cell>
          <cell r="H83">
            <v>6.0928181923657032</v>
          </cell>
          <cell r="I83">
            <v>6.0570302127308153</v>
          </cell>
          <cell r="J83">
            <v>6.0656259955399818</v>
          </cell>
          <cell r="K83">
            <v>6.0656259955399818</v>
          </cell>
          <cell r="L83">
            <v>6.0656259955399809</v>
          </cell>
          <cell r="M83">
            <v>6.0656259955399801</v>
          </cell>
          <cell r="N83">
            <v>6.0153211549793744</v>
          </cell>
          <cell r="O83">
            <v>6.0330969267139478</v>
          </cell>
          <cell r="P83">
            <v>6.0330969267139469</v>
          </cell>
          <cell r="Q83">
            <v>6.033096926713946</v>
          </cell>
          <cell r="R83">
            <v>6.0330969267139469</v>
          </cell>
          <cell r="S83">
            <v>6.0905986391881921</v>
          </cell>
          <cell r="T83">
            <v>6.1868233552327201</v>
          </cell>
          <cell r="U83">
            <v>6.186823355232721</v>
          </cell>
          <cell r="V83">
            <v>6.1868233552327201</v>
          </cell>
          <cell r="W83">
            <v>6.186823355232721</v>
          </cell>
          <cell r="X83">
            <v>6.186823355232721</v>
          </cell>
          <cell r="Y83">
            <v>6.1868233552327201</v>
          </cell>
          <cell r="Z83">
            <v>6.1868233552327192</v>
          </cell>
          <cell r="AA83">
            <v>6.186823355232721</v>
          </cell>
          <cell r="AB83">
            <v>6.186823355232721</v>
          </cell>
        </row>
        <row r="85">
          <cell r="C85">
            <v>-4.5423754327863914</v>
          </cell>
          <cell r="D85">
            <v>-5</v>
          </cell>
          <cell r="E85">
            <v>-5.5</v>
          </cell>
          <cell r="F85">
            <v>-6</v>
          </cell>
          <cell r="G85">
            <v>-7.0000000000000009</v>
          </cell>
          <cell r="H85">
            <v>-6.9999999999999991</v>
          </cell>
          <cell r="I85">
            <v>-7.5</v>
          </cell>
          <cell r="J85">
            <v>-7.5</v>
          </cell>
          <cell r="K85">
            <v>-7.5</v>
          </cell>
          <cell r="L85">
            <v>-7.5000000000000009</v>
          </cell>
          <cell r="M85">
            <v>-7.5000000000000009</v>
          </cell>
          <cell r="N85">
            <v>-8</v>
          </cell>
          <cell r="O85">
            <v>-8</v>
          </cell>
          <cell r="P85">
            <v>-8</v>
          </cell>
          <cell r="Q85">
            <v>-8</v>
          </cell>
          <cell r="R85">
            <v>-8</v>
          </cell>
          <cell r="S85">
            <v>-8.5</v>
          </cell>
          <cell r="T85">
            <v>-8.5</v>
          </cell>
          <cell r="U85">
            <v>-8.5</v>
          </cell>
          <cell r="V85">
            <v>-8.5</v>
          </cell>
          <cell r="W85">
            <v>-8.5</v>
          </cell>
          <cell r="X85">
            <v>-8.5</v>
          </cell>
          <cell r="Y85">
            <v>-8.5</v>
          </cell>
          <cell r="Z85">
            <v>-8.5</v>
          </cell>
          <cell r="AA85">
            <v>-8.5</v>
          </cell>
          <cell r="AB85">
            <v>-8.5</v>
          </cell>
        </row>
        <row r="86">
          <cell r="C86">
            <v>2.2904433082072644</v>
          </cell>
          <cell r="D86">
            <v>2.4356209968844746</v>
          </cell>
          <cell r="E86">
            <v>2.6568701324652775</v>
          </cell>
          <cell r="F86">
            <v>2.909592807483385</v>
          </cell>
          <cell r="G86">
            <v>3.1</v>
          </cell>
          <cell r="H86">
            <v>3.1</v>
          </cell>
          <cell r="I86">
            <v>3.2</v>
          </cell>
          <cell r="J86">
            <v>3.2</v>
          </cell>
          <cell r="K86">
            <v>3.2</v>
          </cell>
          <cell r="L86">
            <v>3.2</v>
          </cell>
          <cell r="M86">
            <v>3.2</v>
          </cell>
          <cell r="N86">
            <v>3.3</v>
          </cell>
          <cell r="O86">
            <v>3.3</v>
          </cell>
          <cell r="P86">
            <v>3.2999999999999994</v>
          </cell>
          <cell r="Q86">
            <v>3.3</v>
          </cell>
          <cell r="R86">
            <v>3.3</v>
          </cell>
          <cell r="S86">
            <v>3.45</v>
          </cell>
          <cell r="T86">
            <v>3.45</v>
          </cell>
          <cell r="U86">
            <v>3.45</v>
          </cell>
          <cell r="V86">
            <v>3.45</v>
          </cell>
          <cell r="W86">
            <v>3.45</v>
          </cell>
          <cell r="X86">
            <v>3.45</v>
          </cell>
          <cell r="Y86">
            <v>3.4499999999999997</v>
          </cell>
          <cell r="Z86">
            <v>3.45</v>
          </cell>
          <cell r="AA86">
            <v>3.45</v>
          </cell>
          <cell r="AB86">
            <v>3.45</v>
          </cell>
        </row>
        <row r="87">
          <cell r="C87" t="e">
            <v>#DIV/0!</v>
          </cell>
          <cell r="D87" t="e">
            <v>#DIV/0!</v>
          </cell>
          <cell r="E87" t="e">
            <v>#DIV/0!</v>
          </cell>
          <cell r="F87" t="e">
            <v>#DIV/0!</v>
          </cell>
          <cell r="G87" t="e">
            <v>#DIV/0!</v>
          </cell>
          <cell r="H87" t="e">
            <v>#DIV/0!</v>
          </cell>
          <cell r="I87" t="e">
            <v>#DIV/0!</v>
          </cell>
          <cell r="J87" t="e">
            <v>#DIV/0!</v>
          </cell>
          <cell r="K87" t="e">
            <v>#DIV/0!</v>
          </cell>
          <cell r="L87" t="e">
            <v>#DIV/0!</v>
          </cell>
          <cell r="M87" t="e">
            <v>#DIV/0!</v>
          </cell>
          <cell r="N87" t="e">
            <v>#DIV/0!</v>
          </cell>
          <cell r="O87" t="e">
            <v>#DIV/0!</v>
          </cell>
          <cell r="P87" t="e">
            <v>#DIV/0!</v>
          </cell>
          <cell r="Q87" t="e">
            <v>#DIV/0!</v>
          </cell>
          <cell r="R87" t="e">
            <v>#DIV/0!</v>
          </cell>
          <cell r="S87" t="e">
            <v>#DIV/0!</v>
          </cell>
          <cell r="T87" t="e">
            <v>#DIV/0!</v>
          </cell>
          <cell r="U87" t="e">
            <v>#DIV/0!</v>
          </cell>
          <cell r="V87" t="e">
            <v>#DIV/0!</v>
          </cell>
          <cell r="W87" t="e">
            <v>#DIV/0!</v>
          </cell>
          <cell r="X87" t="e">
            <v>#DIV/0!</v>
          </cell>
          <cell r="Y87" t="e">
            <v>#DIV/0!</v>
          </cell>
          <cell r="Z87" t="e">
            <v>#DIV/0!</v>
          </cell>
          <cell r="AA87" t="e">
            <v>#DIV/0!</v>
          </cell>
          <cell r="AB87" t="e">
            <v>#DIV/0!</v>
          </cell>
        </row>
        <row r="88">
          <cell r="C88">
            <v>4.6200563950545899</v>
          </cell>
          <cell r="D88">
            <v>4.7489489539677647</v>
          </cell>
          <cell r="E88">
            <v>5.1396828176652267</v>
          </cell>
          <cell r="F88">
            <v>5.6489503671793093</v>
          </cell>
          <cell r="G88">
            <v>5.5641025641025639</v>
          </cell>
          <cell r="H88">
            <v>5.5641025641025639</v>
          </cell>
          <cell r="I88">
            <v>5.5813953488372103</v>
          </cell>
          <cell r="J88">
            <v>5.5813953488372112</v>
          </cell>
          <cell r="K88">
            <v>5.5813953488372094</v>
          </cell>
          <cell r="L88">
            <v>5.5813953488372094</v>
          </cell>
          <cell r="M88">
            <v>5.5813953488372086</v>
          </cell>
          <cell r="N88">
            <v>5.6170212765957439</v>
          </cell>
          <cell r="O88">
            <v>5.6170212765957448</v>
          </cell>
          <cell r="P88">
            <v>5.617021276595743</v>
          </cell>
          <cell r="Q88">
            <v>5.6170212765957439</v>
          </cell>
          <cell r="R88">
            <v>5.6170212765957448</v>
          </cell>
          <cell r="S88">
            <v>5.8069306930693072</v>
          </cell>
          <cell r="T88">
            <v>5.8069306930693072</v>
          </cell>
          <cell r="U88">
            <v>5.8069306930693072</v>
          </cell>
          <cell r="V88">
            <v>5.8069306930693081</v>
          </cell>
          <cell r="W88">
            <v>5.8069306930693072</v>
          </cell>
          <cell r="X88">
            <v>5.8069306930693081</v>
          </cell>
          <cell r="Y88">
            <v>5.8069306930693063</v>
          </cell>
          <cell r="Z88">
            <v>5.8069306930693081</v>
          </cell>
          <cell r="AA88">
            <v>5.8069306930693072</v>
          </cell>
          <cell r="AB88">
            <v>5.8069306930693072</v>
          </cell>
        </row>
        <row r="91">
          <cell r="C91" t="str">
            <v>N/A</v>
          </cell>
          <cell r="D91" t="str">
            <v>N/A</v>
          </cell>
          <cell r="E91" t="str">
            <v>NM</v>
          </cell>
          <cell r="F91" t="str">
            <v>NM</v>
          </cell>
          <cell r="G91" t="str">
            <v>NM</v>
          </cell>
          <cell r="H91" t="str">
            <v>NM</v>
          </cell>
          <cell r="I91" t="str">
            <v>NM</v>
          </cell>
          <cell r="J91" t="str">
            <v>NM</v>
          </cell>
          <cell r="K91">
            <v>0.25432562418273008</v>
          </cell>
          <cell r="L91">
            <v>0.46631370761856944</v>
          </cell>
          <cell r="M91">
            <v>0.56538777747845093</v>
          </cell>
          <cell r="N91">
            <v>1.7088849457823854</v>
          </cell>
          <cell r="O91">
            <v>1.2466970766485552</v>
          </cell>
          <cell r="P91">
            <v>2.8394438714170476</v>
          </cell>
          <cell r="Q91" t="str">
            <v>NM</v>
          </cell>
        </row>
        <row r="92">
          <cell r="C92">
            <v>9.5426712753357048</v>
          </cell>
          <cell r="D92">
            <v>9.486575090296455</v>
          </cell>
          <cell r="E92">
            <v>3.1437366886592808</v>
          </cell>
          <cell r="F92">
            <v>2.3937145238754018</v>
          </cell>
          <cell r="G92">
            <v>2.0930608151202255</v>
          </cell>
          <cell r="H92">
            <v>1.9647490499711482</v>
          </cell>
          <cell r="I92">
            <v>1.8325321293555097</v>
          </cell>
          <cell r="J92">
            <v>1.8667361449172493</v>
          </cell>
          <cell r="K92">
            <v>1.8670738031554825</v>
          </cell>
          <cell r="L92">
            <v>1.8586046511627907</v>
          </cell>
          <cell r="M92">
            <v>1.8586046511627898</v>
          </cell>
          <cell r="N92">
            <v>1.8892317012247664</v>
          </cell>
          <cell r="O92">
            <v>1.8905379101016728</v>
          </cell>
          <cell r="P92">
            <v>1.8919989735290825</v>
          </cell>
          <cell r="Q92">
            <v>1.8704680851063826</v>
          </cell>
          <cell r="R92">
            <v>1.8704680851063831</v>
          </cell>
          <cell r="S92">
            <v>2.0644182395120967</v>
          </cell>
          <cell r="T92">
            <v>2.0717157570991698</v>
          </cell>
          <cell r="U92">
            <v>2.0797274263596934</v>
          </cell>
          <cell r="V92">
            <v>1.9337079207920798</v>
          </cell>
          <cell r="W92">
            <v>1.9337079207920789</v>
          </cell>
          <cell r="X92">
            <v>1.9337079207920804</v>
          </cell>
          <cell r="Y92">
            <v>1.9337079207920782</v>
          </cell>
          <cell r="Z92">
            <v>1.9337079207920804</v>
          </cell>
          <cell r="AA92">
            <v>1.9337079207920789</v>
          </cell>
          <cell r="AB92">
            <v>1.9337079207920795</v>
          </cell>
        </row>
        <row r="93">
          <cell r="C93" t="str">
            <v>NM</v>
          </cell>
          <cell r="D93">
            <v>25.290438032558981</v>
          </cell>
          <cell r="E93">
            <v>2.1040320010618481</v>
          </cell>
          <cell r="F93">
            <v>2.6925288923116377</v>
          </cell>
          <cell r="G93">
            <v>3.6130458489663795</v>
          </cell>
          <cell r="H93">
            <v>2.0922940054431631</v>
          </cell>
          <cell r="I93">
            <v>2.0284253846153857</v>
          </cell>
          <cell r="J93">
            <v>2.248519633692494</v>
          </cell>
          <cell r="K93">
            <v>2.2117395348837241</v>
          </cell>
          <cell r="L93">
            <v>2.211739534883717</v>
          </cell>
          <cell r="M93">
            <v>2.211739534883721</v>
          </cell>
          <cell r="N93">
            <v>1.862517503059973</v>
          </cell>
          <cell r="O93">
            <v>2.2598985041551241</v>
          </cell>
          <cell r="P93">
            <v>2.1697429787234084</v>
          </cell>
          <cell r="Q93">
            <v>2.1697429787233991</v>
          </cell>
          <cell r="R93">
            <v>2.1697429787234044</v>
          </cell>
          <cell r="S93">
            <v>1.8985251063829829</v>
          </cell>
          <cell r="T93">
            <v>2.9062878955733118</v>
          </cell>
          <cell r="U93">
            <v>2.2044270297029707</v>
          </cell>
          <cell r="V93">
            <v>2.2044270297029711</v>
          </cell>
          <cell r="W93">
            <v>2.2044270297029716</v>
          </cell>
          <cell r="X93">
            <v>2.2044270297029702</v>
          </cell>
          <cell r="Y93">
            <v>2.2044270297029716</v>
          </cell>
          <cell r="Z93">
            <v>2.2044270297029649</v>
          </cell>
          <cell r="AA93">
            <v>2.2044270297029764</v>
          </cell>
          <cell r="AB93">
            <v>2.2044270297029702</v>
          </cell>
        </row>
        <row r="96">
          <cell r="C96">
            <v>1.6172087338563206</v>
          </cell>
          <cell r="D96">
            <v>1.8529668652028675</v>
          </cell>
          <cell r="E96">
            <v>1.8738727919415348</v>
          </cell>
          <cell r="F96">
            <v>1.9111339260999234</v>
          </cell>
          <cell r="G96">
            <v>1.9432308039490394</v>
          </cell>
          <cell r="H96">
            <v>1.9600718862241284</v>
          </cell>
          <cell r="I96">
            <v>1.9694456269765179</v>
          </cell>
          <cell r="J96">
            <v>1.9765689836929226</v>
          </cell>
          <cell r="K96">
            <v>1.9819284042357788</v>
          </cell>
          <cell r="L96">
            <v>1.986106887195221</v>
          </cell>
          <cell r="M96">
            <v>1.9894560154833445</v>
          </cell>
          <cell r="N96">
            <v>1.9906927035599271</v>
          </cell>
          <cell r="O96">
            <v>1.9922136768572662</v>
          </cell>
          <cell r="P96">
            <v>1.9935015618933882</v>
          </cell>
          <cell r="Q96">
            <v>1.9946061259864956</v>
          </cell>
          <cell r="R96">
            <v>1.9955639099107756</v>
          </cell>
          <cell r="S96">
            <v>1.9975863048785347</v>
          </cell>
          <cell r="T96">
            <v>2.0012169081156541</v>
          </cell>
          <cell r="U96">
            <v>2.0044496501887092</v>
          </cell>
          <cell r="V96">
            <v>2.0073465298890723</v>
          </cell>
          <cell r="W96">
            <v>2.0099573010254677</v>
          </cell>
          <cell r="X96">
            <v>2.0123223530762337</v>
          </cell>
          <cell r="Y96">
            <v>2.0144748152054306</v>
          </cell>
          <cell r="Z96">
            <v>2.0164421174103047</v>
          </cell>
          <cell r="AA96">
            <v>2.0182471654699023</v>
          </cell>
          <cell r="AB96">
            <v>2.0199092367389544</v>
          </cell>
        </row>
        <row r="97">
          <cell r="C97">
            <v>0.35004090763641249</v>
          </cell>
          <cell r="D97">
            <v>0.36106661333333345</v>
          </cell>
          <cell r="E97">
            <v>0.35340474417897388</v>
          </cell>
          <cell r="F97">
            <v>0.34630862832105319</v>
          </cell>
          <cell r="G97">
            <v>0.34293241866584756</v>
          </cell>
          <cell r="H97">
            <v>0.34092251274013374</v>
          </cell>
          <cell r="I97">
            <v>0.33958912413519771</v>
          </cell>
          <cell r="J97">
            <v>0.33863989777667308</v>
          </cell>
          <cell r="K97">
            <v>0.3379297196396423</v>
          </cell>
          <cell r="L97">
            <v>0.33737838869982151</v>
          </cell>
          <cell r="M97">
            <v>0.33693797165422684</v>
          </cell>
          <cell r="N97">
            <v>0.33657805809890268</v>
          </cell>
          <cell r="O97">
            <v>0.33627842383510254</v>
          </cell>
          <cell r="P97">
            <v>0.33602509550548254</v>
          </cell>
          <cell r="Q97">
            <v>0.33580810883543616</v>
          </cell>
          <cell r="R97">
            <v>0.33562016706466469</v>
          </cell>
          <cell r="S97">
            <v>0.33545580430214778</v>
          </cell>
          <cell r="T97">
            <v>0.33531084518201093</v>
          </cell>
          <cell r="U97">
            <v>0.33518204521877448</v>
          </cell>
          <cell r="V97">
            <v>0.33506684508404194</v>
          </cell>
          <cell r="W97">
            <v>0.3349631988157169</v>
          </cell>
          <cell r="X97">
            <v>0.33486945124702061</v>
          </cell>
          <cell r="Y97">
            <v>0.33478424895286601</v>
          </cell>
          <cell r="Z97">
            <v>0.33470647448672985</v>
          </cell>
          <cell r="AA97">
            <v>0.33463519709840617</v>
          </cell>
          <cell r="AB97">
            <v>0.33456963530720252</v>
          </cell>
        </row>
        <row r="98">
          <cell r="C98">
            <v>4.6200563950545899</v>
          </cell>
          <cell r="D98">
            <v>5.1319252369983737</v>
          </cell>
          <cell r="E98">
            <v>5.3023419260963687</v>
          </cell>
          <cell r="F98">
            <v>5.5185859369584183</v>
          </cell>
          <cell r="G98">
            <v>5.6665124035488708</v>
          </cell>
          <cell r="H98">
            <v>5.7493178448974467</v>
          </cell>
          <cell r="I98">
            <v>5.7994955874748211</v>
          </cell>
          <cell r="J98">
            <v>5.8367870905643677</v>
          </cell>
          <cell r="K98">
            <v>5.8649129953685204</v>
          </cell>
          <cell r="L98">
            <v>5.8868823662630518</v>
          </cell>
          <cell r="M98">
            <v>5.9045171006281496</v>
          </cell>
          <cell r="N98">
            <v>5.91450528535335</v>
          </cell>
          <cell r="O98">
            <v>5.9242982470804266</v>
          </cell>
          <cell r="P98">
            <v>5.9325972629947881</v>
          </cell>
          <cell r="Q98">
            <v>5.939719957637946</v>
          </cell>
          <cell r="R98">
            <v>5.9458998765300235</v>
          </cell>
          <cell r="S98">
            <v>5.9548419769755787</v>
          </cell>
          <cell r="T98">
            <v>5.9682439052317813</v>
          </cell>
          <cell r="U98">
            <v>5.9801820496691533</v>
          </cell>
          <cell r="V98">
            <v>5.9908837873397669</v>
          </cell>
          <cell r="W98">
            <v>6.0005317244753931</v>
          </cell>
          <cell r="X98">
            <v>6.0092741979972937</v>
          </cell>
          <cell r="Y98">
            <v>6.0172329537792768</v>
          </cell>
          <cell r="Z98">
            <v>6.0245088491416414</v>
          </cell>
          <cell r="AA98">
            <v>6.0311861482891063</v>
          </cell>
          <cell r="AB98">
            <v>6.0373357997185506</v>
          </cell>
        </row>
        <row r="99">
          <cell r="C99" t="str">
            <v>N/A</v>
          </cell>
          <cell r="D99">
            <v>0.20822977078155214</v>
          </cell>
          <cell r="E99">
            <v>0.22154155349509774</v>
          </cell>
          <cell r="F99">
            <v>0.22601132692079595</v>
          </cell>
          <cell r="G99">
            <v>0.22198874109284783</v>
          </cell>
          <cell r="H99">
            <v>0.21958152752787674</v>
          </cell>
          <cell r="I99">
            <v>0.21460069407095195</v>
          </cell>
          <cell r="J99">
            <v>0.21105541501089453</v>
          </cell>
          <cell r="K99">
            <v>0.20840324841475266</v>
          </cell>
          <cell r="L99">
            <v>0.2063444683340494</v>
          </cell>
          <cell r="M99">
            <v>0.20469997001667317</v>
          </cell>
          <cell r="N99">
            <v>0.20056613689391467</v>
          </cell>
          <cell r="O99">
            <v>0.19713211373106532</v>
          </cell>
          <cell r="P99">
            <v>0.194234074932365</v>
          </cell>
          <cell r="Q99">
            <v>0.19175562618453323</v>
          </cell>
          <cell r="R99">
            <v>0.18961179828565422</v>
          </cell>
          <cell r="S99">
            <v>0.18644876074829364</v>
          </cell>
          <cell r="T99">
            <v>0.18366483020552038</v>
          </cell>
          <cell r="U99">
            <v>0.18119570968292265</v>
          </cell>
          <cell r="V99">
            <v>0.17899086276604548</v>
          </cell>
          <cell r="W99">
            <v>0.17701001961301666</v>
          </cell>
          <cell r="X99">
            <v>0.17522069604866597</v>
          </cell>
          <cell r="Y99">
            <v>0.17359639885823763</v>
          </cell>
          <cell r="Z99">
            <v>0.17211530562033572</v>
          </cell>
          <cell r="AA99">
            <v>0.17075927887995013</v>
          </cell>
          <cell r="AB99">
            <v>0.16951311988121565</v>
          </cell>
        </row>
        <row r="100">
          <cell r="C100" t="str">
            <v>N/A</v>
          </cell>
          <cell r="D100">
            <v>0.2462869965979495</v>
          </cell>
          <cell r="E100">
            <v>0.21430435747779275</v>
          </cell>
          <cell r="F100">
            <v>0.20523002989947203</v>
          </cell>
          <cell r="G100">
            <v>0.20683684988355577</v>
          </cell>
          <cell r="H100">
            <v>0.20746881769222036</v>
          </cell>
          <cell r="I100">
            <v>0.20453964083874521</v>
          </cell>
          <cell r="J100">
            <v>0.20245172317627369</v>
          </cell>
          <cell r="K100">
            <v>0.20088816033470347</v>
          </cell>
          <cell r="L100">
            <v>0.19967346165170463</v>
          </cell>
          <cell r="M100">
            <v>0.19870258740595959</v>
          </cell>
          <cell r="N100">
            <v>0.19513144780869851</v>
          </cell>
          <cell r="O100">
            <v>0.19216362653072827</v>
          </cell>
          <cell r="P100">
            <v>0.18965815022324595</v>
          </cell>
          <cell r="Q100">
            <v>0.18751479047975361</v>
          </cell>
          <cell r="R100">
            <v>0.18566033589578601</v>
          </cell>
          <cell r="S100">
            <v>0.18275373061508082</v>
          </cell>
          <cell r="T100">
            <v>0.18019499678835671</v>
          </cell>
          <cell r="U100">
            <v>0.17792521416886964</v>
          </cell>
          <cell r="V100">
            <v>0.17589805651775636</v>
          </cell>
          <cell r="W100">
            <v>0.17407659759821814</v>
          </cell>
          <cell r="X100">
            <v>0.17243104223943662</v>
          </cell>
          <cell r="Y100">
            <v>0.17093708430092835</v>
          </cell>
          <cell r="Z100">
            <v>0.16957469836371009</v>
          </cell>
          <cell r="AA100">
            <v>0.16832723713157716</v>
          </cell>
          <cell r="AB100">
            <v>0.16718074795954818</v>
          </cell>
        </row>
        <row r="101">
          <cell r="C101" t="str">
            <v>N/A</v>
          </cell>
          <cell r="D101">
            <v>0.17543686683151116</v>
          </cell>
          <cell r="E101">
            <v>0.15814710059118076</v>
          </cell>
          <cell r="F101">
            <v>0.1465358931965639</v>
          </cell>
          <cell r="G101">
            <v>0.16648791022548526</v>
          </cell>
          <cell r="H101">
            <v>0.17506331417265786</v>
          </cell>
          <cell r="I101">
            <v>0.17693083169439894</v>
          </cell>
          <cell r="J101">
            <v>0.17878903107669397</v>
          </cell>
          <cell r="K101">
            <v>0.18018460568056427</v>
          </cell>
          <cell r="L101">
            <v>0.18127119477576992</v>
          </cell>
          <cell r="M101">
            <v>0.18214118630743759</v>
          </cell>
          <cell r="N101">
            <v>0.1794285974747023</v>
          </cell>
          <cell r="O101">
            <v>0.17779719352399881</v>
          </cell>
          <cell r="P101">
            <v>0.17641853745997271</v>
          </cell>
          <cell r="Q101">
            <v>0.17523811676220347</v>
          </cell>
          <cell r="R101">
            <v>0.1742160436110447</v>
          </cell>
          <cell r="S101">
            <v>0.16961458882559088</v>
          </cell>
          <cell r="T101">
            <v>0.16785145084090169</v>
          </cell>
          <cell r="U101">
            <v>0.16628644847955432</v>
          </cell>
          <cell r="V101">
            <v>0.16488796098488723</v>
          </cell>
          <cell r="W101">
            <v>0.16363075606229471</v>
          </cell>
          <cell r="X101">
            <v>0.16249445413935848</v>
          </cell>
          <cell r="Y101">
            <v>0.16146241530872452</v>
          </cell>
          <cell r="Z101">
            <v>0.16052091918532474</v>
          </cell>
          <cell r="AA101">
            <v>0.15965855152735076</v>
          </cell>
          <cell r="AB101">
            <v>0.15886573926009984</v>
          </cell>
        </row>
        <row r="102">
          <cell r="C102" t="str">
            <v>N/A</v>
          </cell>
          <cell r="D102">
            <v>4.2300536007880973E-2</v>
          </cell>
          <cell r="E102">
            <v>0.1210754906049738</v>
          </cell>
          <cell r="F102">
            <v>0.14719858618144044</v>
          </cell>
          <cell r="G102">
            <v>0.1498626349061587</v>
          </cell>
          <cell r="H102">
            <v>0.16337114540289144</v>
          </cell>
          <cell r="I102">
            <v>0.16972819958907692</v>
          </cell>
          <cell r="J102">
            <v>0.17234560371200591</v>
          </cell>
          <cell r="K102">
            <v>0.17453799950361804</v>
          </cell>
          <cell r="L102">
            <v>0.17624603039547515</v>
          </cell>
          <cell r="M102">
            <v>0.1776142433035619</v>
          </cell>
          <cell r="N102">
            <v>0.17775552048614962</v>
          </cell>
          <cell r="O102">
            <v>0.17595478482515969</v>
          </cell>
          <cell r="P102">
            <v>0.17471974096416787</v>
          </cell>
          <cell r="Q102">
            <v>0.1736621643794376</v>
          </cell>
          <cell r="R102">
            <v>0.17274636819203582</v>
          </cell>
          <cell r="S102">
            <v>0.17266658735038276</v>
          </cell>
          <cell r="T102">
            <v>0.16960120717856841</v>
          </cell>
          <cell r="U102">
            <v>0.16793671295435897</v>
          </cell>
          <cell r="V102">
            <v>0.16644943664380585</v>
          </cell>
          <cell r="W102">
            <v>0.16511250734354332</v>
          </cell>
          <cell r="X102">
            <v>0.16390422506234903</v>
          </cell>
          <cell r="Y102">
            <v>0.16280687401789184</v>
          </cell>
          <cell r="Z102">
            <v>0.16180584839479573</v>
          </cell>
          <cell r="AA102">
            <v>0.16088899861779349</v>
          </cell>
          <cell r="AB102">
            <v>0.16004613586731797</v>
          </cell>
        </row>
        <row r="105">
          <cell r="C105" t="str">
            <v>N/A</v>
          </cell>
          <cell r="D105">
            <v>0.14578089173706665</v>
          </cell>
          <cell r="E105">
            <v>2.2692107152985308E-2</v>
          </cell>
          <cell r="F105">
            <v>4.9012342021208966E-2</v>
          </cell>
          <cell r="G105">
            <v>2.7616392272913126E-2</v>
          </cell>
          <cell r="H105">
            <v>-6.7964256330721451E-3</v>
          </cell>
          <cell r="I105">
            <v>-5.8737973963723933E-3</v>
          </cell>
          <cell r="J105">
            <v>1.419141478128827E-3</v>
          </cell>
          <cell r="K105">
            <v>0</v>
          </cell>
          <cell r="L105">
            <v>0</v>
          </cell>
          <cell r="M105">
            <v>-2.2204460492503131E-16</v>
          </cell>
          <cell r="N105">
            <v>-8.2934293340199972E-3</v>
          </cell>
          <cell r="O105">
            <v>2.9550827423168169E-3</v>
          </cell>
          <cell r="P105">
            <v>0</v>
          </cell>
          <cell r="Q105">
            <v>-2.2204460492503131E-16</v>
          </cell>
          <cell r="R105">
            <v>2.2204460492503131E-16</v>
          </cell>
          <cell r="S105">
            <v>9.5310440347200487E-3</v>
          </cell>
          <cell r="T105">
            <v>1.5798892973409417E-2</v>
          </cell>
          <cell r="U105">
            <v>2.2204460492503131E-16</v>
          </cell>
          <cell r="V105">
            <v>0</v>
          </cell>
          <cell r="W105">
            <v>0</v>
          </cell>
          <cell r="X105">
            <v>0</v>
          </cell>
          <cell r="Y105">
            <v>-2.2204460492503131E-16</v>
          </cell>
          <cell r="Z105">
            <v>0</v>
          </cell>
          <cell r="AA105">
            <v>2.2204460492503131E-16</v>
          </cell>
          <cell r="AB105">
            <v>0</v>
          </cell>
        </row>
        <row r="106">
          <cell r="C106" t="str">
            <v>N/A</v>
          </cell>
          <cell r="D106" t="str">
            <v>N/A</v>
          </cell>
          <cell r="E106" t="str">
            <v>N/A</v>
          </cell>
          <cell r="F106" t="str">
            <v>N/A</v>
          </cell>
          <cell r="G106" t="str">
            <v>N/A</v>
          </cell>
          <cell r="H106">
            <v>4.6403719973358459E-2</v>
          </cell>
          <cell r="I106">
            <v>1.7108453838055704E-2</v>
          </cell>
          <cell r="J106">
            <v>1.2841437307074877E-2</v>
          </cell>
          <cell r="K106">
            <v>3.1949592496003376E-3</v>
          </cell>
          <cell r="L106">
            <v>-2.2559728719027117E-3</v>
          </cell>
          <cell r="M106">
            <v>-8.941960774673241E-4</v>
          </cell>
          <cell r="N106">
            <v>-1.3810206530004976E-3</v>
          </cell>
          <cell r="O106">
            <v>-1.0748791201453667E-3</v>
          </cell>
          <cell r="P106">
            <v>-1.0748791201453667E-3</v>
          </cell>
          <cell r="Q106">
            <v>-1.0748791201453667E-3</v>
          </cell>
          <cell r="R106">
            <v>-1.0748791201452557E-3</v>
          </cell>
          <cell r="S106">
            <v>2.4904230158366847E-3</v>
          </cell>
          <cell r="T106">
            <v>5.0449430393475492E-3</v>
          </cell>
          <cell r="U106">
            <v>5.0449430393475492E-3</v>
          </cell>
          <cell r="V106">
            <v>5.0449430393475492E-3</v>
          </cell>
          <cell r="W106">
            <v>5.0449430393475492E-3</v>
          </cell>
          <cell r="X106">
            <v>3.1399974117825025E-3</v>
          </cell>
          <cell r="Y106">
            <v>0</v>
          </cell>
          <cell r="Z106">
            <v>0</v>
          </cell>
          <cell r="AA106">
            <v>0</v>
          </cell>
          <cell r="AB106">
            <v>0</v>
          </cell>
        </row>
        <row r="107">
          <cell r="C107" t="str">
            <v>N/A</v>
          </cell>
          <cell r="D107" t="str">
            <v>N/A</v>
          </cell>
          <cell r="E107" t="str">
            <v>N/A</v>
          </cell>
          <cell r="F107" t="str">
            <v>N/A</v>
          </cell>
          <cell r="G107" t="str">
            <v>N/A</v>
          </cell>
          <cell r="H107" t="str">
            <v>N/A</v>
          </cell>
          <cell r="I107" t="str">
            <v>N/A</v>
          </cell>
          <cell r="J107" t="str">
            <v>N/A</v>
          </cell>
          <cell r="K107" t="str">
            <v>N/A</v>
          </cell>
          <cell r="L107" t="str">
            <v>N/A</v>
          </cell>
          <cell r="M107">
            <v>2.2481310279807154E-2</v>
          </cell>
          <cell r="N107">
            <v>7.821316532332423E-3</v>
          </cell>
          <cell r="O107">
            <v>5.8592124120033784E-3</v>
          </cell>
          <cell r="P107">
            <v>1.0577635353856696E-3</v>
          </cell>
          <cell r="Q107">
            <v>-1.6656006597350892E-3</v>
          </cell>
          <cell r="R107">
            <v>-9.8454168362316352E-4</v>
          </cell>
          <cell r="S107">
            <v>5.5282870881767643E-4</v>
          </cell>
          <cell r="T107">
            <v>1.9803596953720248E-3</v>
          </cell>
          <cell r="U107">
            <v>1.9803596953720248E-3</v>
          </cell>
          <cell r="V107">
            <v>1.9803596953720248E-3</v>
          </cell>
          <cell r="W107">
            <v>1.9803596953720248E-3</v>
          </cell>
          <cell r="X107">
            <v>2.8151576185131422E-3</v>
          </cell>
          <cell r="Y107">
            <v>2.5192980882451366E-3</v>
          </cell>
          <cell r="Z107">
            <v>2.5192980882451366E-3</v>
          </cell>
          <cell r="AA107">
            <v>2.5192980882451366E-3</v>
          </cell>
          <cell r="AB107">
            <v>2.5192980882451366E-3</v>
          </cell>
        </row>
        <row r="110">
          <cell r="C110">
            <v>0</v>
          </cell>
          <cell r="D110">
            <v>0.75</v>
          </cell>
          <cell r="E110">
            <v>1.75</v>
          </cell>
          <cell r="F110">
            <v>2.75</v>
          </cell>
          <cell r="G110">
            <v>3.75</v>
          </cell>
          <cell r="H110">
            <v>4.75</v>
          </cell>
          <cell r="I110">
            <v>5.75</v>
          </cell>
          <cell r="J110">
            <v>6.75</v>
          </cell>
          <cell r="K110">
            <v>7.75</v>
          </cell>
          <cell r="L110">
            <v>8.75</v>
          </cell>
          <cell r="M110">
            <v>9.75</v>
          </cell>
          <cell r="N110">
            <v>10.75</v>
          </cell>
          <cell r="O110">
            <v>11.75</v>
          </cell>
          <cell r="P110">
            <v>12.75</v>
          </cell>
          <cell r="Q110">
            <v>13.75</v>
          </cell>
          <cell r="R110">
            <v>14.75</v>
          </cell>
          <cell r="S110">
            <v>15.75</v>
          </cell>
          <cell r="T110">
            <v>16.75</v>
          </cell>
          <cell r="U110">
            <v>17.75</v>
          </cell>
          <cell r="V110">
            <v>18.75</v>
          </cell>
          <cell r="W110">
            <v>19.75</v>
          </cell>
          <cell r="X110">
            <v>20.75</v>
          </cell>
          <cell r="Y110">
            <v>21.75</v>
          </cell>
          <cell r="Z110">
            <v>22.75</v>
          </cell>
          <cell r="AA110">
            <v>23.75</v>
          </cell>
          <cell r="AB110">
            <v>24.75</v>
          </cell>
          <cell r="AC110">
            <v>25.75</v>
          </cell>
        </row>
        <row r="114">
          <cell r="D114" t="str">
            <v>1999E</v>
          </cell>
          <cell r="E114" t="str">
            <v>2000E</v>
          </cell>
          <cell r="F114" t="str">
            <v>2001E</v>
          </cell>
          <cell r="G114" t="str">
            <v>2002E</v>
          </cell>
          <cell r="H114" t="str">
            <v>2003E</v>
          </cell>
          <cell r="I114" t="str">
            <v>2004E</v>
          </cell>
          <cell r="J114" t="str">
            <v>2005E</v>
          </cell>
          <cell r="K114" t="str">
            <v>2006E</v>
          </cell>
          <cell r="L114" t="str">
            <v>2007E</v>
          </cell>
          <cell r="M114" t="str">
            <v>2008E</v>
          </cell>
          <cell r="N114" t="str">
            <v>2009E</v>
          </cell>
          <cell r="O114" t="str">
            <v>2010E</v>
          </cell>
          <cell r="P114" t="str">
            <v>2011E</v>
          </cell>
          <cell r="Q114" t="str">
            <v>2012E</v>
          </cell>
          <cell r="R114" t="str">
            <v>2013E</v>
          </cell>
          <cell r="S114" t="str">
            <v>2014E</v>
          </cell>
          <cell r="T114" t="str">
            <v>2015E</v>
          </cell>
          <cell r="U114" t="str">
            <v>2016E</v>
          </cell>
          <cell r="V114" t="str">
            <v>2017E</v>
          </cell>
          <cell r="W114" t="str">
            <v>2018E</v>
          </cell>
          <cell r="X114" t="str">
            <v>2019E</v>
          </cell>
          <cell r="Y114" t="str">
            <v>2020E</v>
          </cell>
          <cell r="Z114" t="str">
            <v>2021E</v>
          </cell>
          <cell r="AA114" t="str">
            <v>2022E</v>
          </cell>
        </row>
        <row r="116">
          <cell r="D116">
            <v>4738.9993000000013</v>
          </cell>
          <cell r="E116">
            <v>7475.881768166666</v>
          </cell>
          <cell r="F116">
            <v>8875.9970636858325</v>
          </cell>
          <cell r="G116">
            <v>10754.780911875001</v>
          </cell>
          <cell r="H116">
            <v>13013.284903368751</v>
          </cell>
          <cell r="I116">
            <v>15485.809035008813</v>
          </cell>
          <cell r="J116">
            <v>18428.112751660487</v>
          </cell>
          <cell r="K116">
            <v>21929.454174475981</v>
          </cell>
          <cell r="L116">
            <v>26096.050467626417</v>
          </cell>
          <cell r="M116">
            <v>31054.300056475433</v>
          </cell>
          <cell r="N116">
            <v>36022.988065511498</v>
          </cell>
          <cell r="O116">
            <v>41786.666155993335</v>
          </cell>
          <cell r="P116">
            <v>48472.532740952272</v>
          </cell>
          <cell r="Q116">
            <v>56228.13797950463</v>
          </cell>
          <cell r="R116">
            <v>65224.640056225369</v>
          </cell>
          <cell r="S116">
            <v>74356.089664096929</v>
          </cell>
          <cell r="T116">
            <v>84765.942217070507</v>
          </cell>
          <cell r="U116">
            <v>96633.174127460385</v>
          </cell>
          <cell r="V116">
            <v>110161.81850530487</v>
          </cell>
          <cell r="W116">
            <v>125584.47309604756</v>
          </cell>
          <cell r="X116">
            <v>143166.29932949424</v>
          </cell>
          <cell r="Y116">
            <v>163209.58123562345</v>
          </cell>
          <cell r="Z116">
            <v>186058.92260861074</v>
          </cell>
          <cell r="AA116">
            <v>212107.17177381626</v>
          </cell>
          <cell r="AB116">
            <v>241802.17582215057</v>
          </cell>
          <cell r="AC116">
            <v>275654.48043725168</v>
          </cell>
        </row>
        <row r="117">
          <cell r="D117">
            <v>412.49944187492702</v>
          </cell>
          <cell r="E117">
            <v>520.00010084092901</v>
          </cell>
          <cell r="F117">
            <v>520.00000186176749</v>
          </cell>
          <cell r="G117">
            <v>1079.439115926436</v>
          </cell>
          <cell r="H117">
            <v>1218.9376796370962</v>
          </cell>
          <cell r="I117">
            <v>1308.5514898617339</v>
          </cell>
          <cell r="J117">
            <v>1583.0713190192928</v>
          </cell>
          <cell r="K117">
            <v>1883.8548696329635</v>
          </cell>
          <cell r="L117">
            <v>2241.7872948632212</v>
          </cell>
          <cell r="M117">
            <v>2667.7268808872359</v>
          </cell>
          <cell r="N117">
            <v>2550.4145783027634</v>
          </cell>
          <cell r="O117">
            <v>3081.4094805333298</v>
          </cell>
          <cell r="P117">
            <v>3574.4349974186734</v>
          </cell>
          <cell r="Q117">
            <v>4146.3445970056528</v>
          </cell>
          <cell r="R117">
            <v>4809.7597325265524</v>
          </cell>
          <cell r="S117">
            <v>3581.8380446167284</v>
          </cell>
          <cell r="T117">
            <v>5383.3634547608017</v>
          </cell>
          <cell r="U117">
            <v>6137.0343384273219</v>
          </cell>
          <cell r="V117">
            <v>6996.2191458071393</v>
          </cell>
          <cell r="W117">
            <v>7975.6898262201503</v>
          </cell>
          <cell r="X117">
            <v>9092.2864018909604</v>
          </cell>
          <cell r="Y117">
            <v>10365.20649815572</v>
          </cell>
          <cell r="Z117">
            <v>11816.335407897466</v>
          </cell>
          <cell r="AA117">
            <v>13470.622365003161</v>
          </cell>
          <cell r="AB117">
            <v>15356.509496103608</v>
          </cell>
          <cell r="AC117">
            <v>0</v>
          </cell>
        </row>
        <row r="118">
          <cell r="D118">
            <v>5768.6664775000991</v>
          </cell>
          <cell r="E118">
            <v>6955.881667325737</v>
          </cell>
          <cell r="F118">
            <v>8355.9970618240659</v>
          </cell>
          <cell r="G118">
            <v>9675.341795948565</v>
          </cell>
          <cell r="H118">
            <v>11794.347223731655</v>
          </cell>
          <cell r="I118">
            <v>14177.25754514708</v>
          </cell>
          <cell r="J118">
            <v>16845.041432641192</v>
          </cell>
          <cell r="K118">
            <v>20045.599304843017</v>
          </cell>
          <cell r="L118">
            <v>23854.263172763196</v>
          </cell>
          <cell r="M118">
            <v>28386.573175588197</v>
          </cell>
          <cell r="N118">
            <v>33472.573487208734</v>
          </cell>
          <cell r="O118">
            <v>38705.256675460005</v>
          </cell>
          <cell r="P118">
            <v>44898.097743533595</v>
          </cell>
          <cell r="Q118">
            <v>52081.793382498974</v>
          </cell>
          <cell r="R118">
            <v>60414.880323698817</v>
          </cell>
          <cell r="S118">
            <v>70774.251619480201</v>
          </cell>
          <cell r="T118">
            <v>79382.578762309713</v>
          </cell>
          <cell r="U118">
            <v>90496.13978903307</v>
          </cell>
          <cell r="V118">
            <v>103165.59935949772</v>
          </cell>
          <cell r="W118">
            <v>117608.7832698274</v>
          </cell>
          <cell r="X118">
            <v>134074.01292760327</v>
          </cell>
          <cell r="Y118">
            <v>152844.37473746773</v>
          </cell>
          <cell r="Z118">
            <v>174242.58720071329</v>
          </cell>
          <cell r="AA118">
            <v>198636.54940881309</v>
          </cell>
          <cell r="AB118">
            <v>226445.66632604698</v>
          </cell>
          <cell r="AC118">
            <v>275654.48043725168</v>
          </cell>
        </row>
        <row r="120">
          <cell r="D120">
            <v>5298.8677664348606</v>
          </cell>
          <cell r="E120">
            <v>5705.1890298769104</v>
          </cell>
          <cell r="F120">
            <v>6119.6464681047219</v>
          </cell>
          <cell r="G120">
            <v>6327.0981708727559</v>
          </cell>
          <cell r="H120">
            <v>6886.8776571685521</v>
          </cell>
          <cell r="I120">
            <v>7391.8116048865113</v>
          </cell>
          <cell r="J120">
            <v>7842.2547512008232</v>
          </cell>
          <cell r="K120">
            <v>8332.9372077819153</v>
          </cell>
          <cell r="L120">
            <v>8854.3212012085987</v>
          </cell>
          <cell r="M120">
            <v>9408.3276975802964</v>
          </cell>
          <cell r="N120">
            <v>9906.0102626710013</v>
          </cell>
          <cell r="O120">
            <v>10227.97890347541</v>
          </cell>
          <cell r="P120">
            <v>10593.95233608872</v>
          </cell>
          <cell r="Q120">
            <v>10973.020883058714</v>
          </cell>
          <cell r="R120">
            <v>11365.653108507089</v>
          </cell>
          <cell r="S120">
            <v>11888.743708826983</v>
          </cell>
          <cell r="T120">
            <v>11906.828105688259</v>
          </cell>
          <cell r="U120">
            <v>12120.237697002412</v>
          </cell>
          <cell r="V120">
            <v>12337.472291353537</v>
          </cell>
          <cell r="W120">
            <v>12558.600445399001</v>
          </cell>
          <cell r="X120">
            <v>12783.691944557375</v>
          </cell>
          <cell r="Y120">
            <v>13012.817825031852</v>
          </cell>
          <cell r="Z120">
            <v>13246.05039622846</v>
          </cell>
          <cell r="AA120">
            <v>13483.463263576006</v>
          </cell>
          <cell r="AB120">
            <v>13725.131351755137</v>
          </cell>
          <cell r="AC120">
            <v>14918.589134337726</v>
          </cell>
        </row>
        <row r="121">
          <cell r="D121">
            <v>5298.8677664348606</v>
          </cell>
          <cell r="E121">
            <v>11004.056796311772</v>
          </cell>
          <cell r="F121">
            <v>17123.703264416494</v>
          </cell>
          <cell r="G121">
            <v>23450.80143528925</v>
          </cell>
          <cell r="H121">
            <v>30337.679092457802</v>
          </cell>
          <cell r="I121">
            <v>37729.490697344314</v>
          </cell>
          <cell r="J121">
            <v>45571.745448545138</v>
          </cell>
          <cell r="K121">
            <v>53904.682656327052</v>
          </cell>
          <cell r="L121">
            <v>62759.003857535652</v>
          </cell>
          <cell r="M121">
            <v>72167.331555115947</v>
          </cell>
          <cell r="N121">
            <v>82073.341817786946</v>
          </cell>
          <cell r="O121">
            <v>92301.320721262353</v>
          </cell>
          <cell r="P121">
            <v>102895.27305735108</v>
          </cell>
          <cell r="Q121">
            <v>113868.29394040979</v>
          </cell>
          <cell r="R121">
            <v>125233.94704891687</v>
          </cell>
          <cell r="S121">
            <v>137122.69075774387</v>
          </cell>
          <cell r="T121">
            <v>149029.51886343214</v>
          </cell>
          <cell r="U121">
            <v>161149.75656043456</v>
          </cell>
          <cell r="V121">
            <v>173487.2288517881</v>
          </cell>
          <cell r="W121">
            <v>186045.8292971871</v>
          </cell>
          <cell r="X121">
            <v>198829.52124174449</v>
          </cell>
          <cell r="Y121">
            <v>211842.33906677633</v>
          </cell>
          <cell r="Z121">
            <v>225088.3894630048</v>
          </cell>
          <cell r="AA121">
            <v>238571.85272658081</v>
          </cell>
          <cell r="AB121">
            <v>252296.98407833595</v>
          </cell>
          <cell r="AC121">
            <v>267215.57321267365</v>
          </cell>
        </row>
        <row r="123">
          <cell r="D123">
            <v>62336.824987497377</v>
          </cell>
          <cell r="E123">
            <v>74011.533716940015</v>
          </cell>
          <cell r="F123">
            <v>89677.567980965847</v>
          </cell>
          <cell r="G123">
            <v>108509.85725696868</v>
          </cell>
          <cell r="H123">
            <v>129126.73013579272</v>
          </cell>
          <cell r="I123">
            <v>153660.80886159334</v>
          </cell>
          <cell r="J123">
            <v>182856.36254529608</v>
          </cell>
          <cell r="K123">
            <v>217599.07142890233</v>
          </cell>
          <cell r="L123">
            <v>258942.89500039374</v>
          </cell>
          <cell r="M123">
            <v>300373.75820045674</v>
          </cell>
          <cell r="N123">
            <v>348433.55951252976</v>
          </cell>
          <cell r="O123">
            <v>404182.92903453455</v>
          </cell>
          <cell r="P123">
            <v>468852.19768006005</v>
          </cell>
          <cell r="Q123">
            <v>543868.54930886964</v>
          </cell>
          <cell r="R123">
            <v>620010.14621211146</v>
          </cell>
          <cell r="S123">
            <v>706811.56668180716</v>
          </cell>
          <cell r="T123">
            <v>805765.18601726019</v>
          </cell>
          <cell r="U123">
            <v>918572.31205967686</v>
          </cell>
          <cell r="V123">
            <v>1047172.4357480317</v>
          </cell>
          <cell r="W123">
            <v>1193776.5767527563</v>
          </cell>
          <cell r="X123">
            <v>1360905.2974981423</v>
          </cell>
          <cell r="Y123">
            <v>1551432.0391478823</v>
          </cell>
          <cell r="Z123">
            <v>1768632.5246285859</v>
          </cell>
          <cell r="AA123">
            <v>2016241.0780765882</v>
          </cell>
          <cell r="AB123">
            <v>2298514.8290073108</v>
          </cell>
        </row>
        <row r="124">
          <cell r="D124">
            <v>57260.130027708874</v>
          </cell>
          <cell r="E124">
            <v>60703.992741812937</v>
          </cell>
          <cell r="F124">
            <v>65676.783764107735</v>
          </cell>
          <cell r="G124">
            <v>70958.993888951416</v>
          </cell>
          <cell r="H124">
            <v>75398.830969304094</v>
          </cell>
          <cell r="I124">
            <v>80116.464453181397</v>
          </cell>
          <cell r="J124">
            <v>85129.275798599556</v>
          </cell>
          <cell r="K124">
            <v>90455.734004950224</v>
          </cell>
          <cell r="L124">
            <v>96115.463659434943</v>
          </cell>
          <cell r="M124">
            <v>99554.628571156733</v>
          </cell>
          <cell r="N124">
            <v>103116.85230026016</v>
          </cell>
          <cell r="O124">
            <v>106806.5380879169</v>
          </cell>
          <cell r="P124">
            <v>110628.24673030539</v>
          </cell>
          <cell r="Q124">
            <v>114586.70221618097</v>
          </cell>
          <cell r="R124">
            <v>116640.47347019866</v>
          </cell>
          <cell r="S124">
            <v>118731.05507203376</v>
          </cell>
          <cell r="T124">
            <v>120859.10678440514</v>
          </cell>
          <cell r="U124">
            <v>123025.3001951534</v>
          </cell>
          <cell r="V124">
            <v>125230.31892918606</v>
          </cell>
          <cell r="W124">
            <v>127474.85886422147</v>
          </cell>
          <cell r="X124">
            <v>129759.62835039952</v>
          </cell>
          <cell r="Y124">
            <v>132085.34843382848</v>
          </cell>
          <cell r="Z124">
            <v>134452.75308413876</v>
          </cell>
          <cell r="AA124">
            <v>136862.58942611484</v>
          </cell>
          <cell r="AB124">
            <v>139315.61797547896</v>
          </cell>
        </row>
        <row r="126">
          <cell r="D126">
            <v>62558.997794143732</v>
          </cell>
          <cell r="E126">
            <v>71708.049538124702</v>
          </cell>
          <cell r="F126">
            <v>82800.487028524221</v>
          </cell>
          <cell r="G126">
            <v>94409.795324240666</v>
          </cell>
          <cell r="H126">
            <v>105736.51006176189</v>
          </cell>
          <cell r="I126">
            <v>117845.95515052571</v>
          </cell>
          <cell r="J126">
            <v>130701.0212471447</v>
          </cell>
          <cell r="K126">
            <v>144360.41666127727</v>
          </cell>
          <cell r="L126">
            <v>158874.46751697059</v>
          </cell>
          <cell r="M126">
            <v>171721.96012627269</v>
          </cell>
          <cell r="N126">
            <v>185190.1941180471</v>
          </cell>
          <cell r="O126">
            <v>199107.85880917925</v>
          </cell>
          <cell r="P126">
            <v>213523.51978765646</v>
          </cell>
          <cell r="Q126">
            <v>228454.99615659076</v>
          </cell>
          <cell r="R126">
            <v>241874.42051911552</v>
          </cell>
          <cell r="S126">
            <v>255853.74582977762</v>
          </cell>
          <cell r="T126">
            <v>269888.6256478373</v>
          </cell>
          <cell r="U126">
            <v>284175.05675558792</v>
          </cell>
          <cell r="V126">
            <v>298717.54778097419</v>
          </cell>
          <cell r="W126">
            <v>313520.68816140859</v>
          </cell>
          <cell r="X126">
            <v>328589.14959214401</v>
          </cell>
          <cell r="Y126">
            <v>343927.68750060478</v>
          </cell>
          <cell r="Z126">
            <v>359541.14254714357</v>
          </cell>
          <cell r="AA126">
            <v>375434.44215269561</v>
          </cell>
          <cell r="AB126">
            <v>391612.60205381492</v>
          </cell>
        </row>
        <row r="128">
          <cell r="D128">
            <v>62558.997794143732</v>
          </cell>
          <cell r="E128">
            <v>71708.049538124702</v>
          </cell>
          <cell r="F128">
            <v>82800.487028524221</v>
          </cell>
          <cell r="G128">
            <v>94409.795324240666</v>
          </cell>
          <cell r="H128">
            <v>105736.51006176189</v>
          </cell>
          <cell r="I128">
            <v>117845.95515052571</v>
          </cell>
          <cell r="J128">
            <v>130701.0212471447</v>
          </cell>
          <cell r="K128">
            <v>144360.41666127727</v>
          </cell>
          <cell r="L128">
            <v>158874.46751697059</v>
          </cell>
          <cell r="M128">
            <v>171721.96012627269</v>
          </cell>
          <cell r="N128">
            <v>185190.1941180471</v>
          </cell>
          <cell r="O128">
            <v>199107.85880917925</v>
          </cell>
          <cell r="P128">
            <v>213523.51978765646</v>
          </cell>
          <cell r="Q128">
            <v>228454.99615659076</v>
          </cell>
          <cell r="R128">
            <v>241874.42051911552</v>
          </cell>
          <cell r="S128">
            <v>255853.74582977762</v>
          </cell>
          <cell r="T128">
            <v>269888.6256478373</v>
          </cell>
          <cell r="U128">
            <v>284175.05675558792</v>
          </cell>
          <cell r="V128">
            <v>298717.54778097419</v>
          </cell>
          <cell r="W128">
            <v>313520.68816140859</v>
          </cell>
          <cell r="X128">
            <v>328589.14959214401</v>
          </cell>
          <cell r="Y128">
            <v>343927.68750060478</v>
          </cell>
          <cell r="Z128">
            <v>359541.14254714357</v>
          </cell>
          <cell r="AA128">
            <v>375434.44215269561</v>
          </cell>
          <cell r="AB128">
            <v>391612.60205381492</v>
          </cell>
        </row>
        <row r="130">
          <cell r="D130">
            <v>16451.400000000001</v>
          </cell>
          <cell r="E130">
            <v>16451.400000000001</v>
          </cell>
          <cell r="F130">
            <v>16451.400000000001</v>
          </cell>
          <cell r="G130">
            <v>16451.400000000001</v>
          </cell>
          <cell r="H130">
            <v>16451.400000000001</v>
          </cell>
          <cell r="I130">
            <v>16451.400000000001</v>
          </cell>
          <cell r="J130">
            <v>16451.400000000001</v>
          </cell>
          <cell r="K130">
            <v>16451.400000000001</v>
          </cell>
          <cell r="L130">
            <v>16451.400000000001</v>
          </cell>
          <cell r="M130">
            <v>16451.400000000001</v>
          </cell>
          <cell r="N130">
            <v>16451.400000000001</v>
          </cell>
          <cell r="O130">
            <v>16451.400000000001</v>
          </cell>
          <cell r="P130">
            <v>16451.400000000001</v>
          </cell>
          <cell r="Q130">
            <v>16451.400000000001</v>
          </cell>
          <cell r="R130">
            <v>16451.400000000001</v>
          </cell>
          <cell r="S130">
            <v>16451.400000000001</v>
          </cell>
          <cell r="T130">
            <v>16451.400000000001</v>
          </cell>
          <cell r="U130">
            <v>16451.400000000001</v>
          </cell>
          <cell r="V130">
            <v>16451.400000000001</v>
          </cell>
          <cell r="W130">
            <v>16451.400000000001</v>
          </cell>
          <cell r="X130">
            <v>16451.400000000001</v>
          </cell>
          <cell r="Y130">
            <v>16451.400000000001</v>
          </cell>
          <cell r="Z130">
            <v>16451.400000000001</v>
          </cell>
          <cell r="AA130">
            <v>16451.400000000001</v>
          </cell>
          <cell r="AB130">
            <v>16451.400000000001</v>
          </cell>
        </row>
        <row r="131">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row>
        <row r="132">
          <cell r="D132">
            <v>980</v>
          </cell>
          <cell r="E132">
            <v>980</v>
          </cell>
          <cell r="F132">
            <v>980</v>
          </cell>
          <cell r="G132">
            <v>980</v>
          </cell>
          <cell r="H132">
            <v>980</v>
          </cell>
          <cell r="I132">
            <v>980</v>
          </cell>
          <cell r="J132">
            <v>980</v>
          </cell>
          <cell r="K132">
            <v>980</v>
          </cell>
          <cell r="L132">
            <v>980</v>
          </cell>
          <cell r="M132">
            <v>980</v>
          </cell>
          <cell r="N132">
            <v>980</v>
          </cell>
          <cell r="O132">
            <v>980</v>
          </cell>
          <cell r="P132">
            <v>980</v>
          </cell>
          <cell r="Q132">
            <v>980</v>
          </cell>
          <cell r="R132">
            <v>980</v>
          </cell>
          <cell r="S132">
            <v>980</v>
          </cell>
          <cell r="T132">
            <v>980</v>
          </cell>
          <cell r="U132">
            <v>980</v>
          </cell>
          <cell r="V132">
            <v>980</v>
          </cell>
          <cell r="W132">
            <v>980</v>
          </cell>
          <cell r="X132">
            <v>980</v>
          </cell>
          <cell r="Y132">
            <v>980</v>
          </cell>
          <cell r="Z132">
            <v>980</v>
          </cell>
          <cell r="AA132">
            <v>980</v>
          </cell>
          <cell r="AB132">
            <v>980</v>
          </cell>
        </row>
        <row r="134">
          <cell r="D134">
            <v>78030.397794143733</v>
          </cell>
          <cell r="E134">
            <v>87179.449538124696</v>
          </cell>
          <cell r="F134">
            <v>98271.887028524216</v>
          </cell>
          <cell r="G134">
            <v>109881.19532424066</v>
          </cell>
          <cell r="H134">
            <v>121207.91006176188</v>
          </cell>
          <cell r="I134">
            <v>133317.35515052572</v>
          </cell>
          <cell r="J134">
            <v>146172.4212471447</v>
          </cell>
          <cell r="K134">
            <v>159831.81666127726</v>
          </cell>
          <cell r="L134">
            <v>174345.86751697058</v>
          </cell>
          <cell r="M134">
            <v>187193.36012627269</v>
          </cell>
          <cell r="N134">
            <v>200661.5941180471</v>
          </cell>
          <cell r="O134">
            <v>214579.25880917924</v>
          </cell>
          <cell r="P134">
            <v>228994.91978765646</v>
          </cell>
          <cell r="Q134">
            <v>243926.39615659075</v>
          </cell>
          <cell r="R134">
            <v>257345.82051911551</v>
          </cell>
          <cell r="S134">
            <v>271325.14582977764</v>
          </cell>
          <cell r="T134">
            <v>285360.02564783732</v>
          </cell>
          <cell r="U134">
            <v>299646.45675558795</v>
          </cell>
          <cell r="V134">
            <v>314188.94778097421</v>
          </cell>
          <cell r="W134">
            <v>328992.08816140861</v>
          </cell>
          <cell r="X134">
            <v>344060.54959214403</v>
          </cell>
          <cell r="Y134">
            <v>359399.0875006048</v>
          </cell>
          <cell r="Z134">
            <v>375012.54254714359</v>
          </cell>
          <cell r="AA134">
            <v>390905.84215269564</v>
          </cell>
          <cell r="AB134">
            <v>407084.00205381494</v>
          </cell>
        </row>
        <row r="136">
          <cell r="D136">
            <v>2470</v>
          </cell>
          <cell r="E136">
            <v>2470</v>
          </cell>
          <cell r="F136">
            <v>2470</v>
          </cell>
          <cell r="G136">
            <v>2470</v>
          </cell>
          <cell r="H136">
            <v>2470</v>
          </cell>
          <cell r="I136">
            <v>2470</v>
          </cell>
          <cell r="J136">
            <v>2470</v>
          </cell>
          <cell r="K136">
            <v>2470</v>
          </cell>
          <cell r="L136">
            <v>2470</v>
          </cell>
          <cell r="M136">
            <v>2470</v>
          </cell>
          <cell r="N136">
            <v>2470</v>
          </cell>
          <cell r="O136">
            <v>2470</v>
          </cell>
          <cell r="P136">
            <v>2470</v>
          </cell>
          <cell r="Q136">
            <v>2470</v>
          </cell>
          <cell r="R136">
            <v>2470</v>
          </cell>
          <cell r="S136">
            <v>2470</v>
          </cell>
          <cell r="T136">
            <v>2470</v>
          </cell>
          <cell r="U136">
            <v>2470</v>
          </cell>
          <cell r="V136">
            <v>2470</v>
          </cell>
          <cell r="W136">
            <v>2470</v>
          </cell>
          <cell r="X136">
            <v>2470</v>
          </cell>
          <cell r="Y136">
            <v>2470</v>
          </cell>
          <cell r="Z136">
            <v>2470</v>
          </cell>
          <cell r="AA136">
            <v>2470</v>
          </cell>
          <cell r="AB136">
            <v>2470</v>
          </cell>
        </row>
        <row r="138">
          <cell r="D138">
            <v>31.591254167669529</v>
          </cell>
          <cell r="E138">
            <v>35.295323699645628</v>
          </cell>
          <cell r="F138">
            <v>39.786189080374179</v>
          </cell>
          <cell r="G138">
            <v>44.486313896453709</v>
          </cell>
          <cell r="H138">
            <v>49.072028365085785</v>
          </cell>
          <cell r="I138">
            <v>53.974637712763446</v>
          </cell>
          <cell r="J138">
            <v>59.179117913823767</v>
          </cell>
          <cell r="K138">
            <v>64.709237514687146</v>
          </cell>
          <cell r="L138">
            <v>70.585371464360563</v>
          </cell>
          <cell r="M138">
            <v>75.786785476223756</v>
          </cell>
          <cell r="N138">
            <v>81.239511788683032</v>
          </cell>
          <cell r="O138">
            <v>86.874193849870139</v>
          </cell>
          <cell r="P138">
            <v>92.710493841156463</v>
          </cell>
          <cell r="Q138">
            <v>98.75562597432824</v>
          </cell>
          <cell r="R138">
            <v>104.18859130328563</v>
          </cell>
          <cell r="S138">
            <v>109.84823717804763</v>
          </cell>
          <cell r="T138">
            <v>115.53037475620944</v>
          </cell>
          <cell r="U138">
            <v>121.3143549617765</v>
          </cell>
          <cell r="V138">
            <v>127.20200315019198</v>
          </cell>
          <cell r="W138">
            <v>133.19517739328285</v>
          </cell>
          <cell r="X138">
            <v>139.29576906564535</v>
          </cell>
          <cell r="Y138">
            <v>145.50570344154042</v>
          </cell>
          <cell r="Z138">
            <v>151.82694030248729</v>
          </cell>
          <cell r="AA138">
            <v>158.26147455574721</v>
          </cell>
          <cell r="AB138">
            <v>164.81133686389268</v>
          </cell>
        </row>
        <row r="142">
          <cell r="C142">
            <v>0</v>
          </cell>
          <cell r="D142" t="str">
            <v>1999E</v>
          </cell>
          <cell r="E142" t="str">
            <v>2000E</v>
          </cell>
          <cell r="F142" t="str">
            <v>2001E</v>
          </cell>
          <cell r="G142" t="str">
            <v>2002E</v>
          </cell>
          <cell r="H142" t="str">
            <v>2003E</v>
          </cell>
          <cell r="I142" t="str">
            <v>2004E</v>
          </cell>
          <cell r="J142" t="str">
            <v>2005E</v>
          </cell>
          <cell r="K142" t="str">
            <v>2006E</v>
          </cell>
          <cell r="L142" t="str">
            <v>2007E</v>
          </cell>
          <cell r="M142" t="str">
            <v>2008E</v>
          </cell>
          <cell r="N142" t="str">
            <v>2009E</v>
          </cell>
          <cell r="O142" t="str">
            <v>2010E</v>
          </cell>
          <cell r="P142" t="str">
            <v>2011E</v>
          </cell>
          <cell r="Q142" t="str">
            <v>2012E</v>
          </cell>
          <cell r="R142" t="str">
            <v>2013E</v>
          </cell>
          <cell r="S142" t="str">
            <v>2014E</v>
          </cell>
          <cell r="T142" t="str">
            <v>2015E</v>
          </cell>
          <cell r="U142" t="str">
            <v>2016E</v>
          </cell>
          <cell r="V142" t="str">
            <v>2017E</v>
          </cell>
          <cell r="W142" t="str">
            <v>2018E</v>
          </cell>
        </row>
        <row r="144">
          <cell r="V144" t="str">
            <v>2017E</v>
          </cell>
          <cell r="W144" t="str">
            <v>2018E</v>
          </cell>
          <cell r="X144" t="str">
            <v>2019E</v>
          </cell>
          <cell r="Y144" t="str">
            <v>2020E</v>
          </cell>
          <cell r="Z144" t="str">
            <v>2021E</v>
          </cell>
          <cell r="AA144" t="str">
            <v>2022E</v>
          </cell>
        </row>
        <row r="145">
          <cell r="V145">
            <v>18.75</v>
          </cell>
          <cell r="W145">
            <v>19.75</v>
          </cell>
          <cell r="X145">
            <v>20.75</v>
          </cell>
          <cell r="Y145">
            <v>21.75</v>
          </cell>
          <cell r="Z145">
            <v>22.75</v>
          </cell>
          <cell r="AA145">
            <v>23.75</v>
          </cell>
        </row>
        <row r="146">
          <cell r="D146">
            <v>4738.9993000000013</v>
          </cell>
          <cell r="E146">
            <v>7475.881768166666</v>
          </cell>
          <cell r="F146">
            <v>8875.9970636858325</v>
          </cell>
          <cell r="G146">
            <v>10754.780911875001</v>
          </cell>
          <cell r="H146">
            <v>13013.284903368751</v>
          </cell>
          <cell r="I146">
            <v>15485.809035008813</v>
          </cell>
          <cell r="J146">
            <v>18428.112751660487</v>
          </cell>
          <cell r="K146">
            <v>21929.454174475981</v>
          </cell>
          <cell r="L146">
            <v>26096.050467626417</v>
          </cell>
          <cell r="M146">
            <v>31054.300056475433</v>
          </cell>
          <cell r="N146">
            <v>36022.988065511498</v>
          </cell>
          <cell r="O146">
            <v>41786.666155993335</v>
          </cell>
          <cell r="P146">
            <v>48472.532740952272</v>
          </cell>
          <cell r="Q146">
            <v>56228.13797950463</v>
          </cell>
          <cell r="R146">
            <v>65224.640056225369</v>
          </cell>
          <cell r="S146">
            <v>74356.089664096929</v>
          </cell>
          <cell r="T146">
            <v>84765.942217070507</v>
          </cell>
          <cell r="U146">
            <v>96633.174127460385</v>
          </cell>
          <cell r="V146">
            <v>110161.81850530487</v>
          </cell>
          <cell r="W146">
            <v>125584.47309604756</v>
          </cell>
          <cell r="X146">
            <v>143166.29932949424</v>
          </cell>
          <cell r="Y146">
            <v>163209.58123562345</v>
          </cell>
          <cell r="Z146">
            <v>186058.92260861074</v>
          </cell>
          <cell r="AA146">
            <v>212107.17177381626</v>
          </cell>
          <cell r="AB146">
            <v>241802.17582215057</v>
          </cell>
          <cell r="AC146">
            <v>275654.48043725168</v>
          </cell>
        </row>
        <row r="147">
          <cell r="D147">
            <v>875</v>
          </cell>
          <cell r="E147">
            <v>1080.625</v>
          </cell>
          <cell r="F147">
            <v>1334.5718750000003</v>
          </cell>
          <cell r="G147">
            <v>1614.8319687500002</v>
          </cell>
          <cell r="H147">
            <v>1953.9466821875003</v>
          </cell>
          <cell r="I147">
            <v>2325.1965518031252</v>
          </cell>
          <cell r="J147">
            <v>2766.9838966457191</v>
          </cell>
          <cell r="K147">
            <v>3292.7108370084056</v>
          </cell>
          <cell r="L147">
            <v>3918.3258960400026</v>
          </cell>
          <cell r="M147">
            <v>4662.8078162876027</v>
          </cell>
          <cell r="N147">
            <v>5408.857066893619</v>
          </cell>
          <cell r="O147">
            <v>6274.2741975965973</v>
          </cell>
          <cell r="P147">
            <v>7278.1580692120524</v>
          </cell>
          <cell r="Q147">
            <v>8442.6633602859802</v>
          </cell>
          <cell r="R147">
            <v>9793.4894979317378</v>
          </cell>
          <cell r="S147">
            <v>11164.578027642181</v>
          </cell>
          <cell r="T147">
            <v>12727.618951512088</v>
          </cell>
          <cell r="U147">
            <v>14509.485604723783</v>
          </cell>
          <cell r="V147">
            <v>16540.813589385114</v>
          </cell>
          <cell r="W147">
            <v>18856.527491899033</v>
          </cell>
          <cell r="X147">
            <v>21496.441340764901</v>
          </cell>
          <cell r="Y147">
            <v>24505.94312847199</v>
          </cell>
          <cell r="Z147">
            <v>27936.775166458068</v>
          </cell>
          <cell r="AA147">
            <v>31847.923689762203</v>
          </cell>
          <cell r="AB147">
            <v>36306.633006328913</v>
          </cell>
          <cell r="AC147">
            <v>41389.561627214971</v>
          </cell>
        </row>
        <row r="148">
          <cell r="D148">
            <v>3863.9993000000013</v>
          </cell>
          <cell r="E148">
            <v>6395.256768166666</v>
          </cell>
          <cell r="F148">
            <v>7541.4251886858319</v>
          </cell>
          <cell r="G148">
            <v>9139.9489431250004</v>
          </cell>
          <cell r="H148">
            <v>11059.33822118125</v>
          </cell>
          <cell r="I148">
            <v>13160.612483205688</v>
          </cell>
          <cell r="J148">
            <v>15661.128855014767</v>
          </cell>
          <cell r="K148">
            <v>18636.743337467575</v>
          </cell>
          <cell r="L148">
            <v>22177.724571586416</v>
          </cell>
          <cell r="M148">
            <v>26391.492240187828</v>
          </cell>
          <cell r="N148">
            <v>30614.130998617879</v>
          </cell>
          <cell r="O148">
            <v>35512.391958396736</v>
          </cell>
          <cell r="P148">
            <v>41194.374671740217</v>
          </cell>
          <cell r="Q148">
            <v>47785.47461921865</v>
          </cell>
          <cell r="R148">
            <v>55431.15055829363</v>
          </cell>
          <cell r="S148">
            <v>63191.51163645475</v>
          </cell>
          <cell r="T148">
            <v>72038.323265558414</v>
          </cell>
          <cell r="U148">
            <v>82123.6885227366</v>
          </cell>
          <cell r="V148">
            <v>93621.004915919752</v>
          </cell>
          <cell r="W148">
            <v>106727.94560414852</v>
          </cell>
          <cell r="X148">
            <v>121669.85798872935</v>
          </cell>
          <cell r="Y148">
            <v>138703.63810715146</v>
          </cell>
          <cell r="Z148">
            <v>158122.14744215267</v>
          </cell>
          <cell r="AA148">
            <v>180259.24808405404</v>
          </cell>
          <cell r="AB148">
            <v>205495.54281582165</v>
          </cell>
          <cell r="AC148">
            <v>234264.9188100367</v>
          </cell>
        </row>
        <row r="149">
          <cell r="D149">
            <v>412.49944187492702</v>
          </cell>
          <cell r="E149">
            <v>520.00010084092901</v>
          </cell>
          <cell r="F149">
            <v>520.00000186176749</v>
          </cell>
          <cell r="G149">
            <v>1079.439115926436</v>
          </cell>
          <cell r="H149">
            <v>1218.9376796370962</v>
          </cell>
          <cell r="I149">
            <v>1308.5514898617339</v>
          </cell>
          <cell r="J149">
            <v>1583.0713190192928</v>
          </cell>
          <cell r="K149">
            <v>1883.8548696329635</v>
          </cell>
          <cell r="L149">
            <v>2241.7872948632212</v>
          </cell>
          <cell r="M149">
            <v>2667.7268808872359</v>
          </cell>
          <cell r="N149">
            <v>2550.4145783027634</v>
          </cell>
          <cell r="O149">
            <v>3081.4094805333298</v>
          </cell>
          <cell r="P149">
            <v>3574.4349974186734</v>
          </cell>
          <cell r="Q149">
            <v>4146.3445970056528</v>
          </cell>
          <cell r="R149">
            <v>4809.7597325265524</v>
          </cell>
          <cell r="S149">
            <v>3581.8380446167284</v>
          </cell>
          <cell r="T149">
            <v>5383.3634547608017</v>
          </cell>
          <cell r="U149">
            <v>6137.0343384273219</v>
          </cell>
          <cell r="V149">
            <v>6996.2191458071393</v>
          </cell>
          <cell r="W149">
            <v>7975.6898262201503</v>
          </cell>
          <cell r="X149">
            <v>9092.2864018909604</v>
          </cell>
          <cell r="Y149">
            <v>10365.20649815572</v>
          </cell>
          <cell r="Z149">
            <v>11816.335407897466</v>
          </cell>
          <cell r="AA149">
            <v>13470.622365003161</v>
          </cell>
          <cell r="AB149">
            <v>15356.509496103608</v>
          </cell>
          <cell r="AC149">
            <v>0</v>
          </cell>
        </row>
        <row r="150">
          <cell r="D150">
            <v>4893.6664775000991</v>
          </cell>
          <cell r="E150">
            <v>5875.256667325737</v>
          </cell>
          <cell r="F150">
            <v>7021.4251868240653</v>
          </cell>
          <cell r="G150">
            <v>8060.5098271985644</v>
          </cell>
          <cell r="H150">
            <v>9840.4005415441534</v>
          </cell>
          <cell r="I150">
            <v>11852.060993343955</v>
          </cell>
          <cell r="J150">
            <v>14078.057535995473</v>
          </cell>
          <cell r="K150">
            <v>16752.888467834611</v>
          </cell>
          <cell r="L150">
            <v>19935.937276723194</v>
          </cell>
          <cell r="M150">
            <v>23723.765359300596</v>
          </cell>
          <cell r="N150">
            <v>28063.716420315115</v>
          </cell>
          <cell r="O150">
            <v>32430.982477863407</v>
          </cell>
          <cell r="P150">
            <v>37619.93967432154</v>
          </cell>
          <cell r="Q150">
            <v>43639.130022212994</v>
          </cell>
          <cell r="R150">
            <v>50621.390825767077</v>
          </cell>
          <cell r="S150">
            <v>59609.673591838022</v>
          </cell>
          <cell r="T150">
            <v>66654.95981079762</v>
          </cell>
          <cell r="U150">
            <v>75986.654184309285</v>
          </cell>
          <cell r="V150">
            <v>86624.785770112605</v>
          </cell>
          <cell r="W150">
            <v>98752.255777928367</v>
          </cell>
          <cell r="X150">
            <v>112577.57158683837</v>
          </cell>
          <cell r="Y150">
            <v>128338.43160899574</v>
          </cell>
          <cell r="Z150">
            <v>146305.81203425521</v>
          </cell>
          <cell r="AA150">
            <v>166788.62571905088</v>
          </cell>
          <cell r="AB150">
            <v>190139.03331971806</v>
          </cell>
          <cell r="AC150">
            <v>234264.9188100367</v>
          </cell>
        </row>
        <row r="152">
          <cell r="D152">
            <v>4495.1275409053414</v>
          </cell>
          <cell r="E152">
            <v>4818.8643063884783</v>
          </cell>
          <cell r="F152">
            <v>5142.2516699915668</v>
          </cell>
          <cell r="G152">
            <v>5271.0940925441419</v>
          </cell>
          <cell r="H152">
            <v>5745.9419619925247</v>
          </cell>
          <cell r="I152">
            <v>6179.4886432327785</v>
          </cell>
          <cell r="J152">
            <v>6554.0778893785409</v>
          </cell>
          <cell r="K152">
            <v>6964.1603390581622</v>
          </cell>
          <cell r="L152">
            <v>7399.9012594446704</v>
          </cell>
          <cell r="M152">
            <v>7862.9060767627807</v>
          </cell>
          <cell r="N152">
            <v>8305.290986202941</v>
          </cell>
          <cell r="O152">
            <v>8569.9833328550176</v>
          </cell>
          <cell r="P152">
            <v>8876.6310339661377</v>
          </cell>
          <cell r="Q152">
            <v>9194.2510799400879</v>
          </cell>
          <cell r="R152">
            <v>9523.2360788132246</v>
          </cell>
          <cell r="S152">
            <v>10013.304495403991</v>
          </cell>
          <cell r="T152">
            <v>9997.7748421993256</v>
          </cell>
          <cell r="U152">
            <v>10176.967908915842</v>
          </cell>
          <cell r="V152">
            <v>10359.372705808935</v>
          </cell>
          <cell r="W152">
            <v>10545.046797665653</v>
          </cell>
          <cell r="X152">
            <v>10734.04878102371</v>
          </cell>
          <cell r="Y152">
            <v>10926.43830266383</v>
          </cell>
          <cell r="Z152">
            <v>11122.276078433593</v>
          </cell>
          <cell r="AA152">
            <v>11321.623912408601</v>
          </cell>
          <cell r="AB152">
            <v>11524.544716397151</v>
          </cell>
          <cell r="AC152">
            <v>12678.560735788516</v>
          </cell>
        </row>
        <row r="153">
          <cell r="D153">
            <v>4495.1275409053414</v>
          </cell>
          <cell r="E153">
            <v>9313.9918472938189</v>
          </cell>
          <cell r="F153">
            <v>14456.243517285386</v>
          </cell>
          <cell r="G153">
            <v>19727.337609829527</v>
          </cell>
          <cell r="H153">
            <v>25473.279571822051</v>
          </cell>
          <cell r="I153">
            <v>31652.768215054828</v>
          </cell>
          <cell r="J153">
            <v>38206.846104433367</v>
          </cell>
          <cell r="K153">
            <v>45171.006443491526</v>
          </cell>
          <cell r="L153">
            <v>52570.907702936194</v>
          </cell>
          <cell r="M153">
            <v>60433.813779698976</v>
          </cell>
          <cell r="N153">
            <v>68739.104765901924</v>
          </cell>
          <cell r="O153">
            <v>77309.08809875694</v>
          </cell>
          <cell r="P153">
            <v>86185.719132723083</v>
          </cell>
          <cell r="Q153">
            <v>95379.970212663175</v>
          </cell>
          <cell r="R153">
            <v>104903.2062914764</v>
          </cell>
          <cell r="S153">
            <v>114916.51078688039</v>
          </cell>
          <cell r="T153">
            <v>124914.28562907972</v>
          </cell>
          <cell r="U153">
            <v>135091.25353799557</v>
          </cell>
          <cell r="V153">
            <v>145450.62624380449</v>
          </cell>
          <cell r="W153">
            <v>155995.67304147015</v>
          </cell>
          <cell r="X153">
            <v>166729.72182249386</v>
          </cell>
          <cell r="Y153">
            <v>177656.16012515768</v>
          </cell>
          <cell r="Z153">
            <v>188778.43620359126</v>
          </cell>
          <cell r="AA153">
            <v>200100.06011599986</v>
          </cell>
          <cell r="AB153">
            <v>211624.60483239702</v>
          </cell>
          <cell r="AC153">
            <v>224303.16556818553</v>
          </cell>
        </row>
        <row r="155">
          <cell r="D155">
            <v>53326.151251463438</v>
          </cell>
          <cell r="E155">
            <v>62883.351652938094</v>
          </cell>
          <cell r="F155">
            <v>76212.46768352353</v>
          </cell>
          <cell r="G155">
            <v>92217.085897063458</v>
          </cell>
          <cell r="H155">
            <v>109738.33221750554</v>
          </cell>
          <cell r="I155">
            <v>130588.61533883157</v>
          </cell>
          <cell r="J155">
            <v>155400.45225320957</v>
          </cell>
          <cell r="K155">
            <v>184926.5381813194</v>
          </cell>
          <cell r="L155">
            <v>220062.58043577004</v>
          </cell>
          <cell r="M155">
            <v>255272.59330549324</v>
          </cell>
          <cell r="N155">
            <v>296116.20823437214</v>
          </cell>
          <cell r="O155">
            <v>343494.8015518717</v>
          </cell>
          <cell r="P155">
            <v>398453.96980017115</v>
          </cell>
          <cell r="Q155">
            <v>462206.60496819852</v>
          </cell>
          <cell r="R155">
            <v>526915.52966374636</v>
          </cell>
          <cell r="S155">
            <v>600683.70381667092</v>
          </cell>
          <cell r="T155">
            <v>684779.42235100491</v>
          </cell>
          <cell r="U155">
            <v>780648.54148014577</v>
          </cell>
          <cell r="V155">
            <v>889939.33728736627</v>
          </cell>
          <cell r="W155">
            <v>1014530.8445075977</v>
          </cell>
          <cell r="X155">
            <v>1156565.1627386615</v>
          </cell>
          <cell r="Y155">
            <v>1318484.2855220742</v>
          </cell>
          <cell r="Z155">
            <v>1503072.0854951644</v>
          </cell>
          <cell r="AA155">
            <v>1713502.177464488</v>
          </cell>
          <cell r="AB155">
            <v>1953392.4823095163</v>
          </cell>
        </row>
        <row r="156">
          <cell r="D156">
            <v>48983.283238254218</v>
          </cell>
          <cell r="E156">
            <v>51576.697990344641</v>
          </cell>
          <cell r="F156">
            <v>55815.404820548021</v>
          </cell>
          <cell r="G156">
            <v>60304.490302021761</v>
          </cell>
          <cell r="H156">
            <v>64077.685178117295</v>
          </cell>
          <cell r="I156">
            <v>68086.965286037041</v>
          </cell>
          <cell r="J156">
            <v>72347.102255266276</v>
          </cell>
          <cell r="K156">
            <v>76873.791962164905</v>
          </cell>
          <cell r="L156">
            <v>81683.712359219484</v>
          </cell>
          <cell r="M156">
            <v>84606.48614305511</v>
          </cell>
          <cell r="N156">
            <v>87633.841444365244</v>
          </cell>
          <cell r="O156">
            <v>90769.520356998444</v>
          </cell>
          <cell r="P156">
            <v>94017.398872902166</v>
          </cell>
          <cell r="Q156">
            <v>97381.491673210854</v>
          </cell>
          <cell r="R156">
            <v>99126.888865063724</v>
          </cell>
          <cell r="S156">
            <v>100903.56932548214</v>
          </cell>
          <cell r="T156">
            <v>102712.09375371369</v>
          </cell>
          <cell r="U156">
            <v>104553.03289858381</v>
          </cell>
          <cell r="V156">
            <v>106426.96773861759</v>
          </cell>
          <cell r="W156">
            <v>108334.48966538942</v>
          </cell>
          <cell r="X156">
            <v>110276.20067015935</v>
          </cell>
          <cell r="Y156">
            <v>112252.71353385424</v>
          </cell>
          <cell r="Z156">
            <v>114264.65202045425</v>
          </cell>
          <cell r="AA156">
            <v>116312.65107384535</v>
          </cell>
          <cell r="AB156">
            <v>118397.35701819982</v>
          </cell>
        </row>
        <row r="158">
          <cell r="D158">
            <v>53478.41077915956</v>
          </cell>
          <cell r="E158">
            <v>60890.689837638463</v>
          </cell>
          <cell r="F158">
            <v>70271.648337833409</v>
          </cell>
          <cell r="G158">
            <v>80031.827911851287</v>
          </cell>
          <cell r="H158">
            <v>89550.964749939347</v>
          </cell>
          <cell r="I158">
            <v>99739.733501091861</v>
          </cell>
          <cell r="J158">
            <v>110553.94835969964</v>
          </cell>
          <cell r="K158">
            <v>122044.79840565643</v>
          </cell>
          <cell r="L158">
            <v>134254.62006215568</v>
          </cell>
          <cell r="M158">
            <v>145040.29992275409</v>
          </cell>
          <cell r="N158">
            <v>156372.94621026717</v>
          </cell>
          <cell r="O158">
            <v>168078.6084557554</v>
          </cell>
          <cell r="P158">
            <v>180203.11800562526</v>
          </cell>
          <cell r="Q158">
            <v>192761.46188587404</v>
          </cell>
          <cell r="R158">
            <v>204030.0951565401</v>
          </cell>
          <cell r="S158">
            <v>215820.08011236251</v>
          </cell>
          <cell r="T158">
            <v>227626.37938279341</v>
          </cell>
          <cell r="U158">
            <v>239644.28643657936</v>
          </cell>
          <cell r="V158">
            <v>251877.59398242208</v>
          </cell>
          <cell r="W158">
            <v>264330.16270685958</v>
          </cell>
          <cell r="X158">
            <v>277005.92249265319</v>
          </cell>
          <cell r="Y158">
            <v>289908.87365901191</v>
          </cell>
          <cell r="Z158">
            <v>303043.08822404552</v>
          </cell>
          <cell r="AA158">
            <v>316412.71118984523</v>
          </cell>
          <cell r="AB158">
            <v>330021.96185059682</v>
          </cell>
        </row>
        <row r="159">
          <cell r="D159">
            <v>17242</v>
          </cell>
        </row>
        <row r="160">
          <cell r="D160">
            <v>3953</v>
          </cell>
        </row>
        <row r="161">
          <cell r="D161">
            <v>15812</v>
          </cell>
        </row>
        <row r="162">
          <cell r="D162">
            <v>790.6</v>
          </cell>
        </row>
        <row r="163">
          <cell r="D163">
            <v>16451.400000000001</v>
          </cell>
          <cell r="E163">
            <v>16451.400000000001</v>
          </cell>
          <cell r="F163">
            <v>16451.400000000001</v>
          </cell>
          <cell r="G163">
            <v>16451.400000000001</v>
          </cell>
          <cell r="H163">
            <v>16451.400000000001</v>
          </cell>
          <cell r="I163">
            <v>16451.400000000001</v>
          </cell>
          <cell r="J163">
            <v>16451.400000000001</v>
          </cell>
          <cell r="K163">
            <v>16451.400000000001</v>
          </cell>
          <cell r="L163">
            <v>16451.400000000001</v>
          </cell>
          <cell r="M163">
            <v>16451.400000000001</v>
          </cell>
          <cell r="N163">
            <v>16451.400000000001</v>
          </cell>
          <cell r="O163">
            <v>16451.400000000001</v>
          </cell>
          <cell r="P163">
            <v>16451.400000000001</v>
          </cell>
          <cell r="Q163">
            <v>16451.400000000001</v>
          </cell>
          <cell r="R163">
            <v>16451.400000000001</v>
          </cell>
          <cell r="S163">
            <v>16451.400000000001</v>
          </cell>
          <cell r="T163">
            <v>16451.400000000001</v>
          </cell>
          <cell r="U163">
            <v>16451.400000000001</v>
          </cell>
          <cell r="V163">
            <v>16451.400000000001</v>
          </cell>
          <cell r="W163">
            <v>16451.400000000001</v>
          </cell>
          <cell r="X163">
            <v>16451.400000000001</v>
          </cell>
          <cell r="Y163">
            <v>16451.400000000001</v>
          </cell>
          <cell r="Z163">
            <v>16451.400000000001</v>
          </cell>
          <cell r="AA163">
            <v>16451.400000000001</v>
          </cell>
          <cell r="AB163">
            <v>16451.400000000001</v>
          </cell>
        </row>
        <row r="164">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row>
        <row r="165">
          <cell r="D165">
            <v>980</v>
          </cell>
          <cell r="E165">
            <v>980</v>
          </cell>
          <cell r="F165">
            <v>980</v>
          </cell>
          <cell r="G165">
            <v>980</v>
          </cell>
          <cell r="H165">
            <v>980</v>
          </cell>
          <cell r="I165">
            <v>980</v>
          </cell>
          <cell r="J165">
            <v>980</v>
          </cell>
          <cell r="K165">
            <v>980</v>
          </cell>
          <cell r="L165">
            <v>980</v>
          </cell>
          <cell r="M165">
            <v>980</v>
          </cell>
          <cell r="N165">
            <v>980</v>
          </cell>
          <cell r="O165">
            <v>980</v>
          </cell>
          <cell r="P165">
            <v>980</v>
          </cell>
          <cell r="Q165">
            <v>980</v>
          </cell>
          <cell r="R165">
            <v>980</v>
          </cell>
          <cell r="S165">
            <v>980</v>
          </cell>
          <cell r="T165">
            <v>980</v>
          </cell>
          <cell r="U165">
            <v>980</v>
          </cell>
          <cell r="V165">
            <v>980</v>
          </cell>
          <cell r="W165">
            <v>980</v>
          </cell>
          <cell r="X165">
            <v>980</v>
          </cell>
          <cell r="Y165">
            <v>980</v>
          </cell>
          <cell r="Z165">
            <v>980</v>
          </cell>
          <cell r="AA165">
            <v>980</v>
          </cell>
          <cell r="AB165">
            <v>980</v>
          </cell>
        </row>
        <row r="166">
          <cell r="D166">
            <v>22059.334750878072</v>
          </cell>
          <cell r="E166">
            <v>22059.334750878072</v>
          </cell>
          <cell r="F166">
            <v>22059.334750878072</v>
          </cell>
          <cell r="G166">
            <v>22059.334750878072</v>
          </cell>
          <cell r="H166">
            <v>22059.334750878072</v>
          </cell>
          <cell r="I166">
            <v>22059.334750878072</v>
          </cell>
          <cell r="J166">
            <v>22059.334750878072</v>
          </cell>
          <cell r="K166">
            <v>22059.334750878072</v>
          </cell>
          <cell r="L166">
            <v>22059.334750878072</v>
          </cell>
          <cell r="M166">
            <v>22059.334750878072</v>
          </cell>
          <cell r="N166">
            <v>22059.334750878072</v>
          </cell>
          <cell r="O166">
            <v>22059.334750878072</v>
          </cell>
          <cell r="P166">
            <v>22059.334750878072</v>
          </cell>
          <cell r="Q166">
            <v>22059.334750878072</v>
          </cell>
          <cell r="R166">
            <v>22059.334750878072</v>
          </cell>
          <cell r="S166">
            <v>22059.334750878072</v>
          </cell>
          <cell r="T166">
            <v>22059.334750878072</v>
          </cell>
          <cell r="U166">
            <v>22059.334750878072</v>
          </cell>
          <cell r="V166">
            <v>22059.334750878072</v>
          </cell>
          <cell r="W166">
            <v>22059.334750878072</v>
          </cell>
          <cell r="X166">
            <v>22059.334750878072</v>
          </cell>
          <cell r="Y166">
            <v>22059.334750878072</v>
          </cell>
          <cell r="Z166">
            <v>22059.334750878072</v>
          </cell>
          <cell r="AA166">
            <v>22059.334750878072</v>
          </cell>
          <cell r="AB166">
            <v>22059.334750878072</v>
          </cell>
        </row>
        <row r="167">
          <cell r="D167">
            <v>6587.9347508780702</v>
          </cell>
          <cell r="E167">
            <v>6587.9347508780702</v>
          </cell>
          <cell r="F167">
            <v>6587.9347508780702</v>
          </cell>
          <cell r="G167">
            <v>6587.9347508780702</v>
          </cell>
          <cell r="H167">
            <v>6587.9347508780702</v>
          </cell>
          <cell r="I167">
            <v>6587.9347508780702</v>
          </cell>
          <cell r="J167">
            <v>6587.9347508780702</v>
          </cell>
          <cell r="K167">
            <v>6587.9347508780702</v>
          </cell>
          <cell r="L167">
            <v>6587.9347508780702</v>
          </cell>
          <cell r="M167">
            <v>6587.9347508780702</v>
          </cell>
          <cell r="N167">
            <v>6587.9347508780702</v>
          </cell>
          <cell r="O167">
            <v>6587.9347508780702</v>
          </cell>
          <cell r="P167">
            <v>6587.9347508780702</v>
          </cell>
          <cell r="Q167">
            <v>6587.9347508780702</v>
          </cell>
          <cell r="R167">
            <v>6587.9347508780702</v>
          </cell>
          <cell r="S167">
            <v>6587.9347508780702</v>
          </cell>
          <cell r="T167">
            <v>6587.9347508780702</v>
          </cell>
          <cell r="U167">
            <v>6587.9347508780702</v>
          </cell>
          <cell r="V167">
            <v>6587.9347508780702</v>
          </cell>
          <cell r="W167">
            <v>6587.9347508780702</v>
          </cell>
          <cell r="X167">
            <v>6587.9347508780702</v>
          </cell>
          <cell r="Y167">
            <v>6587.9347508780702</v>
          </cell>
          <cell r="Z167">
            <v>6587.9347508780702</v>
          </cell>
          <cell r="AA167">
            <v>6587.9347508780702</v>
          </cell>
        </row>
        <row r="169">
          <cell r="N169">
            <v>149785.01145938909</v>
          </cell>
          <cell r="O169">
            <v>161490.67370487732</v>
          </cell>
          <cell r="P169">
            <v>173615.18325474719</v>
          </cell>
          <cell r="S169">
            <v>209232.14536148444</v>
          </cell>
          <cell r="T169">
            <v>221038.44463191534</v>
          </cell>
          <cell r="U169">
            <v>233056.35168570129</v>
          </cell>
          <cell r="V169">
            <v>245289.65923154401</v>
          </cell>
          <cell r="W169">
            <v>257742.22795598151</v>
          </cell>
          <cell r="X169">
            <v>270417.98774177511</v>
          </cell>
          <cell r="Y169">
            <v>283320.93890813383</v>
          </cell>
          <cell r="Z169">
            <v>296455.15347316745</v>
          </cell>
        </row>
        <row r="171">
          <cell r="N171">
            <v>2470</v>
          </cell>
          <cell r="O171">
            <v>2470</v>
          </cell>
          <cell r="P171">
            <v>2470</v>
          </cell>
          <cell r="S171">
            <v>2470</v>
          </cell>
          <cell r="T171">
            <v>2470</v>
          </cell>
          <cell r="U171">
            <v>2470</v>
          </cell>
          <cell r="V171">
            <v>2470</v>
          </cell>
          <cell r="W171">
            <v>2470</v>
          </cell>
          <cell r="X171">
            <v>2470</v>
          </cell>
          <cell r="Y171">
            <v>2470</v>
          </cell>
          <cell r="Z171">
            <v>2470</v>
          </cell>
        </row>
        <row r="173">
          <cell r="N173">
            <v>60.641705044287079</v>
          </cell>
          <cell r="O173">
            <v>65.380839556630491</v>
          </cell>
          <cell r="P173">
            <v>70.289547876415867</v>
          </cell>
          <cell r="S173">
            <v>84.70937059169411</v>
          </cell>
          <cell r="T173">
            <v>89.489248838832125</v>
          </cell>
          <cell r="U173">
            <v>94.354798253320354</v>
          </cell>
          <cell r="V173">
            <v>99.307554344754664</v>
          </cell>
          <cell r="W173">
            <v>104.34908014412207</v>
          </cell>
          <cell r="X173">
            <v>109.48096669707495</v>
          </cell>
          <cell r="Y173">
            <v>114.70483356604609</v>
          </cell>
          <cell r="Z173">
            <v>120.02232934136335</v>
          </cell>
        </row>
        <row r="176">
          <cell r="N176">
            <v>1556.0291383616313</v>
          </cell>
          <cell r="O176">
            <v>1611.7063479439701</v>
          </cell>
          <cell r="P176">
            <v>1669.3757770744205</v>
          </cell>
          <cell r="S176">
            <v>1823.0792283274061</v>
          </cell>
          <cell r="T176">
            <v>1855.7548149401678</v>
          </cell>
          <cell r="U176">
            <v>1889.0160557274155</v>
          </cell>
          <cell r="V176">
            <v>1922.87344754162</v>
          </cell>
          <cell r="W176">
            <v>1957.3376753734356</v>
          </cell>
          <cell r="X176">
            <v>1992.4196157237539</v>
          </cell>
          <cell r="Y176">
            <v>2028.1303400362003</v>
          </cell>
          <cell r="Z176">
            <v>2064.4811181911477</v>
          </cell>
        </row>
        <row r="177">
          <cell r="N177">
            <v>12961.961347985542</v>
          </cell>
          <cell r="O177">
            <v>14573.667695929511</v>
          </cell>
          <cell r="P177">
            <v>16243.043473003931</v>
          </cell>
          <cell r="S177">
            <v>21586.210395746086</v>
          </cell>
          <cell r="T177">
            <v>23441.965210686252</v>
          </cell>
          <cell r="U177">
            <v>25330.981266413666</v>
          </cell>
          <cell r="V177">
            <v>27253.854713955287</v>
          </cell>
          <cell r="W177">
            <v>29211.192389328724</v>
          </cell>
          <cell r="X177">
            <v>31203.612005052477</v>
          </cell>
          <cell r="Y177">
            <v>33231.742345088678</v>
          </cell>
          <cell r="Z177">
            <v>35296.223463279828</v>
          </cell>
        </row>
        <row r="178">
          <cell r="N178">
            <v>52317.351278157628</v>
          </cell>
          <cell r="O178">
            <v>60688.127482662843</v>
          </cell>
          <cell r="P178">
            <v>70398.227879888887</v>
          </cell>
          <cell r="S178">
            <v>106127.86286513619</v>
          </cell>
          <cell r="T178">
            <v>120985.7636662553</v>
          </cell>
          <cell r="U178">
            <v>137923.77057953103</v>
          </cell>
          <cell r="V178">
            <v>157233.09846066541</v>
          </cell>
          <cell r="W178">
            <v>179245.73224515861</v>
          </cell>
          <cell r="X178">
            <v>204340.13475948083</v>
          </cell>
          <cell r="Y178">
            <v>232947.75362580814</v>
          </cell>
          <cell r="Z178">
            <v>265560.43913342134</v>
          </cell>
        </row>
        <row r="179">
          <cell r="N179">
            <v>15050.743997098771</v>
          </cell>
          <cell r="O179">
            <v>15589.283673019572</v>
          </cell>
          <cell r="P179">
            <v>16147.093159296373</v>
          </cell>
          <cell r="S179">
            <v>17329.763996200913</v>
          </cell>
          <cell r="T179">
            <v>17640.370466637258</v>
          </cell>
          <cell r="U179">
            <v>17956.54402843722</v>
          </cell>
          <cell r="V179">
            <v>18278.384462220991</v>
          </cell>
          <cell r="W179">
            <v>18605.993337006221</v>
          </cell>
          <cell r="X179">
            <v>18939.474042262013</v>
          </cell>
          <cell r="Y179">
            <v>19278.931820537433</v>
          </cell>
          <cell r="Z179">
            <v>19624.473800674768</v>
          </cell>
        </row>
        <row r="180">
          <cell r="N180">
            <v>28012.705345084312</v>
          </cell>
          <cell r="O180">
            <v>30162.951368949085</v>
          </cell>
          <cell r="P180">
            <v>32390.136632300302</v>
          </cell>
          <cell r="S180">
            <v>38915.974391946998</v>
          </cell>
          <cell r="T180">
            <v>41082.335677323514</v>
          </cell>
          <cell r="U180">
            <v>43287.525294850886</v>
          </cell>
          <cell r="V180">
            <v>45532.239176176277</v>
          </cell>
          <cell r="W180">
            <v>47817.185726334945</v>
          </cell>
          <cell r="X180">
            <v>50143.086047314486</v>
          </cell>
          <cell r="Y180">
            <v>52510.674165626115</v>
          </cell>
          <cell r="Z180">
            <v>54920.6972639546</v>
          </cell>
        </row>
      </sheetData>
      <sheetData sheetId="10" refreshError="1"/>
      <sheetData sheetId="11" refreshError="1"/>
      <sheetData sheetId="12" refreshError="1"/>
      <sheetData sheetId="13" refreshError="1"/>
      <sheetData sheetId="14" refreshError="1"/>
      <sheetData sheetId="15" refreshError="1">
        <row r="1">
          <cell r="F1" t="str">
            <v>Capitalization of Material Operating Leases</v>
          </cell>
        </row>
        <row r="5">
          <cell r="C5">
            <v>0</v>
          </cell>
          <cell r="E5">
            <v>0</v>
          </cell>
          <cell r="G5">
            <v>0</v>
          </cell>
          <cell r="I5">
            <v>0</v>
          </cell>
          <cell r="K5">
            <v>0</v>
          </cell>
          <cell r="M5">
            <v>0</v>
          </cell>
          <cell r="O5">
            <v>0</v>
          </cell>
          <cell r="Q5">
            <v>30.35</v>
          </cell>
          <cell r="S5">
            <v>46.93</v>
          </cell>
          <cell r="U5">
            <v>60</v>
          </cell>
          <cell r="W5">
            <v>67</v>
          </cell>
          <cell r="Y5">
            <v>78</v>
          </cell>
          <cell r="AA5">
            <v>89</v>
          </cell>
          <cell r="AC5">
            <v>89</v>
          </cell>
          <cell r="AE5">
            <v>85</v>
          </cell>
        </row>
        <row r="6">
          <cell r="C6">
            <v>0</v>
          </cell>
          <cell r="E6">
            <v>0</v>
          </cell>
          <cell r="G6">
            <v>0</v>
          </cell>
          <cell r="I6">
            <v>0</v>
          </cell>
          <cell r="K6">
            <v>0</v>
          </cell>
          <cell r="M6">
            <v>0</v>
          </cell>
          <cell r="O6">
            <v>0</v>
          </cell>
          <cell r="Q6">
            <v>30.346</v>
          </cell>
          <cell r="S6">
            <v>41.137999999999998</v>
          </cell>
          <cell r="U6">
            <v>52</v>
          </cell>
          <cell r="W6">
            <v>49</v>
          </cell>
          <cell r="Y6">
            <v>62.5</v>
          </cell>
          <cell r="AA6">
            <v>76</v>
          </cell>
          <cell r="AC6">
            <v>76</v>
          </cell>
          <cell r="AE6">
            <v>72</v>
          </cell>
        </row>
        <row r="7">
          <cell r="C7">
            <v>0</v>
          </cell>
          <cell r="E7">
            <v>0</v>
          </cell>
          <cell r="G7">
            <v>0</v>
          </cell>
          <cell r="I7">
            <v>0</v>
          </cell>
          <cell r="K7">
            <v>0</v>
          </cell>
          <cell r="M7">
            <v>0</v>
          </cell>
          <cell r="O7">
            <v>0</v>
          </cell>
          <cell r="Q7">
            <v>27.276</v>
          </cell>
          <cell r="S7">
            <v>35.174999999999997</v>
          </cell>
          <cell r="U7">
            <v>37</v>
          </cell>
          <cell r="W7">
            <v>38</v>
          </cell>
          <cell r="Y7">
            <v>48</v>
          </cell>
          <cell r="AA7">
            <v>58</v>
          </cell>
          <cell r="AC7">
            <v>58</v>
          </cell>
          <cell r="AE7">
            <v>52</v>
          </cell>
        </row>
        <row r="8">
          <cell r="C8">
            <v>0</v>
          </cell>
          <cell r="E8">
            <v>0</v>
          </cell>
          <cell r="G8">
            <v>0</v>
          </cell>
          <cell r="I8">
            <v>0</v>
          </cell>
          <cell r="K8">
            <v>0</v>
          </cell>
          <cell r="M8">
            <v>0</v>
          </cell>
          <cell r="O8">
            <v>0</v>
          </cell>
          <cell r="Q8">
            <v>22.753</v>
          </cell>
          <cell r="S8">
            <v>28.431999999999999</v>
          </cell>
          <cell r="U8">
            <v>28</v>
          </cell>
          <cell r="W8">
            <v>32</v>
          </cell>
          <cell r="Y8">
            <v>30</v>
          </cell>
          <cell r="AA8">
            <v>28</v>
          </cell>
          <cell r="AC8">
            <v>28</v>
          </cell>
          <cell r="AE8">
            <v>25</v>
          </cell>
        </row>
        <row r="9">
          <cell r="C9">
            <v>0</v>
          </cell>
          <cell r="E9">
            <v>0</v>
          </cell>
          <cell r="G9">
            <v>0</v>
          </cell>
          <cell r="I9">
            <v>0</v>
          </cell>
          <cell r="K9">
            <v>0</v>
          </cell>
          <cell r="M9">
            <v>0</v>
          </cell>
          <cell r="O9">
            <v>0</v>
          </cell>
          <cell r="Q9">
            <v>18.087</v>
          </cell>
          <cell r="S9">
            <v>20.033999999999999</v>
          </cell>
          <cell r="U9">
            <v>24</v>
          </cell>
          <cell r="W9">
            <v>24</v>
          </cell>
          <cell r="Y9">
            <v>24</v>
          </cell>
          <cell r="AA9">
            <v>24</v>
          </cell>
          <cell r="AC9">
            <v>24</v>
          </cell>
          <cell r="AE9">
            <v>17</v>
          </cell>
        </row>
        <row r="10">
          <cell r="C10">
            <v>0</v>
          </cell>
          <cell r="E10">
            <v>0</v>
          </cell>
          <cell r="G10">
            <v>0</v>
          </cell>
          <cell r="I10">
            <v>0</v>
          </cell>
          <cell r="K10">
            <v>0</v>
          </cell>
          <cell r="M10">
            <v>0</v>
          </cell>
          <cell r="O10">
            <v>0</v>
          </cell>
          <cell r="Q10">
            <v>75.519000000000005</v>
          </cell>
          <cell r="S10">
            <v>70.558999999999997</v>
          </cell>
          <cell r="U10">
            <v>55</v>
          </cell>
          <cell r="W10">
            <v>22</v>
          </cell>
          <cell r="Y10">
            <v>20.5</v>
          </cell>
          <cell r="AA10">
            <v>19</v>
          </cell>
          <cell r="AC10">
            <v>19</v>
          </cell>
          <cell r="AE10">
            <v>17</v>
          </cell>
        </row>
        <row r="15">
          <cell r="C15">
            <v>0</v>
          </cell>
          <cell r="E15">
            <v>0</v>
          </cell>
          <cell r="G15">
            <v>0</v>
          </cell>
          <cell r="I15">
            <v>0</v>
          </cell>
          <cell r="K15">
            <v>0</v>
          </cell>
          <cell r="M15">
            <v>0</v>
          </cell>
          <cell r="O15">
            <v>0</v>
          </cell>
          <cell r="Q15">
            <v>4</v>
          </cell>
          <cell r="S15">
            <v>4</v>
          </cell>
          <cell r="U15">
            <v>2</v>
          </cell>
          <cell r="W15">
            <v>1</v>
          </cell>
          <cell r="Y15">
            <v>1</v>
          </cell>
          <cell r="AA15">
            <v>1</v>
          </cell>
          <cell r="AC15">
            <v>1</v>
          </cell>
          <cell r="AE15">
            <v>1</v>
          </cell>
        </row>
        <row r="16">
          <cell r="C16" t="str">
            <v xml:space="preserve"> </v>
          </cell>
          <cell r="E16" t="str">
            <v xml:space="preserve"> </v>
          </cell>
          <cell r="G16" t="str">
            <v xml:space="preserve"> </v>
          </cell>
          <cell r="I16" t="str">
            <v xml:space="preserve"> </v>
          </cell>
          <cell r="K16" t="str">
            <v xml:space="preserve"> </v>
          </cell>
          <cell r="M16" t="str">
            <v xml:space="preserve"> </v>
          </cell>
          <cell r="O16" t="str">
            <v xml:space="preserve"> </v>
          </cell>
          <cell r="Q16">
            <v>18.879750000000001</v>
          </cell>
          <cell r="S16">
            <v>17.639749999999999</v>
          </cell>
          <cell r="U16">
            <v>27.5</v>
          </cell>
          <cell r="W16">
            <v>22</v>
          </cell>
          <cell r="Y16">
            <v>20.5</v>
          </cell>
          <cell r="AA16">
            <v>19</v>
          </cell>
          <cell r="AC16">
            <v>19</v>
          </cell>
          <cell r="AE16">
            <v>17</v>
          </cell>
        </row>
        <row r="19">
          <cell r="D19" t="str">
            <v>PV of Operating Leases</v>
          </cell>
          <cell r="F19" t="str">
            <v>PV of Operating Leases</v>
          </cell>
          <cell r="H19" t="str">
            <v>PV of Operating Leases</v>
          </cell>
          <cell r="J19" t="str">
            <v>PV of Operating Leases</v>
          </cell>
          <cell r="L19" t="str">
            <v>PV of Operating Leases</v>
          </cell>
          <cell r="N19" t="str">
            <v>PV of Operating Leases</v>
          </cell>
          <cell r="P19" t="str">
            <v>PV of Operating Leases</v>
          </cell>
          <cell r="R19" t="str">
            <v>PV of Operating Leases</v>
          </cell>
          <cell r="T19" t="str">
            <v>PV of Operating Leases</v>
          </cell>
          <cell r="V19" t="str">
            <v>PV of Operating Leases</v>
          </cell>
          <cell r="X19" t="str">
            <v>PV of Operating Leases</v>
          </cell>
          <cell r="Z19" t="str">
            <v>PV of Operating Leases</v>
          </cell>
          <cell r="AB19" t="str">
            <v>PV of Operating Leases</v>
          </cell>
        </row>
        <row r="20">
          <cell r="B20" t="str">
            <v>Years</v>
          </cell>
        </row>
        <row r="21">
          <cell r="B21">
            <v>1</v>
          </cell>
          <cell r="D21">
            <v>0</v>
          </cell>
          <cell r="F21">
            <v>0</v>
          </cell>
          <cell r="H21">
            <v>0</v>
          </cell>
          <cell r="J21">
            <v>0</v>
          </cell>
          <cell r="L21">
            <v>0</v>
          </cell>
          <cell r="N21">
            <v>0</v>
          </cell>
          <cell r="P21">
            <v>0</v>
          </cell>
          <cell r="R21">
            <v>27.959465684016585</v>
          </cell>
          <cell r="T21">
            <v>43.530284760226323</v>
          </cell>
          <cell r="V21">
            <v>56.053811659192824</v>
          </cell>
          <cell r="X21">
            <v>63.261259560003779</v>
          </cell>
          <cell r="Z21">
            <v>72.842734404183787</v>
          </cell>
          <cell r="AB21">
            <v>83.591622053160521</v>
          </cell>
        </row>
        <row r="22">
          <cell r="B22">
            <v>2</v>
          </cell>
          <cell r="D22">
            <v>0</v>
          </cell>
          <cell r="F22">
            <v>0</v>
          </cell>
          <cell r="H22">
            <v>0</v>
          </cell>
          <cell r="J22">
            <v>0</v>
          </cell>
          <cell r="L22">
            <v>0</v>
          </cell>
          <cell r="N22">
            <v>0</v>
          </cell>
          <cell r="P22">
            <v>0</v>
          </cell>
          <cell r="R22">
            <v>25.753828416582142</v>
          </cell>
          <cell r="T22">
            <v>35.393627982031241</v>
          </cell>
          <cell r="V22">
            <v>45.384874910905992</v>
          </cell>
          <cell r="X22">
            <v>43.683974402938361</v>
          </cell>
          <cell r="Z22">
            <v>54.508382185635078</v>
          </cell>
          <cell r="AB22">
            <v>67.043871365782209</v>
          </cell>
        </row>
        <row r="23">
          <cell r="B23">
            <v>3</v>
          </cell>
          <cell r="D23">
            <v>0</v>
          </cell>
          <cell r="F23">
            <v>0</v>
          </cell>
          <cell r="H23">
            <v>0</v>
          </cell>
          <cell r="J23">
            <v>0</v>
          </cell>
          <cell r="L23">
            <v>0</v>
          </cell>
          <cell r="N23">
            <v>0</v>
          </cell>
          <cell r="P23">
            <v>0</v>
          </cell>
          <cell r="R23">
            <v>21.325105991314558</v>
          </cell>
          <cell r="T23">
            <v>28.070940780070622</v>
          </cell>
          <cell r="V23">
            <v>30.169174207045565</v>
          </cell>
          <cell r="X23">
            <v>31.986939764252245</v>
          </cell>
          <cell r="Z23">
            <v>39.094543816368827</v>
          </cell>
          <cell r="AB23">
            <v>48.055846460522218</v>
          </cell>
        </row>
        <row r="24">
          <cell r="B24">
            <v>4</v>
          </cell>
          <cell r="D24">
            <v>0</v>
          </cell>
          <cell r="F24">
            <v>0</v>
          </cell>
          <cell r="H24">
            <v>0</v>
          </cell>
          <cell r="J24">
            <v>0</v>
          </cell>
          <cell r="L24">
            <v>0</v>
          </cell>
          <cell r="N24">
            <v>0</v>
          </cell>
          <cell r="P24">
            <v>0</v>
          </cell>
          <cell r="R24">
            <v>16.387750966657173</v>
          </cell>
          <cell r="T24">
            <v>21.046080455685132</v>
          </cell>
          <cell r="V24">
            <v>21.329153986316701</v>
          </cell>
          <cell r="X24">
            <v>25.433264401653634</v>
          </cell>
          <cell r="Z24">
            <v>22.818537434843591</v>
          </cell>
          <cell r="AB24">
            <v>21.789587821316385</v>
          </cell>
        </row>
        <row r="25">
          <cell r="B25">
            <v>5</v>
          </cell>
          <cell r="D25">
            <v>0</v>
          </cell>
          <cell r="F25">
            <v>0</v>
          </cell>
          <cell r="H25">
            <v>0</v>
          </cell>
          <cell r="J25">
            <v>0</v>
          </cell>
          <cell r="L25">
            <v>0</v>
          </cell>
          <cell r="N25">
            <v>0</v>
          </cell>
          <cell r="P25">
            <v>0</v>
          </cell>
          <cell r="R25">
            <v>12.00099900205721</v>
          </cell>
          <cell r="T25">
            <v>13.755375145208065</v>
          </cell>
          <cell r="V25">
            <v>17.079719719984546</v>
          </cell>
          <cell r="X25">
            <v>18.010526202662852</v>
          </cell>
          <cell r="Z25">
            <v>17.047842685725509</v>
          </cell>
          <cell r="AB25">
            <v>17.541832968092731</v>
          </cell>
        </row>
        <row r="26">
          <cell r="B26">
            <v>6</v>
          </cell>
          <cell r="D26">
            <v>0</v>
          </cell>
          <cell r="F26">
            <v>0</v>
          </cell>
          <cell r="H26">
            <v>0</v>
          </cell>
          <cell r="J26">
            <v>0</v>
          </cell>
          <cell r="L26">
            <v>0</v>
          </cell>
          <cell r="N26">
            <v>0</v>
          </cell>
          <cell r="P26">
            <v>0</v>
          </cell>
          <cell r="R26">
            <v>11.540304613941652</v>
          </cell>
          <cell r="T26">
            <v>11.234096485361954</v>
          </cell>
          <cell r="V26">
            <v>18.283363396065916</v>
          </cell>
          <cell r="X26">
            <v>15.588375997646695</v>
          </cell>
          <cell r="Z26">
            <v>13.598897049611386</v>
          </cell>
          <cell r="AB26">
            <v>13.043377883979911</v>
          </cell>
        </row>
        <row r="27">
          <cell r="B27">
            <v>7</v>
          </cell>
          <cell r="D27">
            <v>0</v>
          </cell>
          <cell r="F27">
            <v>0</v>
          </cell>
          <cell r="H27">
            <v>0</v>
          </cell>
          <cell r="J27">
            <v>0</v>
          </cell>
          <cell r="L27">
            <v>0</v>
          </cell>
          <cell r="N27">
            <v>0</v>
          </cell>
          <cell r="P27">
            <v>0</v>
          </cell>
          <cell r="R27">
            <v>10.631326221963752</v>
          </cell>
          <cell r="T27">
            <v>10.420273152176936</v>
          </cell>
          <cell r="V27">
            <v>17.080870138327651</v>
          </cell>
          <cell r="X27">
            <v>0</v>
          </cell>
          <cell r="Z27">
            <v>0</v>
          </cell>
          <cell r="AB27">
            <v>0</v>
          </cell>
        </row>
        <row r="28">
          <cell r="B28">
            <v>8</v>
          </cell>
          <cell r="D28">
            <v>0</v>
          </cell>
          <cell r="F28">
            <v>0</v>
          </cell>
          <cell r="H28">
            <v>0</v>
          </cell>
          <cell r="J28">
            <v>0</v>
          </cell>
          <cell r="L28">
            <v>0</v>
          </cell>
          <cell r="N28">
            <v>0</v>
          </cell>
          <cell r="P28">
            <v>0</v>
          </cell>
          <cell r="R28">
            <v>9.7939440091789525</v>
          </cell>
          <cell r="T28">
            <v>9.6654050201066077</v>
          </cell>
          <cell r="V28">
            <v>0</v>
          </cell>
          <cell r="X28">
            <v>0</v>
          </cell>
          <cell r="Z28">
            <v>0</v>
          </cell>
          <cell r="AB28">
            <v>0</v>
          </cell>
        </row>
        <row r="29">
          <cell r="B29">
            <v>9</v>
          </cell>
          <cell r="D29">
            <v>0</v>
          </cell>
          <cell r="F29">
            <v>0</v>
          </cell>
          <cell r="H29">
            <v>0</v>
          </cell>
          <cell r="J29">
            <v>0</v>
          </cell>
          <cell r="L29">
            <v>0</v>
          </cell>
          <cell r="N29">
            <v>0</v>
          </cell>
          <cell r="P29">
            <v>0</v>
          </cell>
          <cell r="R29">
            <v>9.0225186634536669</v>
          </cell>
          <cell r="T29">
            <v>8.9652212411711414</v>
          </cell>
          <cell r="V29">
            <v>0</v>
          </cell>
          <cell r="X29">
            <v>0</v>
          </cell>
          <cell r="Z29">
            <v>0</v>
          </cell>
          <cell r="AB29">
            <v>0</v>
          </cell>
        </row>
        <row r="30">
          <cell r="B30">
            <v>10</v>
          </cell>
          <cell r="D30">
            <v>0</v>
          </cell>
          <cell r="F30">
            <v>0</v>
          </cell>
          <cell r="H30">
            <v>0</v>
          </cell>
          <cell r="J30">
            <v>0</v>
          </cell>
          <cell r="L30">
            <v>0</v>
          </cell>
          <cell r="N30">
            <v>0</v>
          </cell>
          <cell r="P30">
            <v>0</v>
          </cell>
          <cell r="R30">
            <v>0</v>
          </cell>
          <cell r="T30">
            <v>0</v>
          </cell>
          <cell r="V30">
            <v>0</v>
          </cell>
          <cell r="X30">
            <v>0</v>
          </cell>
          <cell r="Z30">
            <v>0</v>
          </cell>
          <cell r="AB30">
            <v>0</v>
          </cell>
        </row>
        <row r="31">
          <cell r="B31">
            <v>11</v>
          </cell>
          <cell r="D31">
            <v>0</v>
          </cell>
          <cell r="F31">
            <v>0</v>
          </cell>
          <cell r="H31">
            <v>0</v>
          </cell>
          <cell r="J31">
            <v>0</v>
          </cell>
          <cell r="L31">
            <v>0</v>
          </cell>
          <cell r="N31">
            <v>0</v>
          </cell>
          <cell r="P31">
            <v>0</v>
          </cell>
          <cell r="R31">
            <v>0</v>
          </cell>
          <cell r="T31">
            <v>0</v>
          </cell>
          <cell r="V31">
            <v>0</v>
          </cell>
          <cell r="X31">
            <v>0</v>
          </cell>
          <cell r="Z31">
            <v>0</v>
          </cell>
          <cell r="AB31">
            <v>0</v>
          </cell>
        </row>
        <row r="32">
          <cell r="B32">
            <v>12</v>
          </cell>
          <cell r="D32">
            <v>0</v>
          </cell>
          <cell r="F32">
            <v>0</v>
          </cell>
          <cell r="H32">
            <v>0</v>
          </cell>
          <cell r="J32">
            <v>0</v>
          </cell>
          <cell r="L32">
            <v>0</v>
          </cell>
          <cell r="N32">
            <v>0</v>
          </cell>
          <cell r="P32">
            <v>0</v>
          </cell>
          <cell r="R32">
            <v>0</v>
          </cell>
          <cell r="T32">
            <v>0</v>
          </cell>
          <cell r="V32">
            <v>0</v>
          </cell>
          <cell r="X32">
            <v>0</v>
          </cell>
          <cell r="Z32">
            <v>0</v>
          </cell>
          <cell r="AB32">
            <v>0</v>
          </cell>
        </row>
        <row r="33">
          <cell r="B33">
            <v>13</v>
          </cell>
          <cell r="D33">
            <v>0</v>
          </cell>
          <cell r="F33">
            <v>0</v>
          </cell>
          <cell r="H33">
            <v>0</v>
          </cell>
          <cell r="J33">
            <v>0</v>
          </cell>
          <cell r="L33">
            <v>0</v>
          </cell>
          <cell r="N33">
            <v>0</v>
          </cell>
          <cell r="P33">
            <v>0</v>
          </cell>
          <cell r="R33">
            <v>0</v>
          </cell>
          <cell r="T33">
            <v>0</v>
          </cell>
          <cell r="V33">
            <v>0</v>
          </cell>
          <cell r="X33">
            <v>0</v>
          </cell>
          <cell r="Z33">
            <v>0</v>
          </cell>
          <cell r="AB33">
            <v>0</v>
          </cell>
        </row>
        <row r="34">
          <cell r="B34">
            <v>14</v>
          </cell>
          <cell r="D34">
            <v>0</v>
          </cell>
          <cell r="F34">
            <v>0</v>
          </cell>
          <cell r="H34">
            <v>0</v>
          </cell>
          <cell r="J34">
            <v>0</v>
          </cell>
          <cell r="L34">
            <v>0</v>
          </cell>
          <cell r="N34">
            <v>0</v>
          </cell>
          <cell r="P34">
            <v>0</v>
          </cell>
          <cell r="R34">
            <v>0</v>
          </cell>
          <cell r="T34">
            <v>0</v>
          </cell>
          <cell r="V34">
            <v>0</v>
          </cell>
          <cell r="X34">
            <v>0</v>
          </cell>
          <cell r="Z34">
            <v>0</v>
          </cell>
          <cell r="AB34">
            <v>0</v>
          </cell>
        </row>
        <row r="35">
          <cell r="B35">
            <v>15</v>
          </cell>
          <cell r="D35">
            <v>0</v>
          </cell>
          <cell r="F35">
            <v>0</v>
          </cell>
          <cell r="H35">
            <v>0</v>
          </cell>
          <cell r="J35">
            <v>0</v>
          </cell>
          <cell r="L35">
            <v>0</v>
          </cell>
          <cell r="N35">
            <v>0</v>
          </cell>
          <cell r="P35">
            <v>0</v>
          </cell>
          <cell r="R35">
            <v>0</v>
          </cell>
          <cell r="T35">
            <v>0</v>
          </cell>
          <cell r="V35">
            <v>0</v>
          </cell>
          <cell r="X35">
            <v>0</v>
          </cell>
          <cell r="Z35">
            <v>0</v>
          </cell>
          <cell r="AB35">
            <v>0</v>
          </cell>
        </row>
        <row r="36">
          <cell r="B36">
            <v>16</v>
          </cell>
          <cell r="D36">
            <v>0</v>
          </cell>
          <cell r="F36">
            <v>0</v>
          </cell>
          <cell r="H36">
            <v>0</v>
          </cell>
          <cell r="J36">
            <v>0</v>
          </cell>
          <cell r="L36">
            <v>0</v>
          </cell>
          <cell r="N36">
            <v>0</v>
          </cell>
          <cell r="P36">
            <v>0</v>
          </cell>
          <cell r="R36">
            <v>0</v>
          </cell>
          <cell r="T36">
            <v>0</v>
          </cell>
          <cell r="V36">
            <v>0</v>
          </cell>
          <cell r="X36">
            <v>0</v>
          </cell>
          <cell r="Z36">
            <v>0</v>
          </cell>
          <cell r="AB36">
            <v>0</v>
          </cell>
        </row>
        <row r="37">
          <cell r="B37">
            <v>17</v>
          </cell>
          <cell r="D37">
            <v>0</v>
          </cell>
          <cell r="F37">
            <v>0</v>
          </cell>
          <cell r="H37">
            <v>0</v>
          </cell>
          <cell r="J37">
            <v>0</v>
          </cell>
          <cell r="L37">
            <v>0</v>
          </cell>
          <cell r="N37">
            <v>0</v>
          </cell>
          <cell r="P37">
            <v>0</v>
          </cell>
          <cell r="R37">
            <v>0</v>
          </cell>
          <cell r="T37">
            <v>0</v>
          </cell>
          <cell r="V37">
            <v>0</v>
          </cell>
          <cell r="X37">
            <v>0</v>
          </cell>
          <cell r="Z37">
            <v>0</v>
          </cell>
          <cell r="AB37">
            <v>0</v>
          </cell>
        </row>
        <row r="38">
          <cell r="B38">
            <v>18</v>
          </cell>
          <cell r="D38">
            <v>0</v>
          </cell>
          <cell r="F38">
            <v>0</v>
          </cell>
          <cell r="H38">
            <v>0</v>
          </cell>
          <cell r="J38">
            <v>0</v>
          </cell>
          <cell r="L38">
            <v>0</v>
          </cell>
          <cell r="N38">
            <v>0</v>
          </cell>
          <cell r="P38">
            <v>0</v>
          </cell>
          <cell r="R38">
            <v>0</v>
          </cell>
          <cell r="T38">
            <v>0</v>
          </cell>
          <cell r="V38">
            <v>0</v>
          </cell>
          <cell r="X38">
            <v>0</v>
          </cell>
          <cell r="Z38">
            <v>0</v>
          </cell>
          <cell r="AB38">
            <v>0</v>
          </cell>
        </row>
        <row r="39">
          <cell r="B39">
            <v>19</v>
          </cell>
          <cell r="D39">
            <v>0</v>
          </cell>
          <cell r="F39">
            <v>0</v>
          </cell>
          <cell r="H39">
            <v>0</v>
          </cell>
          <cell r="J39">
            <v>0</v>
          </cell>
          <cell r="L39">
            <v>0</v>
          </cell>
          <cell r="N39">
            <v>0</v>
          </cell>
          <cell r="P39">
            <v>0</v>
          </cell>
          <cell r="R39">
            <v>0</v>
          </cell>
          <cell r="T39">
            <v>0</v>
          </cell>
          <cell r="V39">
            <v>0</v>
          </cell>
          <cell r="X39">
            <v>0</v>
          </cell>
          <cell r="Z39">
            <v>0</v>
          </cell>
          <cell r="AB39">
            <v>0</v>
          </cell>
        </row>
        <row r="40">
          <cell r="B40">
            <v>20</v>
          </cell>
          <cell r="D40">
            <v>0</v>
          </cell>
          <cell r="F40">
            <v>0</v>
          </cell>
          <cell r="H40">
            <v>0</v>
          </cell>
          <cell r="J40">
            <v>0</v>
          </cell>
          <cell r="L40">
            <v>0</v>
          </cell>
          <cell r="N40">
            <v>0</v>
          </cell>
          <cell r="P40">
            <v>0</v>
          </cell>
          <cell r="R40">
            <v>0</v>
          </cell>
          <cell r="T40">
            <v>0</v>
          </cell>
          <cell r="V40">
            <v>0</v>
          </cell>
          <cell r="X40">
            <v>0</v>
          </cell>
          <cell r="Z40">
            <v>0</v>
          </cell>
          <cell r="AB40">
            <v>0</v>
          </cell>
        </row>
        <row r="41">
          <cell r="B41">
            <v>21</v>
          </cell>
          <cell r="D41">
            <v>0</v>
          </cell>
          <cell r="F41">
            <v>0</v>
          </cell>
          <cell r="H41">
            <v>0</v>
          </cell>
          <cell r="J41">
            <v>0</v>
          </cell>
          <cell r="L41">
            <v>0</v>
          </cell>
          <cell r="N41">
            <v>0</v>
          </cell>
          <cell r="P41">
            <v>0</v>
          </cell>
          <cell r="R41">
            <v>0</v>
          </cell>
          <cell r="T41">
            <v>0</v>
          </cell>
          <cell r="V41">
            <v>0</v>
          </cell>
          <cell r="X41">
            <v>0</v>
          </cell>
          <cell r="Z41">
            <v>0</v>
          </cell>
          <cell r="AB41">
            <v>0</v>
          </cell>
        </row>
        <row r="42">
          <cell r="B42">
            <v>22</v>
          </cell>
          <cell r="D42">
            <v>0</v>
          </cell>
          <cell r="F42">
            <v>0</v>
          </cell>
          <cell r="H42">
            <v>0</v>
          </cell>
          <cell r="J42">
            <v>0</v>
          </cell>
          <cell r="L42">
            <v>0</v>
          </cell>
          <cell r="N42">
            <v>0</v>
          </cell>
          <cell r="P42">
            <v>0</v>
          </cell>
          <cell r="R42">
            <v>0</v>
          </cell>
          <cell r="T42">
            <v>0</v>
          </cell>
          <cell r="V42">
            <v>0</v>
          </cell>
          <cell r="X42">
            <v>0</v>
          </cell>
          <cell r="Z42">
            <v>0</v>
          </cell>
          <cell r="AB42">
            <v>0</v>
          </cell>
        </row>
        <row r="43">
          <cell r="B43">
            <v>23</v>
          </cell>
          <cell r="D43">
            <v>0</v>
          </cell>
          <cell r="F43">
            <v>0</v>
          </cell>
          <cell r="H43">
            <v>0</v>
          </cell>
          <cell r="J43">
            <v>0</v>
          </cell>
          <cell r="L43">
            <v>0</v>
          </cell>
          <cell r="N43">
            <v>0</v>
          </cell>
          <cell r="P43">
            <v>0</v>
          </cell>
          <cell r="R43">
            <v>0</v>
          </cell>
          <cell r="T43">
            <v>0</v>
          </cell>
          <cell r="V43">
            <v>0</v>
          </cell>
          <cell r="X43">
            <v>0</v>
          </cell>
          <cell r="Z43">
            <v>0</v>
          </cell>
          <cell r="AB43">
            <v>0</v>
          </cell>
        </row>
        <row r="44">
          <cell r="B44">
            <v>24</v>
          </cell>
          <cell r="D44">
            <v>0</v>
          </cell>
          <cell r="F44">
            <v>0</v>
          </cell>
          <cell r="H44">
            <v>0</v>
          </cell>
          <cell r="J44">
            <v>0</v>
          </cell>
          <cell r="L44">
            <v>0</v>
          </cell>
          <cell r="N44">
            <v>0</v>
          </cell>
          <cell r="P44">
            <v>0</v>
          </cell>
          <cell r="R44">
            <v>0</v>
          </cell>
          <cell r="T44">
            <v>0</v>
          </cell>
          <cell r="V44">
            <v>0</v>
          </cell>
          <cell r="X44">
            <v>0</v>
          </cell>
          <cell r="Z44">
            <v>0</v>
          </cell>
          <cell r="AB44">
            <v>0</v>
          </cell>
        </row>
        <row r="45">
          <cell r="B45">
            <v>25</v>
          </cell>
          <cell r="D45">
            <v>0</v>
          </cell>
          <cell r="F45">
            <v>0</v>
          </cell>
          <cell r="H45">
            <v>0</v>
          </cell>
          <cell r="J45">
            <v>0</v>
          </cell>
          <cell r="L45">
            <v>0</v>
          </cell>
          <cell r="N45">
            <v>0</v>
          </cell>
          <cell r="P45">
            <v>0</v>
          </cell>
          <cell r="R45">
            <v>0</v>
          </cell>
          <cell r="T45">
            <v>0</v>
          </cell>
          <cell r="V45">
            <v>0</v>
          </cell>
          <cell r="X45">
            <v>0</v>
          </cell>
          <cell r="Z45">
            <v>0</v>
          </cell>
          <cell r="AB45">
            <v>0</v>
          </cell>
        </row>
        <row r="46">
          <cell r="B46">
            <v>26</v>
          </cell>
          <cell r="D46">
            <v>0</v>
          </cell>
          <cell r="F46">
            <v>0</v>
          </cell>
          <cell r="H46">
            <v>0</v>
          </cell>
          <cell r="J46">
            <v>0</v>
          </cell>
          <cell r="L46">
            <v>0</v>
          </cell>
          <cell r="N46">
            <v>0</v>
          </cell>
          <cell r="P46">
            <v>0</v>
          </cell>
          <cell r="R46">
            <v>0</v>
          </cell>
          <cell r="T46">
            <v>0</v>
          </cell>
          <cell r="V46">
            <v>0</v>
          </cell>
          <cell r="X46">
            <v>0</v>
          </cell>
          <cell r="Z46">
            <v>0</v>
          </cell>
          <cell r="AB46">
            <v>0</v>
          </cell>
        </row>
        <row r="47">
          <cell r="B47">
            <v>27</v>
          </cell>
          <cell r="D47">
            <v>0</v>
          </cell>
          <cell r="F47">
            <v>0</v>
          </cell>
          <cell r="H47">
            <v>0</v>
          </cell>
          <cell r="J47">
            <v>0</v>
          </cell>
          <cell r="L47">
            <v>0</v>
          </cell>
          <cell r="N47">
            <v>0</v>
          </cell>
          <cell r="P47">
            <v>0</v>
          </cell>
          <cell r="R47">
            <v>0</v>
          </cell>
          <cell r="T47">
            <v>0</v>
          </cell>
          <cell r="V47">
            <v>0</v>
          </cell>
          <cell r="X47">
            <v>0</v>
          </cell>
          <cell r="Z47">
            <v>0</v>
          </cell>
          <cell r="AB47">
            <v>0</v>
          </cell>
        </row>
        <row r="48">
          <cell r="B48">
            <v>28</v>
          </cell>
          <cell r="D48">
            <v>0</v>
          </cell>
          <cell r="F48">
            <v>0</v>
          </cell>
          <cell r="H48">
            <v>0</v>
          </cell>
          <cell r="J48">
            <v>0</v>
          </cell>
          <cell r="L48">
            <v>0</v>
          </cell>
          <cell r="N48">
            <v>0</v>
          </cell>
          <cell r="P48">
            <v>0</v>
          </cell>
          <cell r="R48">
            <v>0</v>
          </cell>
          <cell r="T48">
            <v>0</v>
          </cell>
          <cell r="V48">
            <v>0</v>
          </cell>
          <cell r="X48">
            <v>0</v>
          </cell>
          <cell r="Z48">
            <v>0</v>
          </cell>
          <cell r="AB48">
            <v>0</v>
          </cell>
        </row>
        <row r="49">
          <cell r="B49">
            <v>29</v>
          </cell>
          <cell r="D49">
            <v>0</v>
          </cell>
          <cell r="F49">
            <v>0</v>
          </cell>
          <cell r="H49">
            <v>0</v>
          </cell>
          <cell r="J49">
            <v>0</v>
          </cell>
          <cell r="L49">
            <v>0</v>
          </cell>
          <cell r="N49">
            <v>0</v>
          </cell>
          <cell r="P49">
            <v>0</v>
          </cell>
          <cell r="R49">
            <v>0</v>
          </cell>
          <cell r="T49">
            <v>0</v>
          </cell>
          <cell r="V49">
            <v>0</v>
          </cell>
          <cell r="X49">
            <v>0</v>
          </cell>
          <cell r="Z49">
            <v>0</v>
          </cell>
          <cell r="AB49">
            <v>0</v>
          </cell>
        </row>
        <row r="50">
          <cell r="B50">
            <v>30</v>
          </cell>
          <cell r="D50">
            <v>0</v>
          </cell>
          <cell r="F50">
            <v>0</v>
          </cell>
          <cell r="H50">
            <v>0</v>
          </cell>
          <cell r="J50">
            <v>0</v>
          </cell>
          <cell r="L50">
            <v>0</v>
          </cell>
          <cell r="N50">
            <v>0</v>
          </cell>
          <cell r="P50">
            <v>0</v>
          </cell>
          <cell r="R50">
            <v>0</v>
          </cell>
          <cell r="T50">
            <v>0</v>
          </cell>
          <cell r="V50">
            <v>0</v>
          </cell>
          <cell r="X50">
            <v>0</v>
          </cell>
          <cell r="Z50">
            <v>0</v>
          </cell>
          <cell r="AB50">
            <v>0</v>
          </cell>
        </row>
        <row r="51">
          <cell r="B51">
            <v>31</v>
          </cell>
          <cell r="D51">
            <v>0</v>
          </cell>
          <cell r="F51">
            <v>0</v>
          </cell>
          <cell r="H51">
            <v>0</v>
          </cell>
          <cell r="J51">
            <v>0</v>
          </cell>
          <cell r="L51">
            <v>0</v>
          </cell>
          <cell r="N51">
            <v>0</v>
          </cell>
          <cell r="P51">
            <v>0</v>
          </cell>
          <cell r="R51">
            <v>0</v>
          </cell>
          <cell r="T51">
            <v>0</v>
          </cell>
          <cell r="V51">
            <v>0</v>
          </cell>
          <cell r="X51">
            <v>0</v>
          </cell>
          <cell r="Z51">
            <v>0</v>
          </cell>
          <cell r="AB51">
            <v>0</v>
          </cell>
        </row>
        <row r="52">
          <cell r="B52">
            <v>32</v>
          </cell>
          <cell r="D52">
            <v>0</v>
          </cell>
          <cell r="F52">
            <v>0</v>
          </cell>
          <cell r="H52">
            <v>0</v>
          </cell>
          <cell r="J52">
            <v>0</v>
          </cell>
          <cell r="L52">
            <v>0</v>
          </cell>
          <cell r="N52">
            <v>0</v>
          </cell>
          <cell r="P52">
            <v>0</v>
          </cell>
          <cell r="R52">
            <v>0</v>
          </cell>
          <cell r="T52">
            <v>0</v>
          </cell>
          <cell r="V52">
            <v>0</v>
          </cell>
          <cell r="X52">
            <v>0</v>
          </cell>
          <cell r="Z52">
            <v>0</v>
          </cell>
          <cell r="AB52">
            <v>0</v>
          </cell>
        </row>
        <row r="53">
          <cell r="B53">
            <v>33</v>
          </cell>
          <cell r="D53">
            <v>0</v>
          </cell>
          <cell r="F53">
            <v>0</v>
          </cell>
          <cell r="H53">
            <v>0</v>
          </cell>
          <cell r="J53">
            <v>0</v>
          </cell>
          <cell r="L53">
            <v>0</v>
          </cell>
          <cell r="N53">
            <v>0</v>
          </cell>
          <cell r="P53">
            <v>0</v>
          </cell>
          <cell r="R53">
            <v>0</v>
          </cell>
          <cell r="T53">
            <v>0</v>
          </cell>
          <cell r="V53">
            <v>0</v>
          </cell>
          <cell r="X53">
            <v>0</v>
          </cell>
          <cell r="Z53">
            <v>0</v>
          </cell>
          <cell r="AB53">
            <v>0</v>
          </cell>
        </row>
        <row r="54">
          <cell r="B54">
            <v>34</v>
          </cell>
          <cell r="D54">
            <v>0</v>
          </cell>
          <cell r="F54">
            <v>0</v>
          </cell>
          <cell r="H54">
            <v>0</v>
          </cell>
          <cell r="J54">
            <v>0</v>
          </cell>
          <cell r="L54">
            <v>0</v>
          </cell>
          <cell r="N54">
            <v>0</v>
          </cell>
          <cell r="P54">
            <v>0</v>
          </cell>
          <cell r="R54">
            <v>0</v>
          </cell>
          <cell r="T54">
            <v>0</v>
          </cell>
          <cell r="V54">
            <v>0</v>
          </cell>
          <cell r="X54">
            <v>0</v>
          </cell>
          <cell r="Z54">
            <v>0</v>
          </cell>
          <cell r="AB54">
            <v>0</v>
          </cell>
        </row>
        <row r="55">
          <cell r="B55">
            <v>35</v>
          </cell>
          <cell r="D55">
            <v>0</v>
          </cell>
          <cell r="F55">
            <v>0</v>
          </cell>
          <cell r="H55">
            <v>0</v>
          </cell>
          <cell r="J55">
            <v>0</v>
          </cell>
          <cell r="L55">
            <v>0</v>
          </cell>
          <cell r="N55">
            <v>0</v>
          </cell>
          <cell r="P55">
            <v>0</v>
          </cell>
          <cell r="R55">
            <v>0</v>
          </cell>
          <cell r="T55">
            <v>0</v>
          </cell>
          <cell r="V55">
            <v>0</v>
          </cell>
          <cell r="X55">
            <v>0</v>
          </cell>
          <cell r="Z55">
            <v>0</v>
          </cell>
          <cell r="AB55">
            <v>0</v>
          </cell>
        </row>
        <row r="56">
          <cell r="B56">
            <v>36</v>
          </cell>
          <cell r="D56">
            <v>0</v>
          </cell>
          <cell r="F56">
            <v>0</v>
          </cell>
          <cell r="H56">
            <v>0</v>
          </cell>
          <cell r="J56">
            <v>0</v>
          </cell>
          <cell r="L56">
            <v>0</v>
          </cell>
          <cell r="N56">
            <v>0</v>
          </cell>
          <cell r="P56">
            <v>0</v>
          </cell>
          <cell r="R56">
            <v>0</v>
          </cell>
          <cell r="T56">
            <v>0</v>
          </cell>
          <cell r="V56">
            <v>0</v>
          </cell>
          <cell r="X56">
            <v>0</v>
          </cell>
          <cell r="Z56">
            <v>0</v>
          </cell>
          <cell r="AB56">
            <v>0</v>
          </cell>
        </row>
        <row r="57">
          <cell r="B57">
            <v>37</v>
          </cell>
          <cell r="D57">
            <v>0</v>
          </cell>
          <cell r="F57">
            <v>0</v>
          </cell>
          <cell r="H57">
            <v>0</v>
          </cell>
          <cell r="J57">
            <v>0</v>
          </cell>
          <cell r="L57">
            <v>0</v>
          </cell>
          <cell r="N57">
            <v>0</v>
          </cell>
          <cell r="P57">
            <v>0</v>
          </cell>
          <cell r="R57">
            <v>0</v>
          </cell>
          <cell r="T57">
            <v>0</v>
          </cell>
          <cell r="V57">
            <v>0</v>
          </cell>
          <cell r="X57">
            <v>0</v>
          </cell>
          <cell r="Z57">
            <v>0</v>
          </cell>
          <cell r="AB57">
            <v>0</v>
          </cell>
        </row>
        <row r="58">
          <cell r="B58">
            <v>38</v>
          </cell>
          <cell r="D58">
            <v>0</v>
          </cell>
          <cell r="F58">
            <v>0</v>
          </cell>
          <cell r="H58">
            <v>0</v>
          </cell>
          <cell r="J58">
            <v>0</v>
          </cell>
          <cell r="L58">
            <v>0</v>
          </cell>
          <cell r="N58">
            <v>0</v>
          </cell>
          <cell r="P58">
            <v>0</v>
          </cell>
          <cell r="R58">
            <v>0</v>
          </cell>
          <cell r="T58">
            <v>0</v>
          </cell>
          <cell r="V58">
            <v>0</v>
          </cell>
          <cell r="X58">
            <v>0</v>
          </cell>
          <cell r="Z58">
            <v>0</v>
          </cell>
          <cell r="AB58">
            <v>0</v>
          </cell>
        </row>
        <row r="59">
          <cell r="B59">
            <v>39</v>
          </cell>
          <cell r="D59">
            <v>0</v>
          </cell>
          <cell r="F59">
            <v>0</v>
          </cell>
          <cell r="H59">
            <v>0</v>
          </cell>
          <cell r="J59">
            <v>0</v>
          </cell>
          <cell r="L59">
            <v>0</v>
          </cell>
          <cell r="N59">
            <v>0</v>
          </cell>
          <cell r="P59">
            <v>0</v>
          </cell>
          <cell r="R59">
            <v>0</v>
          </cell>
          <cell r="T59">
            <v>0</v>
          </cell>
          <cell r="V59">
            <v>0</v>
          </cell>
          <cell r="X59">
            <v>0</v>
          </cell>
          <cell r="Z59">
            <v>0</v>
          </cell>
          <cell r="AB59">
            <v>0</v>
          </cell>
        </row>
        <row r="60">
          <cell r="B60">
            <v>40</v>
          </cell>
          <cell r="D60">
            <v>0</v>
          </cell>
          <cell r="F60">
            <v>0</v>
          </cell>
          <cell r="H60">
            <v>0</v>
          </cell>
          <cell r="J60">
            <v>0</v>
          </cell>
          <cell r="L60">
            <v>0</v>
          </cell>
          <cell r="N60">
            <v>0</v>
          </cell>
          <cell r="P60">
            <v>0</v>
          </cell>
          <cell r="R60">
            <v>0</v>
          </cell>
          <cell r="T60">
            <v>0</v>
          </cell>
          <cell r="V60">
            <v>0</v>
          </cell>
          <cell r="X60">
            <v>0</v>
          </cell>
          <cell r="Z60">
            <v>0</v>
          </cell>
          <cell r="AB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D63">
            <v>0</v>
          </cell>
          <cell r="F63">
            <v>0</v>
          </cell>
          <cell r="H63">
            <v>0</v>
          </cell>
          <cell r="J63">
            <v>0</v>
          </cell>
          <cell r="L63">
            <v>0</v>
          </cell>
          <cell r="N63">
            <v>0</v>
          </cell>
          <cell r="P63">
            <v>0</v>
          </cell>
          <cell r="R63">
            <v>0</v>
          </cell>
          <cell r="T63">
            <v>0</v>
          </cell>
          <cell r="V63">
            <v>0</v>
          </cell>
          <cell r="X63">
            <v>0</v>
          </cell>
          <cell r="Z63">
            <v>0</v>
          </cell>
          <cell r="AB63">
            <v>0</v>
          </cell>
          <cell r="AD63">
            <v>0</v>
          </cell>
          <cell r="AF63">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M1">
            <v>0</v>
          </cell>
        </row>
        <row r="90">
          <cell r="C90">
            <v>0</v>
          </cell>
          <cell r="D90">
            <v>0</v>
          </cell>
          <cell r="E90">
            <v>0</v>
          </cell>
          <cell r="F90">
            <v>0</v>
          </cell>
          <cell r="G90">
            <v>0</v>
          </cell>
          <cell r="H90">
            <v>0</v>
          </cell>
          <cell r="I90">
            <v>0</v>
          </cell>
          <cell r="J90">
            <v>670.64400000000012</v>
          </cell>
          <cell r="K90">
            <v>1041.2649999999999</v>
          </cell>
          <cell r="L90">
            <v>1401</v>
          </cell>
          <cell r="M90">
            <v>1722</v>
          </cell>
          <cell r="N90">
            <v>2167</v>
          </cell>
          <cell r="O90">
            <v>3379</v>
          </cell>
          <cell r="P90">
            <v>5314</v>
          </cell>
          <cell r="Q90">
            <v>7117</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C"/>
      <sheetName val="CashFlow"/>
      <sheetName val="BalanceSheet"/>
      <sheetName val="E&amp;P"/>
      <sheetName val="Upstream Profile"/>
      <sheetName val="Sheet2"/>
      <sheetName val="E&amp;P_Quarters"/>
      <sheetName val="Consolidated"/>
      <sheetName val="Historical"/>
      <sheetName val="iQ_US_CoreIndustrials"/>
      <sheetName val="iQ_Measure_Validations_Errors"/>
      <sheetName val="Production Drivers"/>
      <sheetName val="HOVENSA"/>
      <sheetName val="R&amp;M"/>
      <sheetName val="E_P"/>
    </sheetNames>
    <sheetDataSet>
      <sheetData sheetId="0" refreshError="1">
        <row r="1">
          <cell r="A1" t="str">
            <v>AMERADA HESS</v>
          </cell>
        </row>
        <row r="2">
          <cell r="A2" t="str">
            <v>Segment Earnings (After Tax)</v>
          </cell>
        </row>
        <row r="3">
          <cell r="A3" t="str">
            <v>(dollars in millions)</v>
          </cell>
        </row>
        <row r="4">
          <cell r="B4">
            <v>1994</v>
          </cell>
          <cell r="G4">
            <v>1995</v>
          </cell>
          <cell r="L4">
            <v>1996</v>
          </cell>
          <cell r="N4">
            <v>1996</v>
          </cell>
          <cell r="Q4">
            <v>1997</v>
          </cell>
          <cell r="S4">
            <v>1997</v>
          </cell>
          <cell r="V4">
            <v>1998</v>
          </cell>
          <cell r="X4">
            <v>1998</v>
          </cell>
        </row>
        <row r="5">
          <cell r="B5" t="str">
            <v xml:space="preserve">1 Q </v>
          </cell>
          <cell r="C5" t="str">
            <v xml:space="preserve">2 Q </v>
          </cell>
          <cell r="D5" t="str">
            <v xml:space="preserve">3 Q </v>
          </cell>
          <cell r="E5" t="str">
            <v xml:space="preserve">4 Q </v>
          </cell>
          <cell r="F5">
            <v>1994</v>
          </cell>
          <cell r="G5" t="str">
            <v>1Q</v>
          </cell>
          <cell r="H5" t="str">
            <v>2Q</v>
          </cell>
          <cell r="I5" t="str">
            <v>3Q</v>
          </cell>
          <cell r="J5" t="str">
            <v>4Q</v>
          </cell>
          <cell r="K5">
            <v>1995</v>
          </cell>
          <cell r="L5" t="str">
            <v xml:space="preserve">1Q </v>
          </cell>
          <cell r="M5" t="str">
            <v xml:space="preserve">2Q </v>
          </cell>
          <cell r="N5" t="str">
            <v xml:space="preserve">3Q </v>
          </cell>
          <cell r="O5" t="str">
            <v>4Q</v>
          </cell>
          <cell r="P5">
            <v>1996</v>
          </cell>
          <cell r="Q5" t="str">
            <v xml:space="preserve">1Q </v>
          </cell>
          <cell r="R5" t="str">
            <v xml:space="preserve">2Q </v>
          </cell>
          <cell r="S5" t="str">
            <v xml:space="preserve">3Q </v>
          </cell>
          <cell r="T5" t="str">
            <v xml:space="preserve">4Q </v>
          </cell>
          <cell r="U5">
            <v>1997</v>
          </cell>
          <cell r="V5" t="str">
            <v xml:space="preserve">1Q </v>
          </cell>
          <cell r="W5" t="str">
            <v xml:space="preserve">2Q </v>
          </cell>
          <cell r="X5" t="str">
            <v xml:space="preserve">3Q </v>
          </cell>
          <cell r="Y5" t="str">
            <v xml:space="preserve">4Q </v>
          </cell>
          <cell r="Z5">
            <v>1998</v>
          </cell>
        </row>
        <row r="7">
          <cell r="A7" t="str">
            <v>Exploration &amp; Production</v>
          </cell>
          <cell r="B7">
            <v>43.8</v>
          </cell>
          <cell r="C7">
            <v>22.8</v>
          </cell>
          <cell r="D7">
            <v>23.7</v>
          </cell>
          <cell r="E7">
            <v>25.3</v>
          </cell>
          <cell r="F7">
            <v>115.6</v>
          </cell>
          <cell r="G7">
            <v>47.3</v>
          </cell>
          <cell r="H7">
            <v>9.9</v>
          </cell>
          <cell r="I7">
            <v>10</v>
          </cell>
          <cell r="J7">
            <v>52</v>
          </cell>
          <cell r="K7">
            <v>119.19999999999999</v>
          </cell>
          <cell r="L7">
            <v>68</v>
          </cell>
          <cell r="M7">
            <v>31</v>
          </cell>
          <cell r="N7">
            <v>21.6</v>
          </cell>
          <cell r="O7">
            <v>89.3</v>
          </cell>
          <cell r="P7">
            <v>209.89999999999998</v>
          </cell>
          <cell r="Q7">
            <v>96.6</v>
          </cell>
          <cell r="R7">
            <v>64.5</v>
          </cell>
          <cell r="S7">
            <v>18</v>
          </cell>
          <cell r="T7">
            <v>67.400000000000006</v>
          </cell>
          <cell r="U7">
            <v>246.5</v>
          </cell>
          <cell r="V7">
            <v>8.1999999999999993</v>
          </cell>
          <cell r="W7">
            <v>-5.8</v>
          </cell>
          <cell r="X7">
            <v>6</v>
          </cell>
          <cell r="Y7">
            <v>-25.3</v>
          </cell>
          <cell r="Z7">
            <v>-16.900000000000002</v>
          </cell>
        </row>
        <row r="9">
          <cell r="A9" t="str">
            <v>Refining &amp; Marketing</v>
          </cell>
          <cell r="B9">
            <v>76.2</v>
          </cell>
          <cell r="C9">
            <v>8.1</v>
          </cell>
          <cell r="D9">
            <v>-14.3</v>
          </cell>
          <cell r="E9">
            <v>24.6</v>
          </cell>
          <cell r="F9">
            <v>94.6</v>
          </cell>
          <cell r="G9">
            <v>-14.8</v>
          </cell>
          <cell r="H9">
            <v>3</v>
          </cell>
          <cell r="I9">
            <v>-36.799999999999997</v>
          </cell>
          <cell r="J9">
            <v>32</v>
          </cell>
          <cell r="K9">
            <v>-16.599999999999994</v>
          </cell>
          <cell r="L9">
            <v>44</v>
          </cell>
          <cell r="M9">
            <v>35</v>
          </cell>
          <cell r="N9">
            <v>37.1</v>
          </cell>
          <cell r="O9">
            <v>64.599999999999994</v>
          </cell>
          <cell r="P9">
            <v>180.7</v>
          </cell>
          <cell r="Q9">
            <v>-56</v>
          </cell>
          <cell r="R9">
            <v>2.8</v>
          </cell>
          <cell r="S9">
            <v>32.200000000000003</v>
          </cell>
          <cell r="T9">
            <v>-88.9</v>
          </cell>
          <cell r="U9">
            <v>-109.9</v>
          </cell>
          <cell r="V9">
            <v>-33.5</v>
          </cell>
          <cell r="W9">
            <v>18.100000000000001</v>
          </cell>
          <cell r="X9">
            <v>33</v>
          </cell>
          <cell r="Y9">
            <v>-19</v>
          </cell>
          <cell r="Z9">
            <v>-1.3999999999999986</v>
          </cell>
        </row>
        <row r="11">
          <cell r="A11" t="str">
            <v>Corporate</v>
          </cell>
          <cell r="B11">
            <v>-36.299999999999997</v>
          </cell>
          <cell r="C11">
            <v>-47.6</v>
          </cell>
          <cell r="D11">
            <v>-52.5</v>
          </cell>
          <cell r="E11">
            <v>-41.2</v>
          </cell>
          <cell r="F11">
            <v>-177.60000000000002</v>
          </cell>
          <cell r="G11">
            <v>-51.2</v>
          </cell>
          <cell r="H11">
            <v>-53.1</v>
          </cell>
          <cell r="I11">
            <v>-51.9</v>
          </cell>
          <cell r="J11">
            <v>-34.5</v>
          </cell>
          <cell r="K11">
            <v>-190.70000000000002</v>
          </cell>
          <cell r="L11">
            <v>-46</v>
          </cell>
          <cell r="M11">
            <v>-40</v>
          </cell>
          <cell r="N11">
            <v>-32</v>
          </cell>
          <cell r="O11">
            <v>-37.299999999999997</v>
          </cell>
          <cell r="P11">
            <v>-155.30000000000001</v>
          </cell>
          <cell r="Q11">
            <v>-35.5</v>
          </cell>
          <cell r="R11">
            <v>-36.299999999999997</v>
          </cell>
          <cell r="S11">
            <v>-39</v>
          </cell>
          <cell r="T11">
            <v>-23.1</v>
          </cell>
          <cell r="U11">
            <v>-133.9</v>
          </cell>
          <cell r="V11">
            <v>-43.5</v>
          </cell>
          <cell r="W11">
            <v>-34</v>
          </cell>
          <cell r="X11">
            <v>-45</v>
          </cell>
          <cell r="Y11">
            <v>-37.299999999999997</v>
          </cell>
          <cell r="Z11">
            <v>-159.80000000000001</v>
          </cell>
        </row>
        <row r="13">
          <cell r="A13" t="str">
            <v>AT Interest Expense</v>
          </cell>
          <cell r="Z13">
            <v>-99.45</v>
          </cell>
        </row>
        <row r="14">
          <cell r="B14" t="str">
            <v>======</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row>
        <row r="15">
          <cell r="A15" t="str">
            <v>Income available to common</v>
          </cell>
          <cell r="B15">
            <v>83.7</v>
          </cell>
          <cell r="C15">
            <v>-16.700000000000003</v>
          </cell>
          <cell r="D15">
            <v>-43.1</v>
          </cell>
          <cell r="E15">
            <v>8.7000000000000028</v>
          </cell>
          <cell r="F15">
            <v>32.599999999999966</v>
          </cell>
          <cell r="G15">
            <v>-18.700000000000003</v>
          </cell>
          <cell r="H15">
            <v>-40.200000000000003</v>
          </cell>
          <cell r="I15">
            <v>-78.699999999999989</v>
          </cell>
          <cell r="J15">
            <v>49.5</v>
          </cell>
          <cell r="K15">
            <v>-88.100000000000023</v>
          </cell>
          <cell r="L15">
            <v>66</v>
          </cell>
          <cell r="M15">
            <v>26</v>
          </cell>
          <cell r="N15">
            <v>26.700000000000003</v>
          </cell>
          <cell r="O15">
            <v>116.59999999999998</v>
          </cell>
          <cell r="P15">
            <v>235.29999999999995</v>
          </cell>
          <cell r="Q15">
            <v>5.0999999999999943</v>
          </cell>
          <cell r="R15">
            <v>31</v>
          </cell>
          <cell r="S15">
            <v>11.200000000000003</v>
          </cell>
          <cell r="T15">
            <v>-44.6</v>
          </cell>
          <cell r="U15">
            <v>2.6999999999999886</v>
          </cell>
          <cell r="V15">
            <v>-68.8</v>
          </cell>
          <cell r="W15">
            <v>-21.7</v>
          </cell>
          <cell r="X15">
            <v>-6</v>
          </cell>
          <cell r="Y15">
            <v>-81.599999999999994</v>
          </cell>
          <cell r="Z15">
            <v>-277.55</v>
          </cell>
        </row>
        <row r="16">
          <cell r="A16" t="str">
            <v xml:space="preserve">Recurring EPS </v>
          </cell>
          <cell r="B16">
            <v>0.9</v>
          </cell>
          <cell r="C16">
            <v>-0.1795698924731183</v>
          </cell>
          <cell r="D16">
            <v>-0.46344086021505376</v>
          </cell>
          <cell r="E16">
            <v>9.3548387096774224E-2</v>
          </cell>
          <cell r="F16">
            <v>0.35053763440860181</v>
          </cell>
          <cell r="G16">
            <v>-0.20107526881720433</v>
          </cell>
          <cell r="H16">
            <v>-0.43225806451612908</v>
          </cell>
          <cell r="I16">
            <v>-0.84623655913978479</v>
          </cell>
          <cell r="J16">
            <v>0.532258064516129</v>
          </cell>
          <cell r="K16">
            <v>-0.94731182795698954</v>
          </cell>
          <cell r="L16">
            <v>0.70967741935483875</v>
          </cell>
          <cell r="M16">
            <v>0.27956989247311825</v>
          </cell>
          <cell r="N16">
            <v>0.2870967741935484</v>
          </cell>
          <cell r="O16">
            <v>1.2510729613733904</v>
          </cell>
          <cell r="P16">
            <v>2.5287479849543253</v>
          </cell>
          <cell r="Q16">
            <v>5.4838709677419294E-2</v>
          </cell>
          <cell r="R16">
            <v>0.33586132177681477</v>
          </cell>
          <cell r="S16">
            <v>0.12134344528710729</v>
          </cell>
          <cell r="T16">
            <v>-0.48320693391115932</v>
          </cell>
          <cell r="U16">
            <v>2.9197080291970677E-2</v>
          </cell>
          <cell r="V16">
            <v>-0.7635960044395117</v>
          </cell>
          <cell r="W16">
            <v>-0.24137931034482757</v>
          </cell>
          <cell r="X16">
            <v>-6.7189249720044794E-2</v>
          </cell>
          <cell r="Y16">
            <v>-0.91582491582491588</v>
          </cell>
          <cell r="Z16">
            <v>-3.0976562500000004</v>
          </cell>
        </row>
        <row r="17">
          <cell r="A17" t="str">
            <v>Special Items</v>
          </cell>
          <cell r="B17">
            <v>0</v>
          </cell>
          <cell r="C17">
            <v>0</v>
          </cell>
          <cell r="D17">
            <v>41.2</v>
          </cell>
          <cell r="E17">
            <v>0</v>
          </cell>
          <cell r="F17">
            <v>41</v>
          </cell>
          <cell r="G17">
            <v>43.9</v>
          </cell>
          <cell r="H17">
            <v>0</v>
          </cell>
          <cell r="I17">
            <v>-25.9</v>
          </cell>
          <cell r="J17">
            <v>-324</v>
          </cell>
          <cell r="K17">
            <v>-306</v>
          </cell>
          <cell r="M17">
            <v>350</v>
          </cell>
          <cell r="N17">
            <v>71.099999999999994</v>
          </cell>
          <cell r="O17">
            <v>3.2</v>
          </cell>
          <cell r="P17">
            <v>424.3</v>
          </cell>
          <cell r="R17">
            <v>10.7</v>
          </cell>
          <cell r="T17">
            <v>-16.8</v>
          </cell>
          <cell r="U17">
            <v>-6.1000000000000014</v>
          </cell>
          <cell r="V17">
            <v>56.2</v>
          </cell>
          <cell r="Y17">
            <v>-336</v>
          </cell>
          <cell r="Z17">
            <v>-181</v>
          </cell>
        </row>
        <row r="18">
          <cell r="A18" t="str">
            <v>Special Items</v>
          </cell>
          <cell r="B18">
            <v>0</v>
          </cell>
          <cell r="C18">
            <v>0</v>
          </cell>
          <cell r="D18">
            <v>41.2</v>
          </cell>
          <cell r="E18">
            <v>0</v>
          </cell>
          <cell r="F18">
            <v>41</v>
          </cell>
          <cell r="G18">
            <v>43.9</v>
          </cell>
          <cell r="H18">
            <v>0</v>
          </cell>
          <cell r="I18">
            <v>-25.9</v>
          </cell>
          <cell r="J18">
            <v>-324</v>
          </cell>
          <cell r="K18">
            <v>-306</v>
          </cell>
          <cell r="L18">
            <v>66</v>
          </cell>
          <cell r="M18">
            <v>350</v>
          </cell>
          <cell r="N18">
            <v>71.099999999999994</v>
          </cell>
          <cell r="O18">
            <v>3.2</v>
          </cell>
          <cell r="P18">
            <v>424.3</v>
          </cell>
          <cell r="Q18">
            <v>5.0999999999999943</v>
          </cell>
          <cell r="R18">
            <v>10.7</v>
          </cell>
          <cell r="S18">
            <v>11.200000000000003</v>
          </cell>
          <cell r="T18">
            <v>-16.8</v>
          </cell>
          <cell r="U18">
            <v>-6.1000000000000014</v>
          </cell>
          <cell r="V18">
            <v>56.2</v>
          </cell>
          <cell r="W18">
            <v>-21.7</v>
          </cell>
          <cell r="X18">
            <v>-6</v>
          </cell>
          <cell r="Y18">
            <v>-336</v>
          </cell>
          <cell r="Z18">
            <v>-181</v>
          </cell>
        </row>
        <row r="19">
          <cell r="A19" t="str">
            <v>GAAP Net Income before extra-ordinary items</v>
          </cell>
          <cell r="B19">
            <v>83.7</v>
          </cell>
          <cell r="C19">
            <v>-16.700000000000003</v>
          </cell>
          <cell r="D19">
            <v>-1.8999999999999986</v>
          </cell>
          <cell r="E19">
            <v>8.7000000000000028</v>
          </cell>
          <cell r="F19">
            <v>73.599999999999966</v>
          </cell>
          <cell r="G19">
            <v>25.199999999999996</v>
          </cell>
          <cell r="H19">
            <v>-40.200000000000003</v>
          </cell>
          <cell r="I19">
            <v>-104.6</v>
          </cell>
          <cell r="J19">
            <v>-274.5</v>
          </cell>
          <cell r="K19">
            <v>-394.1</v>
          </cell>
          <cell r="L19">
            <v>66</v>
          </cell>
          <cell r="M19">
            <v>376</v>
          </cell>
          <cell r="N19">
            <v>97.8</v>
          </cell>
          <cell r="O19">
            <v>119.79999999999998</v>
          </cell>
          <cell r="P19">
            <v>659.59999999999991</v>
          </cell>
          <cell r="Q19">
            <v>5.0999999999999943</v>
          </cell>
          <cell r="R19">
            <v>41.7</v>
          </cell>
          <cell r="S19">
            <v>11.200000000000003</v>
          </cell>
          <cell r="T19">
            <v>-61.400000000000006</v>
          </cell>
          <cell r="U19">
            <v>-3.4000000000000128</v>
          </cell>
          <cell r="V19">
            <v>-12.599999999999994</v>
          </cell>
          <cell r="W19">
            <v>-21.7</v>
          </cell>
          <cell r="X19">
            <v>-6</v>
          </cell>
          <cell r="Y19">
            <v>-417.6</v>
          </cell>
          <cell r="Z19">
            <v>-458.55</v>
          </cell>
        </row>
        <row r="20">
          <cell r="A20" t="str">
            <v>GAAP EPS</v>
          </cell>
          <cell r="B20">
            <v>0.9</v>
          </cell>
          <cell r="C20">
            <v>-0.1795698924731183</v>
          </cell>
          <cell r="D20">
            <v>-2.0430107526881704E-2</v>
          </cell>
          <cell r="E20">
            <v>9.3548387096774224E-2</v>
          </cell>
          <cell r="F20">
            <v>0.79139784946236524</v>
          </cell>
          <cell r="G20">
            <v>0.27096774193548384</v>
          </cell>
          <cell r="H20">
            <v>-0.43225806451612908</v>
          </cell>
          <cell r="I20">
            <v>-1.1247311827956989</v>
          </cell>
          <cell r="J20">
            <v>-2.9516129032258065</v>
          </cell>
          <cell r="K20">
            <v>-4.2376344086021511</v>
          </cell>
          <cell r="L20">
            <v>0.70967741935483875</v>
          </cell>
          <cell r="M20">
            <v>4.043010752688172</v>
          </cell>
          <cell r="N20">
            <v>1.0516129032258064</v>
          </cell>
          <cell r="O20">
            <v>1.2854077253218883</v>
          </cell>
          <cell r="P20">
            <v>7.0886620096722188</v>
          </cell>
          <cell r="Q20">
            <v>5.4838709677419294E-2</v>
          </cell>
          <cell r="R20">
            <v>0.45178764897074758</v>
          </cell>
          <cell r="S20">
            <v>0.12134344528710729</v>
          </cell>
          <cell r="T20">
            <v>-0.66522210184182018</v>
          </cell>
          <cell r="U20">
            <v>-3.6766693701000407E-2</v>
          </cell>
          <cell r="V20">
            <v>-0.13984461709211982</v>
          </cell>
          <cell r="W20">
            <v>-0.24137931034482757</v>
          </cell>
          <cell r="X20">
            <v>-6.7189249720044794E-2</v>
          </cell>
          <cell r="Y20">
            <v>-4.6868686868686877</v>
          </cell>
          <cell r="Z20">
            <v>-5.1177455357142865</v>
          </cell>
        </row>
        <row r="21">
          <cell r="A21" t="str">
            <v>Income/(loss) from discontinued ops. (excluded from above)</v>
          </cell>
        </row>
        <row r="22">
          <cell r="A22" t="str">
            <v>Gain/(loss) on sale of discontinued operations</v>
          </cell>
        </row>
        <row r="23">
          <cell r="A23" t="str">
            <v>Extraordinary item</v>
          </cell>
          <cell r="Z23">
            <v>-458.55</v>
          </cell>
        </row>
        <row r="24">
          <cell r="A24" t="str">
            <v>Reported Net Income</v>
          </cell>
          <cell r="B24">
            <v>93</v>
          </cell>
          <cell r="C24">
            <v>93</v>
          </cell>
          <cell r="D24">
            <v>93</v>
          </cell>
          <cell r="E24">
            <v>93</v>
          </cell>
          <cell r="F24">
            <v>93</v>
          </cell>
          <cell r="G24">
            <v>93</v>
          </cell>
          <cell r="H24">
            <v>93</v>
          </cell>
          <cell r="I24">
            <v>93</v>
          </cell>
          <cell r="J24">
            <v>93</v>
          </cell>
          <cell r="K24">
            <v>93</v>
          </cell>
          <cell r="L24">
            <v>93</v>
          </cell>
          <cell r="M24">
            <v>93</v>
          </cell>
          <cell r="N24">
            <v>93</v>
          </cell>
          <cell r="O24">
            <v>93.2</v>
          </cell>
          <cell r="P24">
            <v>93.05</v>
          </cell>
          <cell r="Q24">
            <v>93</v>
          </cell>
          <cell r="R24">
            <v>92.3</v>
          </cell>
          <cell r="S24">
            <v>92.3</v>
          </cell>
          <cell r="T24">
            <v>92.3</v>
          </cell>
          <cell r="U24">
            <v>92.475000000000009</v>
          </cell>
          <cell r="V24">
            <v>90.1</v>
          </cell>
          <cell r="W24">
            <v>89.9</v>
          </cell>
          <cell r="X24">
            <v>89.3</v>
          </cell>
          <cell r="Y24">
            <v>89.1</v>
          </cell>
          <cell r="Z24">
            <v>-458.55</v>
          </cell>
        </row>
        <row r="25">
          <cell r="A25" t="str">
            <v>Average Shares Outstanding (millions)</v>
          </cell>
          <cell r="B25">
            <v>93</v>
          </cell>
          <cell r="C25">
            <v>93</v>
          </cell>
          <cell r="D25">
            <v>93</v>
          </cell>
          <cell r="E25">
            <v>93</v>
          </cell>
          <cell r="F25">
            <v>93</v>
          </cell>
          <cell r="G25">
            <v>93</v>
          </cell>
          <cell r="H25">
            <v>93</v>
          </cell>
          <cell r="I25">
            <v>93</v>
          </cell>
          <cell r="J25">
            <v>93</v>
          </cell>
          <cell r="K25">
            <v>93</v>
          </cell>
          <cell r="L25">
            <v>93</v>
          </cell>
          <cell r="M25">
            <v>93</v>
          </cell>
          <cell r="N25">
            <v>93</v>
          </cell>
          <cell r="O25">
            <v>93.2</v>
          </cell>
          <cell r="P25">
            <v>93.05</v>
          </cell>
          <cell r="Q25">
            <v>93</v>
          </cell>
          <cell r="R25">
            <v>92.3</v>
          </cell>
          <cell r="S25">
            <v>92.3</v>
          </cell>
          <cell r="T25">
            <v>92.3</v>
          </cell>
          <cell r="U25">
            <v>92.475000000000009</v>
          </cell>
          <cell r="V25">
            <v>90.1</v>
          </cell>
          <cell r="W25">
            <v>89.9</v>
          </cell>
          <cell r="X25">
            <v>89.3</v>
          </cell>
          <cell r="Y25">
            <v>89.1</v>
          </cell>
          <cell r="Z25">
            <v>89.6</v>
          </cell>
        </row>
        <row r="26">
          <cell r="A26">
            <v>38741</v>
          </cell>
        </row>
        <row r="27">
          <cell r="A27">
            <v>38268</v>
          </cell>
        </row>
      </sheetData>
      <sheetData sheetId="1" refreshError="1"/>
      <sheetData sheetId="2" refreshError="1">
        <row r="75">
          <cell r="A75" t="str">
            <v>Capital Expenditures</v>
          </cell>
          <cell r="E75">
            <v>1461</v>
          </cell>
          <cell r="F75">
            <v>1712</v>
          </cell>
          <cell r="G75">
            <v>1558</v>
          </cell>
          <cell r="H75">
            <v>1348</v>
          </cell>
          <cell r="I75">
            <v>596</v>
          </cell>
          <cell r="J75">
            <v>692</v>
          </cell>
          <cell r="K75">
            <v>861.3</v>
          </cell>
          <cell r="L75">
            <v>1351</v>
          </cell>
          <cell r="M75">
            <v>1441.9380000000001</v>
          </cell>
          <cell r="N75">
            <v>797</v>
          </cell>
          <cell r="O75">
            <v>1010</v>
          </cell>
          <cell r="P75">
            <v>1581</v>
          </cell>
          <cell r="Q75">
            <v>1534</v>
          </cell>
          <cell r="R75">
            <v>1358</v>
          </cell>
          <cell r="S75">
            <v>1500</v>
          </cell>
          <cell r="T75">
            <v>1500</v>
          </cell>
          <cell r="U75">
            <v>1500</v>
          </cell>
          <cell r="V75">
            <v>1500</v>
          </cell>
          <cell r="W75">
            <v>1500</v>
          </cell>
        </row>
        <row r="76">
          <cell r="B76" t="str">
            <v>Exploration and production</v>
          </cell>
          <cell r="E76">
            <v>1265</v>
          </cell>
          <cell r="F76">
            <v>1293</v>
          </cell>
          <cell r="G76">
            <v>916</v>
          </cell>
          <cell r="H76">
            <v>755</v>
          </cell>
          <cell r="I76">
            <v>531</v>
          </cell>
          <cell r="J76">
            <v>626</v>
          </cell>
          <cell r="K76">
            <v>788.3</v>
          </cell>
          <cell r="L76">
            <v>1158</v>
          </cell>
          <cell r="M76">
            <v>1307</v>
          </cell>
          <cell r="N76">
            <v>727</v>
          </cell>
          <cell r="O76">
            <v>868</v>
          </cell>
          <cell r="P76">
            <v>1421</v>
          </cell>
          <cell r="Q76">
            <v>1404</v>
          </cell>
          <cell r="R76">
            <v>1286</v>
          </cell>
          <cell r="S76">
            <v>1400</v>
          </cell>
          <cell r="T76">
            <v>1400</v>
          </cell>
          <cell r="U76">
            <v>1400</v>
          </cell>
          <cell r="V76">
            <v>1400</v>
          </cell>
          <cell r="W76">
            <v>1400</v>
          </cell>
        </row>
        <row r="79">
          <cell r="B79" t="str">
            <v>Refining and Marketing</v>
          </cell>
          <cell r="E79">
            <v>182</v>
          </cell>
          <cell r="F79">
            <v>410</v>
          </cell>
          <cell r="G79">
            <v>639</v>
          </cell>
          <cell r="H79">
            <v>591</v>
          </cell>
          <cell r="I79">
            <v>62</v>
          </cell>
          <cell r="J79">
            <v>63</v>
          </cell>
          <cell r="K79">
            <v>68</v>
          </cell>
          <cell r="L79">
            <v>188</v>
          </cell>
          <cell r="M79">
            <v>132</v>
          </cell>
          <cell r="N79">
            <v>70</v>
          </cell>
          <cell r="O79">
            <v>142</v>
          </cell>
          <cell r="P79">
            <v>160</v>
          </cell>
          <cell r="Q79">
            <v>130</v>
          </cell>
          <cell r="R79">
            <v>66</v>
          </cell>
          <cell r="S79">
            <v>100</v>
          </cell>
          <cell r="T79">
            <v>100</v>
          </cell>
          <cell r="U79">
            <v>100</v>
          </cell>
          <cell r="V79">
            <v>100</v>
          </cell>
          <cell r="W79">
            <v>100</v>
          </cell>
        </row>
        <row r="82">
          <cell r="B82" t="str">
            <v>Chemicals</v>
          </cell>
          <cell r="E82">
            <v>0</v>
          </cell>
          <cell r="F82">
            <v>0</v>
          </cell>
          <cell r="G82">
            <v>0</v>
          </cell>
          <cell r="H82">
            <v>0</v>
          </cell>
          <cell r="I82">
            <v>0</v>
          </cell>
          <cell r="J82">
            <v>0</v>
          </cell>
          <cell r="K82">
            <v>0</v>
          </cell>
          <cell r="L82">
            <v>0</v>
          </cell>
          <cell r="M82">
            <v>0</v>
          </cell>
          <cell r="N82">
            <v>0</v>
          </cell>
          <cell r="O82">
            <v>0</v>
          </cell>
        </row>
        <row r="85">
          <cell r="B85" t="str">
            <v>Other</v>
          </cell>
          <cell r="E85">
            <v>14</v>
          </cell>
          <cell r="F85">
            <v>9</v>
          </cell>
          <cell r="G85">
            <v>3</v>
          </cell>
          <cell r="H85">
            <v>2</v>
          </cell>
          <cell r="I85">
            <v>3</v>
          </cell>
          <cell r="J85">
            <v>3</v>
          </cell>
          <cell r="K85">
            <v>5</v>
          </cell>
          <cell r="L85">
            <v>5</v>
          </cell>
          <cell r="M85">
            <v>2.9380000000000002</v>
          </cell>
          <cell r="N85">
            <v>0</v>
          </cell>
          <cell r="O85">
            <v>0</v>
          </cell>
          <cell r="R85">
            <v>6</v>
          </cell>
        </row>
      </sheetData>
      <sheetData sheetId="3" refreshError="1">
        <row r="4">
          <cell r="P4">
            <v>49.5</v>
          </cell>
        </row>
        <row r="5">
          <cell r="P5">
            <v>156.76000000000002</v>
          </cell>
        </row>
        <row r="6">
          <cell r="P6">
            <v>75.626666666666665</v>
          </cell>
        </row>
        <row r="24">
          <cell r="P24">
            <v>243.45</v>
          </cell>
        </row>
        <row r="25">
          <cell r="P25">
            <v>578.35</v>
          </cell>
        </row>
        <row r="26">
          <cell r="P26">
            <v>339.84166666666664</v>
          </cell>
        </row>
        <row r="224">
          <cell r="P224">
            <v>-209.26388359062321</v>
          </cell>
        </row>
        <row r="230">
          <cell r="P230">
            <v>173.08615748060186</v>
          </cell>
        </row>
        <row r="235">
          <cell r="P235">
            <v>5.7200533377194018</v>
          </cell>
        </row>
        <row r="237">
          <cell r="P237">
            <v>2.3547539463261011</v>
          </cell>
        </row>
        <row r="331">
          <cell r="P331">
            <v>6.300231976720239</v>
          </cell>
        </row>
        <row r="333">
          <cell r="P333">
            <v>1.068038456642953</v>
          </cell>
        </row>
        <row r="358">
          <cell r="P358">
            <v>-939.93731090801305</v>
          </cell>
        </row>
        <row r="364">
          <cell r="P364">
            <v>792.82196715614464</v>
          </cell>
        </row>
        <row r="369">
          <cell r="P369">
            <v>6.1711219209427846</v>
          </cell>
        </row>
        <row r="371">
          <cell r="P371">
            <v>1.3543776933456455</v>
          </cell>
        </row>
        <row r="378">
          <cell r="J378">
            <v>-0.17232778168047297</v>
          </cell>
          <cell r="K378">
            <v>3.1793375312274179</v>
          </cell>
          <cell r="L378">
            <v>6.481886118998152</v>
          </cell>
          <cell r="M378">
            <v>5.5775701249426239</v>
          </cell>
          <cell r="N378">
            <v>4.2852800518764687</v>
          </cell>
          <cell r="O378">
            <v>2.9242248599931422</v>
          </cell>
          <cell r="P378">
            <v>6.3915499232779549</v>
          </cell>
          <cell r="Q378">
            <v>5.222162310082699</v>
          </cell>
          <cell r="R378">
            <v>5.9985344090672603</v>
          </cell>
          <cell r="S378">
            <v>6.0865266844187591</v>
          </cell>
          <cell r="T378">
            <v>6.165940113274857</v>
          </cell>
        </row>
        <row r="379">
          <cell r="J379">
            <v>6.4929026689741365</v>
          </cell>
          <cell r="K379">
            <v>8.6266510409013542</v>
          </cell>
          <cell r="L379">
            <v>12.582915652473249</v>
          </cell>
          <cell r="M379">
            <v>12.873259246470065</v>
          </cell>
          <cell r="N379">
            <v>13.179257518035179</v>
          </cell>
          <cell r="O379">
            <v>11.924665697911733</v>
          </cell>
          <cell r="P379">
            <v>15.799132443674175</v>
          </cell>
          <cell r="Q379">
            <v>14.544608023456462</v>
          </cell>
          <cell r="R379">
            <v>15.260996947644324</v>
          </cell>
          <cell r="S379">
            <v>15.290169529787848</v>
          </cell>
          <cell r="T379">
            <v>15.367621343131614</v>
          </cell>
        </row>
        <row r="393">
          <cell r="J393">
            <v>-5.296905492054642E-3</v>
          </cell>
          <cell r="K393">
            <v>0.11075102155840497</v>
          </cell>
          <cell r="L393">
            <v>0.2527488219334571</v>
          </cell>
          <cell r="M393">
            <v>0.16382189239332096</v>
          </cell>
          <cell r="N393">
            <v>0.10484122852680895</v>
          </cell>
          <cell r="O393">
            <v>6.6354999245965912E-2</v>
          </cell>
          <cell r="P393">
            <v>0.10983147808247258</v>
          </cell>
          <cell r="Q393">
            <v>8.6958417494516493E-2</v>
          </cell>
          <cell r="R393">
            <v>9.9648053892027799E-2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ly EPS"/>
      <sheetName val="Qtrly revs."/>
      <sheetName val="Annual EPS"/>
      <sheetName val="Annual revs."/>
      <sheetName val="CCC-LTM"/>
      <sheetName val="Summary VBA"/>
      <sheetName val="Valuation"/>
      <sheetName val="Forecasts_VDF"/>
      <sheetName val="Figures"/>
      <sheetName val="Figures 1"/>
      <sheetName val="CCC-LTM (Comp)"/>
      <sheetName val="SIAL History"/>
    </sheetNames>
    <sheetDataSet>
      <sheetData sheetId="0" refreshError="1">
        <row r="1">
          <cell r="A1" t="str">
            <v>Sigma-Aldrich Corporation</v>
          </cell>
        </row>
        <row r="2">
          <cell r="A2" t="str">
            <v>Historical and Projected Quarterly Statements of Income</v>
          </cell>
        </row>
        <row r="3">
          <cell r="A3" t="str">
            <v>$ in millions, except per share</v>
          </cell>
        </row>
        <row r="9">
          <cell r="A9" t="str">
            <v>Revenues</v>
          </cell>
        </row>
        <row r="10">
          <cell r="A10" t="str">
            <v>Cost of goods sold</v>
          </cell>
        </row>
        <row r="11">
          <cell r="A11" t="str">
            <v>Gross profit</v>
          </cell>
        </row>
        <row r="12">
          <cell r="A12" t="str">
            <v>Selling, general &amp; administrative</v>
          </cell>
        </row>
        <row r="13">
          <cell r="A13" t="str">
            <v>Research &amp; development</v>
          </cell>
        </row>
        <row r="14">
          <cell r="A14" t="str">
            <v>EBITDA</v>
          </cell>
        </row>
        <row r="15">
          <cell r="A15" t="str">
            <v>Depreciation &amp; amortization</v>
          </cell>
        </row>
        <row r="16">
          <cell r="A16" t="str">
            <v>EBIT</v>
          </cell>
        </row>
        <row r="17">
          <cell r="A17" t="str">
            <v>Interest expense</v>
          </cell>
        </row>
        <row r="18">
          <cell r="A18" t="str">
            <v>Pretax income</v>
          </cell>
        </row>
        <row r="19">
          <cell r="A19" t="str">
            <v>Tax expense</v>
          </cell>
        </row>
        <row r="20">
          <cell r="A20" t="str">
            <v>Net income from continuing operations</v>
          </cell>
        </row>
        <row r="21">
          <cell r="A21" t="str">
            <v>Loss from discontinued operations</v>
          </cell>
        </row>
        <row r="22">
          <cell r="A22" t="str">
            <v xml:space="preserve">Net income </v>
          </cell>
        </row>
        <row r="24">
          <cell r="A24" t="str">
            <v>Average common shares</v>
          </cell>
        </row>
        <row r="25">
          <cell r="A25" t="str">
            <v>Basic</v>
          </cell>
        </row>
        <row r="26">
          <cell r="A26" t="str">
            <v>Diluted</v>
          </cell>
        </row>
        <row r="28">
          <cell r="A28" t="str">
            <v>E.P.S., basic, from continuing operations</v>
          </cell>
        </row>
        <row r="29">
          <cell r="A29" t="str">
            <v>E.P.S., diluted, from continuing operations</v>
          </cell>
        </row>
        <row r="30">
          <cell r="A30" t="str">
            <v>E.P.S., loss from discontinued operations</v>
          </cell>
        </row>
        <row r="32">
          <cell r="A32" t="str">
            <v>Tax rate</v>
          </cell>
        </row>
        <row r="34">
          <cell r="A34" t="str">
            <v>Margin analysis</v>
          </cell>
        </row>
        <row r="35">
          <cell r="A35" t="str">
            <v>Revenues</v>
          </cell>
        </row>
        <row r="36">
          <cell r="A36" t="str">
            <v>Cost of goods sold</v>
          </cell>
        </row>
        <row r="37">
          <cell r="A37" t="str">
            <v>Gross profit</v>
          </cell>
        </row>
        <row r="38">
          <cell r="A38" t="str">
            <v>Selling, general &amp; administrative</v>
          </cell>
        </row>
        <row r="39">
          <cell r="A39" t="str">
            <v>Research &amp; development</v>
          </cell>
        </row>
        <row r="40">
          <cell r="A40" t="str">
            <v>EBITDA</v>
          </cell>
        </row>
        <row r="41">
          <cell r="A41" t="str">
            <v>Depreciation &amp; amortization</v>
          </cell>
        </row>
        <row r="42">
          <cell r="A42" t="str">
            <v>EBIT</v>
          </cell>
        </row>
        <row r="43">
          <cell r="A43" t="str">
            <v>Interest expense</v>
          </cell>
        </row>
        <row r="44">
          <cell r="A44" t="str">
            <v>Pretax income</v>
          </cell>
        </row>
        <row r="45">
          <cell r="A45" t="str">
            <v>Tax expense</v>
          </cell>
        </row>
        <row r="46">
          <cell r="A46" t="str">
            <v>Net income</v>
          </cell>
        </row>
        <row r="48">
          <cell r="A48" t="str">
            <v>Growth analysis</v>
          </cell>
        </row>
        <row r="49">
          <cell r="A49" t="str">
            <v>Revenues</v>
          </cell>
        </row>
        <row r="50">
          <cell r="A50" t="str">
            <v>Cost of goods sold</v>
          </cell>
        </row>
        <row r="51">
          <cell r="A51" t="str">
            <v>Gross profit</v>
          </cell>
        </row>
        <row r="52">
          <cell r="A52" t="str">
            <v>Selling, general &amp; administrative</v>
          </cell>
        </row>
        <row r="53">
          <cell r="A53" t="str">
            <v>EBITDA</v>
          </cell>
        </row>
        <row r="54">
          <cell r="A54" t="str">
            <v>Depreciation &amp; amortization</v>
          </cell>
        </row>
        <row r="55">
          <cell r="A55" t="str">
            <v>EBIT</v>
          </cell>
        </row>
        <row r="56">
          <cell r="A56" t="str">
            <v>Interest expense</v>
          </cell>
        </row>
        <row r="57">
          <cell r="A57" t="str">
            <v>Pretax income</v>
          </cell>
        </row>
        <row r="58">
          <cell r="A58" t="str">
            <v>Tax expense</v>
          </cell>
        </row>
        <row r="59">
          <cell r="A59" t="str">
            <v>Net income</v>
          </cell>
        </row>
        <row r="60">
          <cell r="A60" t="str">
            <v>E.P.S., diluted</v>
          </cell>
        </row>
        <row r="62">
          <cell r="A62" t="str">
            <v>Source: Company reports, Banc of America Securities LLC estimates.</v>
          </cell>
        </row>
      </sheetData>
      <sheetData sheetId="1" refreshError="1"/>
      <sheetData sheetId="2" refreshError="1">
        <row r="1">
          <cell r="A1" t="str">
            <v>Sigma-Aldrich Corporation</v>
          </cell>
        </row>
        <row r="2">
          <cell r="A2" t="str">
            <v>Historical and Projected Annual Statements of Income</v>
          </cell>
        </row>
        <row r="3">
          <cell r="A3" t="str">
            <v>$ in millions, except per share</v>
          </cell>
        </row>
        <row r="8">
          <cell r="A8" t="str">
            <v>Revenues</v>
          </cell>
        </row>
        <row r="9">
          <cell r="A9" t="str">
            <v>Cost of goods sold</v>
          </cell>
        </row>
        <row r="10">
          <cell r="A10" t="str">
            <v>Gross profit</v>
          </cell>
        </row>
        <row r="11">
          <cell r="A11" t="str">
            <v>Selling, general &amp; administrative</v>
          </cell>
        </row>
        <row r="12">
          <cell r="A12" t="str">
            <v>Research &amp; development</v>
          </cell>
        </row>
        <row r="13">
          <cell r="A13" t="str">
            <v>EBITDA</v>
          </cell>
        </row>
        <row r="14">
          <cell r="A14" t="str">
            <v>Depreciation &amp; amortization</v>
          </cell>
        </row>
        <row r="15">
          <cell r="A15" t="str">
            <v>EBIT</v>
          </cell>
        </row>
        <row r="16">
          <cell r="A16" t="str">
            <v>Interest expense</v>
          </cell>
        </row>
        <row r="17">
          <cell r="A17" t="str">
            <v>Pretax income</v>
          </cell>
        </row>
        <row r="18">
          <cell r="A18" t="str">
            <v>Tax expense</v>
          </cell>
        </row>
        <row r="19">
          <cell r="A19" t="str">
            <v>Net income from continuing operations</v>
          </cell>
        </row>
        <row r="20">
          <cell r="A20" t="str">
            <v>Loss from discontinued operations</v>
          </cell>
        </row>
        <row r="21">
          <cell r="A21" t="str">
            <v>Net income</v>
          </cell>
        </row>
        <row r="23">
          <cell r="A23" t="str">
            <v>Average common shares</v>
          </cell>
        </row>
        <row r="24">
          <cell r="A24" t="str">
            <v>Basic</v>
          </cell>
        </row>
        <row r="25">
          <cell r="A25" t="str">
            <v>Diluted</v>
          </cell>
        </row>
        <row r="27">
          <cell r="A27" t="str">
            <v>E.P.S., basic, from continuing operations</v>
          </cell>
        </row>
        <row r="28">
          <cell r="A28" t="str">
            <v>E.P.S., diluted, from continuing operations</v>
          </cell>
        </row>
        <row r="29">
          <cell r="A29" t="str">
            <v>E.P.S., loss from discontinued operations</v>
          </cell>
        </row>
        <row r="31">
          <cell r="A31" t="str">
            <v>Tax rate</v>
          </cell>
        </row>
        <row r="33">
          <cell r="A33" t="str">
            <v>Margin analysis</v>
          </cell>
        </row>
        <row r="34">
          <cell r="A34" t="str">
            <v>Revenues</v>
          </cell>
        </row>
        <row r="35">
          <cell r="A35" t="str">
            <v>Cost of goods sold</v>
          </cell>
        </row>
        <row r="36">
          <cell r="A36" t="str">
            <v>Gross profit</v>
          </cell>
        </row>
        <row r="37">
          <cell r="A37" t="str">
            <v>Selling, general &amp; administrative</v>
          </cell>
        </row>
        <row r="38">
          <cell r="A38" t="str">
            <v>Research &amp; development</v>
          </cell>
        </row>
        <row r="39">
          <cell r="A39" t="str">
            <v>EBITDA</v>
          </cell>
        </row>
        <row r="40">
          <cell r="A40" t="str">
            <v>Depreciation &amp; amortization</v>
          </cell>
        </row>
        <row r="41">
          <cell r="A41" t="str">
            <v>EBIT</v>
          </cell>
        </row>
        <row r="42">
          <cell r="A42" t="str">
            <v>Interest expense</v>
          </cell>
        </row>
        <row r="43">
          <cell r="A43" t="str">
            <v>Pretax income</v>
          </cell>
        </row>
        <row r="44">
          <cell r="A44" t="str">
            <v>Tax expense</v>
          </cell>
        </row>
        <row r="45">
          <cell r="A45" t="str">
            <v>Net income</v>
          </cell>
        </row>
        <row r="47">
          <cell r="A47" t="str">
            <v>Growth analysis</v>
          </cell>
        </row>
        <row r="48">
          <cell r="A48" t="str">
            <v>Revenues</v>
          </cell>
        </row>
        <row r="49">
          <cell r="A49" t="str">
            <v>Cost of goods sold</v>
          </cell>
        </row>
        <row r="50">
          <cell r="A50" t="str">
            <v>Gross profit</v>
          </cell>
        </row>
        <row r="51">
          <cell r="A51" t="str">
            <v>Selling, general &amp; administrative</v>
          </cell>
        </row>
        <row r="52">
          <cell r="A52" t="str">
            <v>EBITDA</v>
          </cell>
        </row>
        <row r="53">
          <cell r="A53" t="str">
            <v>Depreciation &amp; amortization</v>
          </cell>
        </row>
        <row r="54">
          <cell r="A54" t="str">
            <v>EBIT</v>
          </cell>
        </row>
        <row r="55">
          <cell r="A55" t="str">
            <v>Interest expense</v>
          </cell>
        </row>
        <row r="56">
          <cell r="A56" t="str">
            <v>Pretax income</v>
          </cell>
        </row>
        <row r="57">
          <cell r="A57" t="str">
            <v>Tax expense</v>
          </cell>
        </row>
        <row r="58">
          <cell r="A58" t="str">
            <v>Net income</v>
          </cell>
        </row>
        <row r="59">
          <cell r="A59" t="str">
            <v>E.P.S., diluted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ly EPS"/>
      <sheetName val="Qtrly revs."/>
      <sheetName val="Annual EPS"/>
      <sheetName val="Annual revs."/>
      <sheetName val="CCC-LTM"/>
      <sheetName val="Summary VBA"/>
      <sheetName val="Valuation"/>
      <sheetName val="Forecasts_VDF"/>
      <sheetName val="Figures"/>
      <sheetName val="Figures 1"/>
      <sheetName val="CCC-LTM (Comp)"/>
      <sheetName val="SIAL History"/>
    </sheetNames>
    <sheetDataSet>
      <sheetData sheetId="0" refreshError="1">
        <row r="1">
          <cell r="A1" t="str">
            <v>Sigma-Aldrich Corporation</v>
          </cell>
        </row>
        <row r="2">
          <cell r="A2" t="str">
            <v>Historical and Projected Quarterly Statements of Income</v>
          </cell>
        </row>
        <row r="3">
          <cell r="A3" t="str">
            <v>$ in millions, except per share</v>
          </cell>
        </row>
        <row r="9">
          <cell r="A9" t="str">
            <v>Revenues</v>
          </cell>
        </row>
        <row r="10">
          <cell r="A10" t="str">
            <v>Cost of goods sold</v>
          </cell>
        </row>
        <row r="11">
          <cell r="A11" t="str">
            <v>Gross profit</v>
          </cell>
        </row>
        <row r="12">
          <cell r="A12" t="str">
            <v>Selling, general &amp; administrative</v>
          </cell>
        </row>
        <row r="13">
          <cell r="A13" t="str">
            <v>Research &amp; development</v>
          </cell>
        </row>
        <row r="14">
          <cell r="A14" t="str">
            <v>EBITDA</v>
          </cell>
        </row>
        <row r="15">
          <cell r="A15" t="str">
            <v>Depreciation &amp; amortization</v>
          </cell>
        </row>
        <row r="16">
          <cell r="A16" t="str">
            <v>EBIT</v>
          </cell>
        </row>
        <row r="17">
          <cell r="A17" t="str">
            <v>Interest expense</v>
          </cell>
        </row>
        <row r="18">
          <cell r="A18" t="str">
            <v>Pretax income</v>
          </cell>
        </row>
        <row r="19">
          <cell r="A19" t="str">
            <v>Tax expense</v>
          </cell>
        </row>
        <row r="20">
          <cell r="A20" t="str">
            <v>Net income from continuing operations</v>
          </cell>
        </row>
        <row r="21">
          <cell r="A21" t="str">
            <v>Loss from discontinued operations</v>
          </cell>
        </row>
        <row r="22">
          <cell r="A22" t="str">
            <v xml:space="preserve">Net income </v>
          </cell>
        </row>
        <row r="24">
          <cell r="A24" t="str">
            <v>Average common shares</v>
          </cell>
        </row>
        <row r="25">
          <cell r="A25" t="str">
            <v>Basic</v>
          </cell>
        </row>
        <row r="26">
          <cell r="A26" t="str">
            <v>Diluted</v>
          </cell>
        </row>
        <row r="28">
          <cell r="A28" t="str">
            <v>E.P.S., basic, from continuing operations</v>
          </cell>
        </row>
        <row r="29">
          <cell r="A29" t="str">
            <v>E.P.S., diluted, from continuing operations</v>
          </cell>
        </row>
        <row r="30">
          <cell r="A30" t="str">
            <v>E.P.S., loss from discontinued operations</v>
          </cell>
        </row>
        <row r="32">
          <cell r="A32" t="str">
            <v>Tax rate</v>
          </cell>
        </row>
        <row r="34">
          <cell r="A34" t="str">
            <v>Margin analysis</v>
          </cell>
        </row>
        <row r="35">
          <cell r="A35" t="str">
            <v>Revenues</v>
          </cell>
        </row>
        <row r="36">
          <cell r="A36" t="str">
            <v>Cost of goods sold</v>
          </cell>
        </row>
        <row r="37">
          <cell r="A37" t="str">
            <v>Gross profit</v>
          </cell>
        </row>
        <row r="38">
          <cell r="A38" t="str">
            <v>Selling, general &amp; administrative</v>
          </cell>
        </row>
        <row r="39">
          <cell r="A39" t="str">
            <v>Research &amp; development</v>
          </cell>
        </row>
        <row r="40">
          <cell r="A40" t="str">
            <v>EBITDA</v>
          </cell>
        </row>
        <row r="41">
          <cell r="A41" t="str">
            <v>Depreciation &amp; amortization</v>
          </cell>
        </row>
        <row r="42">
          <cell r="A42" t="str">
            <v>EBIT</v>
          </cell>
        </row>
        <row r="43">
          <cell r="A43" t="str">
            <v>Interest expense</v>
          </cell>
        </row>
        <row r="44">
          <cell r="A44" t="str">
            <v>Pretax income</v>
          </cell>
        </row>
        <row r="45">
          <cell r="A45" t="str">
            <v>Tax expense</v>
          </cell>
        </row>
        <row r="46">
          <cell r="A46" t="str">
            <v>Net income</v>
          </cell>
        </row>
        <row r="48">
          <cell r="A48" t="str">
            <v>Growth analysis</v>
          </cell>
        </row>
        <row r="49">
          <cell r="A49" t="str">
            <v>Revenues</v>
          </cell>
        </row>
        <row r="50">
          <cell r="A50" t="str">
            <v>Cost of goods sold</v>
          </cell>
        </row>
        <row r="51">
          <cell r="A51" t="str">
            <v>Gross profit</v>
          </cell>
        </row>
        <row r="52">
          <cell r="A52" t="str">
            <v>Selling, general &amp; administrative</v>
          </cell>
        </row>
        <row r="53">
          <cell r="A53" t="str">
            <v>EBITDA</v>
          </cell>
        </row>
        <row r="54">
          <cell r="A54" t="str">
            <v>Depreciation &amp; amortization</v>
          </cell>
        </row>
        <row r="55">
          <cell r="A55" t="str">
            <v>EBIT</v>
          </cell>
        </row>
        <row r="56">
          <cell r="A56" t="str">
            <v>Interest expense</v>
          </cell>
        </row>
        <row r="57">
          <cell r="A57" t="str">
            <v>Pretax income</v>
          </cell>
        </row>
        <row r="58">
          <cell r="A58" t="str">
            <v>Tax expense</v>
          </cell>
        </row>
        <row r="59">
          <cell r="A59" t="str">
            <v>Net income</v>
          </cell>
        </row>
        <row r="60">
          <cell r="A60" t="str">
            <v>E.P.S., diluted</v>
          </cell>
        </row>
        <row r="62">
          <cell r="A62" t="str">
            <v>Source: Company reports, Banc of America Securities LLC estimates.</v>
          </cell>
        </row>
      </sheetData>
      <sheetData sheetId="1" refreshError="1"/>
      <sheetData sheetId="2" refreshError="1">
        <row r="1">
          <cell r="A1" t="str">
            <v>Sigma-Aldrich Corporation</v>
          </cell>
        </row>
        <row r="2">
          <cell r="A2" t="str">
            <v>Historical and Projected Annual Statements of Income</v>
          </cell>
        </row>
        <row r="3">
          <cell r="A3" t="str">
            <v>$ in millions, except per share</v>
          </cell>
        </row>
        <row r="8">
          <cell r="A8" t="str">
            <v>Revenues</v>
          </cell>
        </row>
        <row r="9">
          <cell r="A9" t="str">
            <v>Cost of goods sold</v>
          </cell>
        </row>
        <row r="10">
          <cell r="A10" t="str">
            <v>Gross profit</v>
          </cell>
        </row>
        <row r="11">
          <cell r="A11" t="str">
            <v>Selling, general &amp; administrative</v>
          </cell>
        </row>
        <row r="12">
          <cell r="A12" t="str">
            <v>Research &amp; development</v>
          </cell>
        </row>
        <row r="13">
          <cell r="A13" t="str">
            <v>EBITDA</v>
          </cell>
        </row>
        <row r="14">
          <cell r="A14" t="str">
            <v>Depreciation &amp; amortization</v>
          </cell>
        </row>
        <row r="15">
          <cell r="A15" t="str">
            <v>EBIT</v>
          </cell>
        </row>
        <row r="16">
          <cell r="A16" t="str">
            <v>Interest expense</v>
          </cell>
        </row>
        <row r="17">
          <cell r="A17" t="str">
            <v>Pretax income</v>
          </cell>
        </row>
        <row r="18">
          <cell r="A18" t="str">
            <v>Tax expense</v>
          </cell>
        </row>
        <row r="19">
          <cell r="A19" t="str">
            <v>Net income from continuing operations</v>
          </cell>
        </row>
        <row r="20">
          <cell r="A20" t="str">
            <v>Loss from discontinued operations</v>
          </cell>
        </row>
        <row r="21">
          <cell r="A21" t="str">
            <v>Net income</v>
          </cell>
        </row>
        <row r="23">
          <cell r="A23" t="str">
            <v>Average common shares</v>
          </cell>
        </row>
        <row r="24">
          <cell r="A24" t="str">
            <v>Basic</v>
          </cell>
        </row>
        <row r="25">
          <cell r="A25" t="str">
            <v>Diluted</v>
          </cell>
        </row>
        <row r="27">
          <cell r="A27" t="str">
            <v>E.P.S., basic, from continuing operations</v>
          </cell>
        </row>
        <row r="28">
          <cell r="A28" t="str">
            <v>E.P.S., diluted, from continuing operations</v>
          </cell>
        </row>
        <row r="29">
          <cell r="A29" t="str">
            <v>E.P.S., loss from discontinued operations</v>
          </cell>
        </row>
        <row r="31">
          <cell r="A31" t="str">
            <v>Tax rate</v>
          </cell>
        </row>
        <row r="33">
          <cell r="A33" t="str">
            <v>Margin analysis</v>
          </cell>
        </row>
        <row r="34">
          <cell r="A34" t="str">
            <v>Revenues</v>
          </cell>
        </row>
        <row r="35">
          <cell r="A35" t="str">
            <v>Cost of goods sold</v>
          </cell>
        </row>
        <row r="36">
          <cell r="A36" t="str">
            <v>Gross profit</v>
          </cell>
        </row>
        <row r="37">
          <cell r="A37" t="str">
            <v>Selling, general &amp; administrative</v>
          </cell>
        </row>
        <row r="38">
          <cell r="A38" t="str">
            <v>Research &amp; development</v>
          </cell>
        </row>
        <row r="39">
          <cell r="A39" t="str">
            <v>EBITDA</v>
          </cell>
        </row>
        <row r="40">
          <cell r="A40" t="str">
            <v>Depreciation &amp; amortization</v>
          </cell>
        </row>
        <row r="41">
          <cell r="A41" t="str">
            <v>EBIT</v>
          </cell>
        </row>
        <row r="42">
          <cell r="A42" t="str">
            <v>Interest expense</v>
          </cell>
        </row>
        <row r="43">
          <cell r="A43" t="str">
            <v>Pretax income</v>
          </cell>
        </row>
        <row r="44">
          <cell r="A44" t="str">
            <v>Tax expense</v>
          </cell>
        </row>
        <row r="45">
          <cell r="A45" t="str">
            <v>Net income</v>
          </cell>
        </row>
        <row r="47">
          <cell r="A47" t="str">
            <v>Growth analysis</v>
          </cell>
        </row>
        <row r="48">
          <cell r="A48" t="str">
            <v>Revenues</v>
          </cell>
        </row>
        <row r="49">
          <cell r="A49" t="str">
            <v>Cost of goods sold</v>
          </cell>
        </row>
        <row r="50">
          <cell r="A50" t="str">
            <v>Gross profit</v>
          </cell>
        </row>
        <row r="51">
          <cell r="A51" t="str">
            <v>Selling, general &amp; administrative</v>
          </cell>
        </row>
        <row r="52">
          <cell r="A52" t="str">
            <v>EBITDA</v>
          </cell>
        </row>
        <row r="53">
          <cell r="A53" t="str">
            <v>Depreciation &amp; amortization</v>
          </cell>
        </row>
        <row r="54">
          <cell r="A54" t="str">
            <v>EBIT</v>
          </cell>
        </row>
        <row r="55">
          <cell r="A55" t="str">
            <v>Interest expense</v>
          </cell>
        </row>
        <row r="56">
          <cell r="A56" t="str">
            <v>Pretax income</v>
          </cell>
        </row>
        <row r="57">
          <cell r="A57" t="str">
            <v>Tax expense</v>
          </cell>
        </row>
        <row r="58">
          <cell r="A58" t="str">
            <v>Net income</v>
          </cell>
        </row>
        <row r="59">
          <cell r="A59" t="str">
            <v>E.P.S., diluted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ly EPS"/>
      <sheetName val="Qtrly revs."/>
      <sheetName val="Annual EPS"/>
      <sheetName val="Annual revs."/>
      <sheetName val="CCC-LTM"/>
      <sheetName val="Summary VBA"/>
      <sheetName val="Valuation"/>
      <sheetName val="Forecasts_VDF"/>
      <sheetName val="Figures"/>
      <sheetName val="Figures 1"/>
      <sheetName val="CCC-LTM (Comp)"/>
      <sheetName val="SIAL History"/>
    </sheetNames>
    <sheetDataSet>
      <sheetData sheetId="0" refreshError="1">
        <row r="1">
          <cell r="A1" t="str">
            <v>Sigma-Aldrich Corporation</v>
          </cell>
        </row>
        <row r="2">
          <cell r="A2" t="str">
            <v>Historical and Projected Quarterly Statements of Income</v>
          </cell>
        </row>
        <row r="3">
          <cell r="A3" t="str">
            <v>$ in millions, except per share</v>
          </cell>
        </row>
        <row r="9">
          <cell r="A9" t="str">
            <v>Revenues</v>
          </cell>
        </row>
        <row r="10">
          <cell r="A10" t="str">
            <v>Cost of goods sold</v>
          </cell>
        </row>
        <row r="11">
          <cell r="A11" t="str">
            <v>Gross profit</v>
          </cell>
        </row>
        <row r="12">
          <cell r="A12" t="str">
            <v>Selling, general &amp; administrative</v>
          </cell>
        </row>
        <row r="13">
          <cell r="A13" t="str">
            <v>Research &amp; development</v>
          </cell>
        </row>
        <row r="14">
          <cell r="A14" t="str">
            <v>EBITDA</v>
          </cell>
        </row>
        <row r="15">
          <cell r="A15" t="str">
            <v>Depreciation &amp; amortization</v>
          </cell>
        </row>
        <row r="16">
          <cell r="A16" t="str">
            <v>EBIT</v>
          </cell>
        </row>
        <row r="17">
          <cell r="A17" t="str">
            <v>Interest expense</v>
          </cell>
        </row>
        <row r="18">
          <cell r="A18" t="str">
            <v>Pretax income</v>
          </cell>
        </row>
        <row r="19">
          <cell r="A19" t="str">
            <v>Tax expense</v>
          </cell>
        </row>
        <row r="20">
          <cell r="A20" t="str">
            <v>Net income from continuing operations</v>
          </cell>
        </row>
        <row r="21">
          <cell r="A21" t="str">
            <v>Loss from discontinued operations</v>
          </cell>
        </row>
        <row r="22">
          <cell r="A22" t="str">
            <v xml:space="preserve">Net income </v>
          </cell>
        </row>
        <row r="24">
          <cell r="A24" t="str">
            <v>Average common shares</v>
          </cell>
        </row>
        <row r="25">
          <cell r="A25" t="str">
            <v>Basic</v>
          </cell>
        </row>
        <row r="26">
          <cell r="A26" t="str">
            <v>Diluted</v>
          </cell>
        </row>
        <row r="28">
          <cell r="A28" t="str">
            <v>E.P.S., basic, from continuing operations</v>
          </cell>
        </row>
        <row r="29">
          <cell r="A29" t="str">
            <v>E.P.S., diluted, from continuing operations</v>
          </cell>
        </row>
        <row r="30">
          <cell r="A30" t="str">
            <v>E.P.S., loss from discontinued operations</v>
          </cell>
        </row>
        <row r="32">
          <cell r="A32" t="str">
            <v>Tax rate</v>
          </cell>
        </row>
        <row r="34">
          <cell r="A34" t="str">
            <v>Margin analysis</v>
          </cell>
        </row>
        <row r="35">
          <cell r="A35" t="str">
            <v>Revenues</v>
          </cell>
        </row>
        <row r="36">
          <cell r="A36" t="str">
            <v>Cost of goods sold</v>
          </cell>
        </row>
        <row r="37">
          <cell r="A37" t="str">
            <v>Gross profit</v>
          </cell>
        </row>
        <row r="38">
          <cell r="A38" t="str">
            <v>Selling, general &amp; administrative</v>
          </cell>
        </row>
        <row r="39">
          <cell r="A39" t="str">
            <v>Research &amp; development</v>
          </cell>
        </row>
        <row r="40">
          <cell r="A40" t="str">
            <v>EBITDA</v>
          </cell>
        </row>
        <row r="41">
          <cell r="A41" t="str">
            <v>Depreciation &amp; amortization</v>
          </cell>
        </row>
        <row r="42">
          <cell r="A42" t="str">
            <v>EBIT</v>
          </cell>
        </row>
        <row r="43">
          <cell r="A43" t="str">
            <v>Interest expense</v>
          </cell>
        </row>
        <row r="44">
          <cell r="A44" t="str">
            <v>Pretax income</v>
          </cell>
        </row>
        <row r="45">
          <cell r="A45" t="str">
            <v>Tax expense</v>
          </cell>
        </row>
        <row r="46">
          <cell r="A46" t="str">
            <v>Net income</v>
          </cell>
        </row>
        <row r="48">
          <cell r="A48" t="str">
            <v>Growth analysis</v>
          </cell>
        </row>
        <row r="49">
          <cell r="A49" t="str">
            <v>Revenues</v>
          </cell>
        </row>
        <row r="50">
          <cell r="A50" t="str">
            <v>Cost of goods sold</v>
          </cell>
        </row>
        <row r="51">
          <cell r="A51" t="str">
            <v>Gross profit</v>
          </cell>
        </row>
        <row r="52">
          <cell r="A52" t="str">
            <v>Selling, general &amp; administrative</v>
          </cell>
        </row>
        <row r="53">
          <cell r="A53" t="str">
            <v>EBITDA</v>
          </cell>
        </row>
        <row r="54">
          <cell r="A54" t="str">
            <v>Depreciation &amp; amortization</v>
          </cell>
        </row>
        <row r="55">
          <cell r="A55" t="str">
            <v>EBIT</v>
          </cell>
        </row>
        <row r="56">
          <cell r="A56" t="str">
            <v>Interest expense</v>
          </cell>
        </row>
        <row r="57">
          <cell r="A57" t="str">
            <v>Pretax income</v>
          </cell>
        </row>
        <row r="58">
          <cell r="A58" t="str">
            <v>Tax expense</v>
          </cell>
        </row>
        <row r="59">
          <cell r="A59" t="str">
            <v>Net income</v>
          </cell>
        </row>
        <row r="60">
          <cell r="A60" t="str">
            <v>E.P.S., diluted</v>
          </cell>
        </row>
        <row r="62">
          <cell r="A62" t="str">
            <v>Source: Company reports, Banc of America Securities LLC estimates.</v>
          </cell>
        </row>
      </sheetData>
      <sheetData sheetId="1" refreshError="1"/>
      <sheetData sheetId="2" refreshError="1">
        <row r="1">
          <cell r="A1" t="str">
            <v>Sigma-Aldrich Corporation</v>
          </cell>
        </row>
        <row r="2">
          <cell r="A2" t="str">
            <v>Historical and Projected Annual Statements of Income</v>
          </cell>
        </row>
        <row r="3">
          <cell r="A3" t="str">
            <v>$ in millions, except per share</v>
          </cell>
        </row>
        <row r="8">
          <cell r="A8" t="str">
            <v>Revenues</v>
          </cell>
        </row>
        <row r="9">
          <cell r="A9" t="str">
            <v>Cost of goods sold</v>
          </cell>
        </row>
        <row r="10">
          <cell r="A10" t="str">
            <v>Gross profit</v>
          </cell>
        </row>
        <row r="11">
          <cell r="A11" t="str">
            <v>Selling, general &amp; administrative</v>
          </cell>
        </row>
        <row r="12">
          <cell r="A12" t="str">
            <v>Research &amp; development</v>
          </cell>
        </row>
        <row r="13">
          <cell r="A13" t="str">
            <v>EBITDA</v>
          </cell>
        </row>
        <row r="14">
          <cell r="A14" t="str">
            <v>Depreciation &amp; amortization</v>
          </cell>
        </row>
        <row r="15">
          <cell r="A15" t="str">
            <v>EBIT</v>
          </cell>
        </row>
        <row r="16">
          <cell r="A16" t="str">
            <v>Interest expense</v>
          </cell>
        </row>
        <row r="17">
          <cell r="A17" t="str">
            <v>Pretax income</v>
          </cell>
        </row>
        <row r="18">
          <cell r="A18" t="str">
            <v>Tax expense</v>
          </cell>
        </row>
        <row r="19">
          <cell r="A19" t="str">
            <v>Net income from continuing operations</v>
          </cell>
        </row>
        <row r="20">
          <cell r="A20" t="str">
            <v>Loss from discontinued operations</v>
          </cell>
        </row>
        <row r="21">
          <cell r="A21" t="str">
            <v>Net income</v>
          </cell>
        </row>
        <row r="23">
          <cell r="A23" t="str">
            <v>Average common shares</v>
          </cell>
        </row>
        <row r="24">
          <cell r="A24" t="str">
            <v>Basic</v>
          </cell>
        </row>
        <row r="25">
          <cell r="A25" t="str">
            <v>Diluted</v>
          </cell>
        </row>
        <row r="27">
          <cell r="A27" t="str">
            <v>E.P.S., basic, from continuing operations</v>
          </cell>
        </row>
        <row r="28">
          <cell r="A28" t="str">
            <v>E.P.S., diluted, from continuing operations</v>
          </cell>
        </row>
        <row r="29">
          <cell r="A29" t="str">
            <v>E.P.S., loss from discontinued operations</v>
          </cell>
        </row>
        <row r="31">
          <cell r="A31" t="str">
            <v>Tax rate</v>
          </cell>
        </row>
        <row r="33">
          <cell r="A33" t="str">
            <v>Margin analysis</v>
          </cell>
        </row>
        <row r="34">
          <cell r="A34" t="str">
            <v>Revenues</v>
          </cell>
        </row>
        <row r="35">
          <cell r="A35" t="str">
            <v>Cost of goods sold</v>
          </cell>
        </row>
        <row r="36">
          <cell r="A36" t="str">
            <v>Gross profit</v>
          </cell>
        </row>
        <row r="37">
          <cell r="A37" t="str">
            <v>Selling, general &amp; administrative</v>
          </cell>
        </row>
        <row r="38">
          <cell r="A38" t="str">
            <v>Research &amp; development</v>
          </cell>
        </row>
        <row r="39">
          <cell r="A39" t="str">
            <v>EBITDA</v>
          </cell>
        </row>
        <row r="40">
          <cell r="A40" t="str">
            <v>Depreciation &amp; amortization</v>
          </cell>
        </row>
        <row r="41">
          <cell r="A41" t="str">
            <v>EBIT</v>
          </cell>
        </row>
        <row r="42">
          <cell r="A42" t="str">
            <v>Interest expense</v>
          </cell>
        </row>
        <row r="43">
          <cell r="A43" t="str">
            <v>Pretax income</v>
          </cell>
        </row>
        <row r="44">
          <cell r="A44" t="str">
            <v>Tax expense</v>
          </cell>
        </row>
        <row r="45">
          <cell r="A45" t="str">
            <v>Net income</v>
          </cell>
        </row>
        <row r="47">
          <cell r="A47" t="str">
            <v>Growth analysis</v>
          </cell>
        </row>
        <row r="48">
          <cell r="A48" t="str">
            <v>Revenues</v>
          </cell>
        </row>
        <row r="49">
          <cell r="A49" t="str">
            <v>Cost of goods sold</v>
          </cell>
        </row>
        <row r="50">
          <cell r="A50" t="str">
            <v>Gross profit</v>
          </cell>
        </row>
        <row r="51">
          <cell r="A51" t="str">
            <v>Selling, general &amp; administrative</v>
          </cell>
        </row>
        <row r="52">
          <cell r="A52" t="str">
            <v>EBITDA</v>
          </cell>
        </row>
        <row r="53">
          <cell r="A53" t="str">
            <v>Depreciation &amp; amortization</v>
          </cell>
        </row>
        <row r="54">
          <cell r="A54" t="str">
            <v>EBIT</v>
          </cell>
        </row>
        <row r="55">
          <cell r="A55" t="str">
            <v>Interest expense</v>
          </cell>
        </row>
        <row r="56">
          <cell r="A56" t="str">
            <v>Pretax income</v>
          </cell>
        </row>
        <row r="57">
          <cell r="A57" t="str">
            <v>Tax expense</v>
          </cell>
        </row>
        <row r="58">
          <cell r="A58" t="str">
            <v>Net income</v>
          </cell>
        </row>
        <row r="59">
          <cell r="A59" t="str">
            <v>E.P.S., diluted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el"/>
      <sheetName val="SCM"/>
      <sheetName val="EV"/>
      <sheetName val="A vs E"/>
      <sheetName val="Geo Sales Drivers"/>
      <sheetName val="Volume &amp; Pricing"/>
      <sheetName val="Margins"/>
      <sheetName val="MTW vs CAT"/>
      <sheetName val="qtrly-fax"/>
      <sheetName val="Monthly Numbers (NEW)"/>
      <sheetName val="EPS Sensitivity"/>
      <sheetName val="Cycle Prices"/>
      <sheetName val="Rel Perf"/>
      <sheetName val="graphs 04 and 05"/>
      <sheetName val="Segments2"/>
      <sheetName val="Proxy Segments"/>
      <sheetName val="preview-qtrly"/>
      <sheetName val="05 Guidance"/>
      <sheetName val="Management"/>
      <sheetName val="NCPs"/>
      <sheetName val="end mkts"/>
      <sheetName val="graphs 2003"/>
      <sheetName val="graphs 2002"/>
      <sheetName val="graphs_data"/>
      <sheetName val="Reconciliations"/>
      <sheetName val="graphs_data (old)"/>
      <sheetName val="Dealers"/>
      <sheetName val="Module1"/>
      <sheetName val="gsr - Caterpillar Inc."/>
    </sheetNames>
    <sheetDataSet>
      <sheetData sheetId="0" refreshError="1">
        <row r="92">
          <cell r="C92" t="str">
            <v>1982</v>
          </cell>
          <cell r="D92" t="str">
            <v>1983</v>
          </cell>
          <cell r="E92" t="str">
            <v>1984</v>
          </cell>
          <cell r="F92" t="str">
            <v>1985</v>
          </cell>
          <cell r="G92" t="str">
            <v>1986</v>
          </cell>
          <cell r="H92" t="str">
            <v>1987</v>
          </cell>
          <cell r="I92" t="str">
            <v>1988</v>
          </cell>
          <cell r="J92" t="str">
            <v>1989</v>
          </cell>
          <cell r="K92" t="str">
            <v>1990</v>
          </cell>
          <cell r="L92" t="str">
            <v>1991</v>
          </cell>
          <cell r="M92" t="str">
            <v>1992</v>
          </cell>
          <cell r="N92" t="str">
            <v>1993</v>
          </cell>
          <cell r="O92" t="str">
            <v>1994</v>
          </cell>
          <cell r="P92">
            <v>1995</v>
          </cell>
          <cell r="Q92">
            <v>1996</v>
          </cell>
          <cell r="R92">
            <v>1997</v>
          </cell>
          <cell r="S92">
            <v>1998</v>
          </cell>
          <cell r="T92">
            <v>1999</v>
          </cell>
          <cell r="U92" t="str">
            <v>2000</v>
          </cell>
          <cell r="V92" t="str">
            <v>2001</v>
          </cell>
          <cell r="W92" t="str">
            <v>2002</v>
          </cell>
          <cell r="X92" t="str">
            <v>2003</v>
          </cell>
          <cell r="Y92" t="str">
            <v>2004</v>
          </cell>
          <cell r="Z92" t="str">
            <v>2005</v>
          </cell>
          <cell r="AA92" t="str">
            <v>2006</v>
          </cell>
          <cell r="AB92" t="str">
            <v>2007E</v>
          </cell>
          <cell r="AC92" t="str">
            <v>2008E</v>
          </cell>
          <cell r="AD92" t="str">
            <v>2009E</v>
          </cell>
        </row>
        <row r="93">
          <cell r="B93" t="str">
            <v>Segment Analysis Per SFAB 131</v>
          </cell>
        </row>
        <row r="95">
          <cell r="B95" t="str">
            <v>North America Marketing</v>
          </cell>
        </row>
        <row r="96">
          <cell r="B96" t="str">
            <v>External Sales</v>
          </cell>
          <cell r="X96">
            <v>6437</v>
          </cell>
          <cell r="Y96">
            <v>8882</v>
          </cell>
          <cell r="Z96">
            <v>10988</v>
          </cell>
        </row>
        <row r="97">
          <cell r="B97" t="str">
            <v>Intersegment Sales</v>
          </cell>
          <cell r="X97">
            <v>209</v>
          </cell>
          <cell r="Y97">
            <v>323</v>
          </cell>
          <cell r="Z97">
            <v>385</v>
          </cell>
        </row>
        <row r="98">
          <cell r="B98" t="str">
            <v>Total Sales</v>
          </cell>
          <cell r="X98">
            <v>6646</v>
          </cell>
          <cell r="Y98">
            <v>9205</v>
          </cell>
          <cell r="Z98">
            <v>11373</v>
          </cell>
        </row>
        <row r="99">
          <cell r="B99" t="str">
            <v>Accountable Profit</v>
          </cell>
          <cell r="X99">
            <v>269</v>
          </cell>
          <cell r="Y99">
            <v>392</v>
          </cell>
          <cell r="Z99">
            <v>276</v>
          </cell>
        </row>
        <row r="100">
          <cell r="B100" t="str">
            <v>Margin %</v>
          </cell>
          <cell r="X100">
            <v>4.0475473969304847</v>
          </cell>
          <cell r="Y100">
            <v>4.2585551330798479</v>
          </cell>
          <cell r="Z100">
            <v>2.4268003165391718</v>
          </cell>
        </row>
        <row r="101">
          <cell r="B101" t="str">
            <v>Accountable Assets</v>
          </cell>
          <cell r="X101">
            <v>251</v>
          </cell>
          <cell r="Y101">
            <v>-61</v>
          </cell>
          <cell r="Z101">
            <v>31</v>
          </cell>
        </row>
        <row r="102">
          <cell r="B102" t="str">
            <v>Acct Profit/Assets %</v>
          </cell>
          <cell r="X102" t="str">
            <v>NM</v>
          </cell>
          <cell r="Y102" t="str">
            <v>NM</v>
          </cell>
          <cell r="Z102" t="str">
            <v>NM</v>
          </cell>
        </row>
        <row r="104">
          <cell r="B104" t="str">
            <v>Construction &amp; Mining Products</v>
          </cell>
        </row>
        <row r="105">
          <cell r="B105" t="str">
            <v>External Sales</v>
          </cell>
          <cell r="X105">
            <v>-31</v>
          </cell>
          <cell r="Y105">
            <v>-47</v>
          </cell>
          <cell r="Z105">
            <v>5</v>
          </cell>
        </row>
        <row r="106">
          <cell r="B106" t="str">
            <v>Intersegment Sales</v>
          </cell>
          <cell r="X106">
            <v>5655</v>
          </cell>
          <cell r="Y106">
            <v>7565</v>
          </cell>
          <cell r="Z106">
            <v>9925</v>
          </cell>
        </row>
        <row r="107">
          <cell r="B107" t="str">
            <v>Total Sales</v>
          </cell>
          <cell r="X107">
            <v>5624</v>
          </cell>
          <cell r="Y107">
            <v>7518</v>
          </cell>
          <cell r="Z107">
            <v>9930</v>
          </cell>
        </row>
        <row r="108">
          <cell r="B108" t="str">
            <v>Accountable Profit</v>
          </cell>
          <cell r="X108">
            <v>450</v>
          </cell>
          <cell r="Y108">
            <v>900</v>
          </cell>
          <cell r="Z108">
            <v>1473</v>
          </cell>
        </row>
        <row r="109">
          <cell r="B109" t="str">
            <v>Margin %</v>
          </cell>
          <cell r="X109">
            <v>8.0014224751066862</v>
          </cell>
          <cell r="Y109">
            <v>11.971268954509178</v>
          </cell>
          <cell r="Z109">
            <v>14.833836858006041</v>
          </cell>
        </row>
        <row r="110">
          <cell r="B110" t="str">
            <v>Accountable Assets</v>
          </cell>
          <cell r="X110">
            <v>1096</v>
          </cell>
          <cell r="Y110">
            <v>1348</v>
          </cell>
          <cell r="Z110">
            <v>1559</v>
          </cell>
        </row>
        <row r="111">
          <cell r="B111" t="str">
            <v>Acct Profit/Assets %</v>
          </cell>
          <cell r="X111">
            <v>41.058394160583944</v>
          </cell>
          <cell r="Y111">
            <v>66.765578635014833</v>
          </cell>
          <cell r="Z111">
            <v>94.483643361128927</v>
          </cell>
        </row>
        <row r="113">
          <cell r="B113" t="str">
            <v>Large Power Products</v>
          </cell>
        </row>
        <row r="114">
          <cell r="B114" t="str">
            <v>External Sales</v>
          </cell>
          <cell r="X114">
            <v>-110</v>
          </cell>
          <cell r="Y114">
            <v>-176</v>
          </cell>
          <cell r="Z114">
            <v>-260</v>
          </cell>
        </row>
        <row r="115">
          <cell r="B115" t="str">
            <v>Intersegment Sales</v>
          </cell>
          <cell r="X115">
            <v>4637</v>
          </cell>
          <cell r="Y115">
            <v>6242</v>
          </cell>
          <cell r="Z115">
            <v>7303</v>
          </cell>
        </row>
        <row r="116">
          <cell r="B116" t="str">
            <v>Total Sales</v>
          </cell>
          <cell r="X116">
            <v>4527</v>
          </cell>
          <cell r="Y116">
            <v>6066</v>
          </cell>
          <cell r="Z116">
            <v>7043</v>
          </cell>
        </row>
        <row r="117">
          <cell r="B117" t="str">
            <v>Accountable Profit</v>
          </cell>
          <cell r="X117">
            <v>32</v>
          </cell>
          <cell r="Y117">
            <v>243</v>
          </cell>
          <cell r="Z117">
            <v>490</v>
          </cell>
        </row>
        <row r="118">
          <cell r="B118" t="str">
            <v>Margin %</v>
          </cell>
          <cell r="X118">
            <v>0.70686989176054782</v>
          </cell>
          <cell r="Y118">
            <v>4.0059347181008906</v>
          </cell>
          <cell r="Z118">
            <v>6.9572625301718025</v>
          </cell>
        </row>
        <row r="119">
          <cell r="B119" t="str">
            <v>Accountable Assets</v>
          </cell>
          <cell r="X119">
            <v>1656</v>
          </cell>
          <cell r="Y119">
            <v>1578</v>
          </cell>
          <cell r="Z119">
            <v>1657</v>
          </cell>
        </row>
        <row r="120">
          <cell r="B120" t="str">
            <v>Acct Profit/Assets %</v>
          </cell>
          <cell r="X120">
            <v>1.932367149758454</v>
          </cell>
          <cell r="Y120">
            <v>15.399239543726237</v>
          </cell>
          <cell r="Z120">
            <v>29.57151478575739</v>
          </cell>
        </row>
        <row r="122">
          <cell r="B122" t="str">
            <v>Power Systems Marketing</v>
          </cell>
        </row>
        <row r="123">
          <cell r="B123" t="str">
            <v>External Sales</v>
          </cell>
          <cell r="X123">
            <v>2971</v>
          </cell>
          <cell r="Y123">
            <v>3930</v>
          </cell>
          <cell r="Z123">
            <v>4669</v>
          </cell>
        </row>
        <row r="124">
          <cell r="B124" t="str">
            <v>Intersegment Sales</v>
          </cell>
          <cell r="X124">
            <v>47</v>
          </cell>
          <cell r="Y124">
            <v>75</v>
          </cell>
          <cell r="Z124">
            <v>87</v>
          </cell>
        </row>
        <row r="125">
          <cell r="B125" t="str">
            <v>Total Sales</v>
          </cell>
          <cell r="X125">
            <v>3018</v>
          </cell>
          <cell r="Y125">
            <v>4005</v>
          </cell>
          <cell r="Z125">
            <v>4756</v>
          </cell>
        </row>
        <row r="126">
          <cell r="B126" t="str">
            <v>Accountable Profit</v>
          </cell>
          <cell r="X126">
            <v>-114</v>
          </cell>
          <cell r="Y126">
            <v>9</v>
          </cell>
          <cell r="Z126">
            <v>112</v>
          </cell>
        </row>
        <row r="127">
          <cell r="B127" t="str">
            <v>Margin %</v>
          </cell>
          <cell r="X127">
            <v>-3.7773359840954273</v>
          </cell>
          <cell r="Y127">
            <v>0.22471910112359553</v>
          </cell>
          <cell r="Z127">
            <v>2.3549201009251473</v>
          </cell>
        </row>
        <row r="128">
          <cell r="B128" t="str">
            <v>Accountable Assets</v>
          </cell>
          <cell r="X128">
            <v>164</v>
          </cell>
          <cell r="Y128">
            <v>124</v>
          </cell>
          <cell r="Z128">
            <v>40</v>
          </cell>
        </row>
        <row r="129">
          <cell r="B129" t="str">
            <v>Acct Profit/Assets %</v>
          </cell>
          <cell r="X129" t="str">
            <v>NM</v>
          </cell>
          <cell r="Y129">
            <v>7.2580645161290329</v>
          </cell>
          <cell r="Z129">
            <v>280</v>
          </cell>
        </row>
        <row r="131">
          <cell r="B131" t="str">
            <v>EAME Marketing</v>
          </cell>
        </row>
        <row r="132">
          <cell r="B132" t="str">
            <v>External Sales</v>
          </cell>
          <cell r="X132">
            <v>3131</v>
          </cell>
          <cell r="Y132">
            <v>3878</v>
          </cell>
          <cell r="Z132">
            <v>4441</v>
          </cell>
        </row>
        <row r="133">
          <cell r="B133" t="str">
            <v>Intersegment Sales</v>
          </cell>
          <cell r="X133">
            <v>5</v>
          </cell>
          <cell r="Y133">
            <v>6</v>
          </cell>
          <cell r="Z133">
            <v>5</v>
          </cell>
        </row>
        <row r="134">
          <cell r="B134" t="str">
            <v>Total Sales</v>
          </cell>
          <cell r="X134">
            <v>3136</v>
          </cell>
          <cell r="Y134">
            <v>3884</v>
          </cell>
          <cell r="Z134">
            <v>4446</v>
          </cell>
        </row>
        <row r="135">
          <cell r="B135" t="str">
            <v>Accountable Profit</v>
          </cell>
          <cell r="X135">
            <v>48</v>
          </cell>
          <cell r="Y135">
            <v>82</v>
          </cell>
          <cell r="Z135">
            <v>75</v>
          </cell>
        </row>
        <row r="136">
          <cell r="B136" t="str">
            <v>Margin %</v>
          </cell>
          <cell r="X136">
            <v>1.5306122448979591</v>
          </cell>
          <cell r="Y136">
            <v>2.1112255406797118</v>
          </cell>
          <cell r="Z136">
            <v>1.6869095816464237</v>
          </cell>
        </row>
        <row r="137">
          <cell r="B137" t="str">
            <v>Accountable Assets</v>
          </cell>
          <cell r="X137">
            <v>88</v>
          </cell>
          <cell r="Y137">
            <v>107</v>
          </cell>
          <cell r="Z137">
            <v>103</v>
          </cell>
        </row>
        <row r="138">
          <cell r="B138" t="str">
            <v>Acct Profit/Assets %</v>
          </cell>
          <cell r="X138">
            <v>54.54545454545454</v>
          </cell>
          <cell r="Y138">
            <v>76.63551401869158</v>
          </cell>
          <cell r="Z138">
            <v>72.815533980582529</v>
          </cell>
        </row>
        <row r="140">
          <cell r="B140" t="str">
            <v>Latin America Marketing</v>
          </cell>
        </row>
        <row r="141">
          <cell r="B141" t="str">
            <v>External Sales</v>
          </cell>
          <cell r="X141">
            <v>1153</v>
          </cell>
          <cell r="Y141">
            <v>1730</v>
          </cell>
          <cell r="Z141">
            <v>2275</v>
          </cell>
        </row>
        <row r="142">
          <cell r="B142" t="str">
            <v>Intersegment Sales</v>
          </cell>
          <cell r="X142">
            <v>719</v>
          </cell>
          <cell r="Y142">
            <v>1236</v>
          </cell>
          <cell r="Z142">
            <v>1703</v>
          </cell>
        </row>
        <row r="143">
          <cell r="B143" t="str">
            <v>Total Sales</v>
          </cell>
          <cell r="X143">
            <v>1872</v>
          </cell>
          <cell r="Y143">
            <v>2966</v>
          </cell>
          <cell r="Z143">
            <v>3978</v>
          </cell>
        </row>
        <row r="144">
          <cell r="B144" t="str">
            <v>Accountable Profit</v>
          </cell>
          <cell r="X144">
            <v>107</v>
          </cell>
          <cell r="Y144">
            <v>228</v>
          </cell>
          <cell r="Z144">
            <v>200</v>
          </cell>
        </row>
        <row r="145">
          <cell r="B145" t="str">
            <v>Margin %</v>
          </cell>
          <cell r="X145">
            <v>5.7158119658119659</v>
          </cell>
          <cell r="Y145">
            <v>7.6871207012811871</v>
          </cell>
          <cell r="Z145">
            <v>5.0276520864756158</v>
          </cell>
        </row>
        <row r="146">
          <cell r="B146" t="str">
            <v>Accountable Assets</v>
          </cell>
          <cell r="X146">
            <v>640</v>
          </cell>
          <cell r="Y146">
            <v>775</v>
          </cell>
          <cell r="Z146">
            <v>878</v>
          </cell>
        </row>
        <row r="147">
          <cell r="B147" t="str">
            <v>Acct Profit/Assets %</v>
          </cell>
          <cell r="X147">
            <v>16.71875</v>
          </cell>
          <cell r="Y147">
            <v>29.419354838709676</v>
          </cell>
          <cell r="Z147">
            <v>22.779043280182233</v>
          </cell>
        </row>
        <row r="149">
          <cell r="B149" t="str">
            <v>Asia/Pacific Marketing</v>
          </cell>
        </row>
        <row r="150">
          <cell r="B150" t="str">
            <v>External Sales</v>
          </cell>
          <cell r="X150">
            <v>1569</v>
          </cell>
          <cell r="Y150">
            <v>2110</v>
          </cell>
          <cell r="Z150">
            <v>2462</v>
          </cell>
        </row>
        <row r="151">
          <cell r="B151" t="str">
            <v>Intersegment Sales</v>
          </cell>
          <cell r="X151">
            <v>0</v>
          </cell>
          <cell r="Y151">
            <v>0</v>
          </cell>
          <cell r="Z151">
            <v>3</v>
          </cell>
        </row>
        <row r="152">
          <cell r="B152" t="str">
            <v>Total Sales</v>
          </cell>
          <cell r="X152">
            <v>1569</v>
          </cell>
          <cell r="Y152">
            <v>2110</v>
          </cell>
          <cell r="Z152">
            <v>2465</v>
          </cell>
        </row>
        <row r="153">
          <cell r="B153" t="str">
            <v>Accountable Profit</v>
          </cell>
          <cell r="X153">
            <v>109</v>
          </cell>
          <cell r="Y153">
            <v>134</v>
          </cell>
          <cell r="Z153">
            <v>91</v>
          </cell>
        </row>
        <row r="154">
          <cell r="B154" t="str">
            <v>Margin %</v>
          </cell>
          <cell r="X154">
            <v>6.9471000637348626</v>
          </cell>
          <cell r="Y154">
            <v>6.3507109004739339</v>
          </cell>
          <cell r="Z154">
            <v>3.6916835699797161</v>
          </cell>
        </row>
        <row r="155">
          <cell r="B155" t="str">
            <v>Accountable Assets</v>
          </cell>
          <cell r="X155">
            <v>266</v>
          </cell>
          <cell r="Y155">
            <v>240</v>
          </cell>
          <cell r="Z155">
            <v>257</v>
          </cell>
        </row>
        <row r="156">
          <cell r="B156" t="str">
            <v>Acct Profit/Assets %</v>
          </cell>
          <cell r="X156">
            <v>40.977443609022558</v>
          </cell>
          <cell r="Y156">
            <v>55.833333333333336</v>
          </cell>
          <cell r="Z156">
            <v>35.408560311284049</v>
          </cell>
        </row>
        <row r="158">
          <cell r="B158" t="str">
            <v>Electric Power</v>
          </cell>
        </row>
        <row r="159">
          <cell r="B159" t="str">
            <v>External Sales</v>
          </cell>
          <cell r="X159">
            <v>1226</v>
          </cell>
          <cell r="Y159">
            <v>1757</v>
          </cell>
          <cell r="Z159">
            <v>2119</v>
          </cell>
        </row>
        <row r="160">
          <cell r="B160" t="str">
            <v>Intersegment Sales</v>
          </cell>
          <cell r="X160">
            <v>154</v>
          </cell>
          <cell r="Y160">
            <v>141</v>
          </cell>
          <cell r="Z160">
            <v>187</v>
          </cell>
        </row>
        <row r="161">
          <cell r="B161" t="str">
            <v>Total Sales</v>
          </cell>
          <cell r="X161">
            <v>1380</v>
          </cell>
          <cell r="Y161">
            <v>1898</v>
          </cell>
          <cell r="Z161">
            <v>2306</v>
          </cell>
        </row>
        <row r="162">
          <cell r="B162" t="str">
            <v>Accountable Profit</v>
          </cell>
          <cell r="X162">
            <v>-47</v>
          </cell>
          <cell r="Y162">
            <v>-37</v>
          </cell>
          <cell r="Z162">
            <v>110</v>
          </cell>
        </row>
        <row r="163">
          <cell r="B163" t="str">
            <v>Margin %</v>
          </cell>
          <cell r="X163">
            <v>-3.4057971014492754</v>
          </cell>
          <cell r="Y163">
            <v>-1.9494204425711277</v>
          </cell>
          <cell r="Z163">
            <v>4.7701647875108417</v>
          </cell>
        </row>
        <row r="164">
          <cell r="B164" t="str">
            <v>Accountable Assets</v>
          </cell>
          <cell r="X164">
            <v>489</v>
          </cell>
          <cell r="Y164">
            <v>618</v>
          </cell>
          <cell r="Z164">
            <v>592</v>
          </cell>
        </row>
        <row r="165">
          <cell r="B165" t="str">
            <v>Acct Profit/Assets %</v>
          </cell>
          <cell r="X165" t="str">
            <v>NM</v>
          </cell>
          <cell r="Y165" t="str">
            <v>NM</v>
          </cell>
          <cell r="Z165">
            <v>18.581081081081081</v>
          </cell>
        </row>
        <row r="167">
          <cell r="B167" t="str">
            <v>Financing &amp; Insurance Services</v>
          </cell>
        </row>
        <row r="168">
          <cell r="B168" t="str">
            <v>External Sales</v>
          </cell>
          <cell r="X168">
            <v>2076</v>
          </cell>
          <cell r="Y168">
            <v>2439</v>
          </cell>
          <cell r="Z168">
            <v>2867</v>
          </cell>
        </row>
        <row r="169">
          <cell r="B169" t="str">
            <v>Intersegment Sales</v>
          </cell>
          <cell r="X169">
            <v>2</v>
          </cell>
          <cell r="Y169">
            <v>1</v>
          </cell>
          <cell r="Z169">
            <v>35</v>
          </cell>
        </row>
        <row r="170">
          <cell r="B170" t="str">
            <v>Total Sales</v>
          </cell>
          <cell r="X170">
            <v>2078</v>
          </cell>
          <cell r="Y170">
            <v>2440</v>
          </cell>
          <cell r="Z170">
            <v>2902</v>
          </cell>
        </row>
        <row r="171">
          <cell r="B171" t="str">
            <v>Accountable Profit</v>
          </cell>
          <cell r="X171">
            <v>337</v>
          </cell>
          <cell r="Y171">
            <v>460</v>
          </cell>
          <cell r="Z171">
            <v>566</v>
          </cell>
        </row>
        <row r="172">
          <cell r="B172" t="str">
            <v>Margin %</v>
          </cell>
          <cell r="X172">
            <v>16.217516843118382</v>
          </cell>
          <cell r="Y172">
            <v>18.852459016393443</v>
          </cell>
          <cell r="Z172">
            <v>19.503790489317712</v>
          </cell>
        </row>
        <row r="173">
          <cell r="B173" t="str">
            <v>Accountable Assets</v>
          </cell>
          <cell r="X173">
            <v>20467</v>
          </cell>
          <cell r="Y173">
            <v>24450</v>
          </cell>
          <cell r="Z173">
            <v>26815</v>
          </cell>
        </row>
        <row r="174">
          <cell r="B174" t="str">
            <v>Acct Profit/Assets %</v>
          </cell>
          <cell r="X174">
            <v>1.6465529877363561</v>
          </cell>
          <cell r="Y174">
            <v>1.8813905930470349</v>
          </cell>
          <cell r="Z174">
            <v>2.110758903598732</v>
          </cell>
        </row>
        <row r="176">
          <cell r="B176" t="str">
            <v>All Other</v>
          </cell>
        </row>
        <row r="177">
          <cell r="B177" t="str">
            <v>External Sales</v>
          </cell>
          <cell r="X177">
            <v>4521</v>
          </cell>
          <cell r="Y177">
            <v>6059</v>
          </cell>
          <cell r="Z177">
            <v>7110</v>
          </cell>
        </row>
        <row r="178">
          <cell r="B178" t="str">
            <v>Intersegment Sales</v>
          </cell>
          <cell r="X178">
            <v>9048</v>
          </cell>
          <cell r="Y178">
            <v>11806</v>
          </cell>
          <cell r="Z178">
            <v>14388</v>
          </cell>
        </row>
        <row r="179">
          <cell r="B179" t="str">
            <v>Total Sales</v>
          </cell>
          <cell r="X179">
            <v>13569</v>
          </cell>
          <cell r="Y179">
            <v>17865</v>
          </cell>
          <cell r="Z179">
            <v>21498</v>
          </cell>
        </row>
        <row r="180">
          <cell r="B180" t="str">
            <v>Accountable Profit</v>
          </cell>
          <cell r="X180">
            <v>772</v>
          </cell>
          <cell r="Y180">
            <v>1320</v>
          </cell>
          <cell r="Z180">
            <v>1884</v>
          </cell>
        </row>
        <row r="181">
          <cell r="B181" t="str">
            <v>Margin %</v>
          </cell>
          <cell r="X181">
            <v>5.6894391627975534</v>
          </cell>
          <cell r="Y181">
            <v>7.3887489504617969</v>
          </cell>
          <cell r="Z181">
            <v>8.7636059168294729</v>
          </cell>
        </row>
        <row r="182">
          <cell r="B182" t="str">
            <v>Accountable Assets</v>
          </cell>
          <cell r="X182">
            <v>6369</v>
          </cell>
          <cell r="Y182">
            <v>8064</v>
          </cell>
          <cell r="Z182">
            <v>8583</v>
          </cell>
        </row>
        <row r="183">
          <cell r="B183" t="str">
            <v>Acct Profit/Assets %</v>
          </cell>
          <cell r="X183">
            <v>12.121212121212121</v>
          </cell>
          <cell r="Y183">
            <v>16.36904761904762</v>
          </cell>
          <cell r="Z183">
            <v>21.950367004543867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arnings-model"/>
      <sheetName val="inc charges"/>
      <sheetName val="BPF"/>
      <sheetName val="Acquisitions"/>
      <sheetName val="A vs E"/>
      <sheetName val="EV"/>
      <sheetName val="WACC "/>
      <sheetName val="DCF"/>
      <sheetName val="SumofParts"/>
      <sheetName val="ROIC"/>
      <sheetName val="Segments"/>
      <sheetName val="FactSet CF"/>
      <sheetName val="Core Sales"/>
      <sheetName val="Auto"/>
      <sheetName val="mgmt"/>
      <sheetName val="Tax Rate"/>
      <sheetName val="Charts 06"/>
      <sheetName val="gsr - Eaton Corp."/>
      <sheetName val="GPS - Eaton Corp."/>
      <sheetName val="Module1"/>
      <sheetName val="Acquisitions (2)"/>
      <sheetName val="report 01"/>
      <sheetName val="Competition"/>
      <sheetName val="EPS_Reported vs Operating"/>
      <sheetName val="End Markets"/>
      <sheetName val="WACC Calculations"/>
      <sheetName val="Cash Flow Forecasts"/>
      <sheetName val="Comps"/>
      <sheetName val="Swantje Data (2000)"/>
      <sheetName val="qtrly-fax"/>
      <sheetName val="CheatSheet"/>
      <sheetName val="Valuation"/>
      <sheetName val="Peak"/>
      <sheetName val="Charts 2006"/>
      <sheetName val="corporate transactions"/>
      <sheetName val="A-V"/>
      <sheetName val="Etn"/>
      <sheetName val="Competition (2000)"/>
      <sheetName val="Swantje Data (1999)"/>
      <sheetName val="Swantje Data (old)"/>
      <sheetName val="Charts"/>
      <sheetName val="CAPCO"/>
      <sheetName val="PE&amp;YLD"/>
      <sheetName val="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graphicalBrkdown"/>
      <sheetName val="iQ_Measure_Validations_Errors"/>
      <sheetName val="iQ_US_CoreIndustrials"/>
      <sheetName val="Model"/>
      <sheetName val="Sensitivity"/>
      <sheetName val="Balance Sheet (2)"/>
      <sheetName val="Cash Flows (2)"/>
      <sheetName val="Model for comment"/>
      <sheetName val="Balance Sheet"/>
      <sheetName val="Well Stats"/>
      <sheetName val="cmp"/>
      <sheetName val="Sheet1"/>
      <sheetName val="Print"/>
      <sheetName val="Module1"/>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ear"/>
      <sheetName val="GPSVAL7-157269-1774"/>
      <sheetName val="GPSVAL7-157269-171"/>
      <sheetName val="GPSVAL7-157269-1493"/>
      <sheetName val="M&amp;A"/>
      <sheetName val="Products &amp; Drivers"/>
      <sheetName val="Sheet1 (2)"/>
      <sheetName val="GPS - QIAGEN N.V."/>
      <sheetName val="GPSVAL-QGEN-GPS6NR"/>
      <sheetName val="TychoLink"/>
      <sheetName val="Sheet1"/>
      <sheetName val="Sheet2"/>
      <sheetName val="Repo"/>
      <sheetName val="NIH Exposures"/>
      <sheetName val="NIH Table "/>
      <sheetName val="Organic Growth"/>
      <sheetName val="EPS Revisions"/>
      <sheetName val="Price Performance"/>
      <sheetName val="FX-Minor"/>
      <sheetName val="FX-Major"/>
      <sheetName val="Relative EV (2)"/>
      <sheetName val="Historical PE"/>
      <sheetName val="Healthcare Sector"/>
      <sheetName val="Sheet8"/>
      <sheetName val="PMI Data"/>
      <sheetName val="End Market Outlook"/>
      <sheetName val="Oil"/>
      <sheetName val="Appropriations"/>
      <sheetName val="China Quotes"/>
      <sheetName val="Japan Quotes"/>
      <sheetName val="Sheet3"/>
      <sheetName val="Sheet4"/>
      <sheetName val="Convergence"/>
      <sheetName val="Sheet6"/>
      <sheetName val="Market Ca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6">
          <cell r="B6">
            <v>41333</v>
          </cell>
          <cell r="D6">
            <v>41305</v>
          </cell>
          <cell r="H6">
            <v>41333</v>
          </cell>
          <cell r="J6">
            <v>41333</v>
          </cell>
          <cell r="L6">
            <v>41333</v>
          </cell>
          <cell r="N6">
            <v>41364</v>
          </cell>
          <cell r="P6">
            <v>41305</v>
          </cell>
          <cell r="R6">
            <v>41333</v>
          </cell>
          <cell r="T6">
            <v>41333</v>
          </cell>
          <cell r="V6">
            <v>41333</v>
          </cell>
          <cell r="X6">
            <v>41333</v>
          </cell>
        </row>
        <row r="7">
          <cell r="B7">
            <v>41364</v>
          </cell>
          <cell r="D7">
            <v>41333</v>
          </cell>
          <cell r="H7">
            <v>41364</v>
          </cell>
          <cell r="J7">
            <v>41364</v>
          </cell>
          <cell r="L7">
            <v>41364</v>
          </cell>
          <cell r="N7">
            <v>41455</v>
          </cell>
          <cell r="P7">
            <v>41333</v>
          </cell>
          <cell r="R7">
            <v>41364</v>
          </cell>
          <cell r="T7">
            <v>41364</v>
          </cell>
          <cell r="V7">
            <v>41364</v>
          </cell>
          <cell r="X7">
            <v>41364</v>
          </cell>
        </row>
        <row r="8">
          <cell r="B8">
            <v>41394</v>
          </cell>
          <cell r="D8">
            <v>41364</v>
          </cell>
          <cell r="H8">
            <v>41394</v>
          </cell>
          <cell r="J8">
            <v>41394</v>
          </cell>
          <cell r="L8">
            <v>41394</v>
          </cell>
          <cell r="N8">
            <v>41547</v>
          </cell>
          <cell r="P8">
            <v>41364</v>
          </cell>
          <cell r="R8">
            <v>41394</v>
          </cell>
          <cell r="T8">
            <v>41394</v>
          </cell>
          <cell r="V8">
            <v>41394</v>
          </cell>
          <cell r="X8">
            <v>41394</v>
          </cell>
        </row>
        <row r="9">
          <cell r="B9">
            <v>41425</v>
          </cell>
          <cell r="D9">
            <v>41394</v>
          </cell>
          <cell r="H9">
            <v>41425</v>
          </cell>
          <cell r="J9">
            <v>41425</v>
          </cell>
          <cell r="L9">
            <v>41425</v>
          </cell>
          <cell r="N9">
            <v>41639</v>
          </cell>
          <cell r="P9">
            <v>41394</v>
          </cell>
          <cell r="R9">
            <v>41425</v>
          </cell>
          <cell r="T9">
            <v>41425</v>
          </cell>
          <cell r="V9">
            <v>41425</v>
          </cell>
          <cell r="X9">
            <v>41425</v>
          </cell>
        </row>
        <row r="10">
          <cell r="B10">
            <v>41455</v>
          </cell>
          <cell r="D10">
            <v>41425</v>
          </cell>
          <cell r="H10">
            <v>41455</v>
          </cell>
          <cell r="J10">
            <v>41455</v>
          </cell>
          <cell r="L10">
            <v>41455</v>
          </cell>
          <cell r="N10">
            <v>41729</v>
          </cell>
          <cell r="P10">
            <v>41425</v>
          </cell>
          <cell r="R10">
            <v>41455</v>
          </cell>
          <cell r="T10">
            <v>41455</v>
          </cell>
          <cell r="V10">
            <v>41455</v>
          </cell>
          <cell r="X10">
            <v>41455</v>
          </cell>
        </row>
        <row r="11">
          <cell r="B11">
            <v>41486</v>
          </cell>
          <cell r="D11">
            <v>41455</v>
          </cell>
          <cell r="H11">
            <v>41486</v>
          </cell>
          <cell r="J11">
            <v>41486</v>
          </cell>
          <cell r="L11">
            <v>41486</v>
          </cell>
          <cell r="N11">
            <v>41820</v>
          </cell>
          <cell r="P11">
            <v>41455</v>
          </cell>
          <cell r="R11">
            <v>41486</v>
          </cell>
          <cell r="T11">
            <v>41486</v>
          </cell>
          <cell r="V11">
            <v>41486</v>
          </cell>
          <cell r="X11">
            <v>41486</v>
          </cell>
        </row>
        <row r="12">
          <cell r="B12">
            <v>41517</v>
          </cell>
          <cell r="D12">
            <v>41486</v>
          </cell>
          <cell r="H12">
            <v>41517</v>
          </cell>
          <cell r="J12">
            <v>41517</v>
          </cell>
          <cell r="L12">
            <v>41517</v>
          </cell>
          <cell r="N12">
            <v>41912</v>
          </cell>
          <cell r="P12">
            <v>41486</v>
          </cell>
          <cell r="R12">
            <v>41517</v>
          </cell>
          <cell r="T12">
            <v>41517</v>
          </cell>
          <cell r="V12">
            <v>41517</v>
          </cell>
          <cell r="X12">
            <v>41517</v>
          </cell>
        </row>
        <row r="13">
          <cell r="B13">
            <v>41547</v>
          </cell>
          <cell r="D13">
            <v>41517</v>
          </cell>
          <cell r="H13">
            <v>41547</v>
          </cell>
          <cell r="J13">
            <v>41547</v>
          </cell>
          <cell r="L13">
            <v>41547</v>
          </cell>
          <cell r="N13">
            <v>42004</v>
          </cell>
          <cell r="P13">
            <v>41517</v>
          </cell>
          <cell r="R13">
            <v>41547</v>
          </cell>
          <cell r="T13">
            <v>41547</v>
          </cell>
          <cell r="V13">
            <v>41547</v>
          </cell>
          <cell r="X13">
            <v>41547</v>
          </cell>
        </row>
        <row r="14">
          <cell r="B14">
            <v>41578</v>
          </cell>
          <cell r="D14">
            <v>41547</v>
          </cell>
          <cell r="H14">
            <v>41578</v>
          </cell>
          <cell r="J14">
            <v>41578</v>
          </cell>
          <cell r="L14">
            <v>41578</v>
          </cell>
          <cell r="N14">
            <v>42094</v>
          </cell>
          <cell r="P14">
            <v>41547</v>
          </cell>
          <cell r="R14">
            <v>41578</v>
          </cell>
          <cell r="T14">
            <v>41578</v>
          </cell>
          <cell r="V14">
            <v>41578</v>
          </cell>
          <cell r="X14">
            <v>41578</v>
          </cell>
        </row>
        <row r="15">
          <cell r="B15">
            <v>41608</v>
          </cell>
          <cell r="D15">
            <v>41578</v>
          </cell>
          <cell r="H15">
            <v>41608</v>
          </cell>
          <cell r="J15">
            <v>41608</v>
          </cell>
          <cell r="L15">
            <v>41608</v>
          </cell>
          <cell r="N15">
            <v>42185</v>
          </cell>
          <cell r="P15">
            <v>41578</v>
          </cell>
          <cell r="R15">
            <v>41608</v>
          </cell>
          <cell r="T15">
            <v>41608</v>
          </cell>
          <cell r="V15">
            <v>41608</v>
          </cell>
          <cell r="X15">
            <v>41608</v>
          </cell>
        </row>
        <row r="16">
          <cell r="B16">
            <v>41639</v>
          </cell>
          <cell r="D16">
            <v>41608</v>
          </cell>
          <cell r="H16">
            <v>41639</v>
          </cell>
          <cell r="J16">
            <v>41639</v>
          </cell>
          <cell r="L16">
            <v>41639</v>
          </cell>
          <cell r="N16">
            <v>42277</v>
          </cell>
          <cell r="P16">
            <v>41608</v>
          </cell>
          <cell r="R16">
            <v>41639</v>
          </cell>
          <cell r="T16">
            <v>41639</v>
          </cell>
          <cell r="V16">
            <v>41639</v>
          </cell>
          <cell r="X16">
            <v>41639</v>
          </cell>
        </row>
        <row r="17">
          <cell r="B17">
            <v>41670</v>
          </cell>
          <cell r="D17">
            <v>41639</v>
          </cell>
          <cell r="H17">
            <v>41670</v>
          </cell>
          <cell r="J17">
            <v>41670</v>
          </cell>
          <cell r="L17">
            <v>41670</v>
          </cell>
          <cell r="N17">
            <v>42369</v>
          </cell>
          <cell r="P17">
            <v>41639</v>
          </cell>
          <cell r="R17">
            <v>41670</v>
          </cell>
          <cell r="T17">
            <v>41670</v>
          </cell>
          <cell r="V17">
            <v>41670</v>
          </cell>
          <cell r="X17">
            <v>41670</v>
          </cell>
        </row>
        <row r="18">
          <cell r="B18">
            <v>41698</v>
          </cell>
          <cell r="D18">
            <v>41670</v>
          </cell>
          <cell r="H18">
            <v>41698</v>
          </cell>
          <cell r="J18">
            <v>41698</v>
          </cell>
          <cell r="L18">
            <v>41698</v>
          </cell>
          <cell r="N18">
            <v>0</v>
          </cell>
          <cell r="P18">
            <v>41670</v>
          </cell>
          <cell r="R18">
            <v>41698</v>
          </cell>
          <cell r="T18">
            <v>41698</v>
          </cell>
          <cell r="V18">
            <v>41698</v>
          </cell>
          <cell r="X18">
            <v>41698</v>
          </cell>
        </row>
        <row r="19">
          <cell r="B19">
            <v>41729</v>
          </cell>
          <cell r="D19">
            <v>41698</v>
          </cell>
          <cell r="H19">
            <v>41729</v>
          </cell>
          <cell r="J19">
            <v>41729</v>
          </cell>
          <cell r="L19">
            <v>41729</v>
          </cell>
          <cell r="N19">
            <v>0</v>
          </cell>
          <cell r="P19">
            <v>41698</v>
          </cell>
          <cell r="R19">
            <v>41729</v>
          </cell>
          <cell r="T19">
            <v>41729</v>
          </cell>
          <cell r="V19">
            <v>41729</v>
          </cell>
          <cell r="X19">
            <v>41729</v>
          </cell>
        </row>
        <row r="20">
          <cell r="B20">
            <v>41759</v>
          </cell>
          <cell r="D20">
            <v>41729</v>
          </cell>
          <cell r="H20">
            <v>41759</v>
          </cell>
          <cell r="J20">
            <v>41759</v>
          </cell>
          <cell r="L20">
            <v>41759</v>
          </cell>
          <cell r="N20">
            <v>0</v>
          </cell>
          <cell r="P20">
            <v>41729</v>
          </cell>
          <cell r="R20">
            <v>41759</v>
          </cell>
          <cell r="T20">
            <v>41759</v>
          </cell>
          <cell r="V20">
            <v>41759</v>
          </cell>
          <cell r="X20">
            <v>41759</v>
          </cell>
        </row>
        <row r="21">
          <cell r="B21">
            <v>41790</v>
          </cell>
          <cell r="D21">
            <v>41759</v>
          </cell>
          <cell r="H21">
            <v>41790</v>
          </cell>
          <cell r="J21">
            <v>41790</v>
          </cell>
          <cell r="L21">
            <v>41790</v>
          </cell>
          <cell r="N21">
            <v>0</v>
          </cell>
          <cell r="P21">
            <v>41759</v>
          </cell>
          <cell r="R21">
            <v>41790</v>
          </cell>
          <cell r="T21">
            <v>41790</v>
          </cell>
          <cell r="V21">
            <v>41790</v>
          </cell>
          <cell r="X21">
            <v>41790</v>
          </cell>
        </row>
        <row r="22">
          <cell r="B22">
            <v>41820</v>
          </cell>
          <cell r="D22">
            <v>41790</v>
          </cell>
          <cell r="H22">
            <v>41820</v>
          </cell>
          <cell r="J22">
            <v>41820</v>
          </cell>
          <cell r="L22">
            <v>41820</v>
          </cell>
          <cell r="N22">
            <v>0</v>
          </cell>
          <cell r="P22">
            <v>41790</v>
          </cell>
          <cell r="R22">
            <v>41820</v>
          </cell>
          <cell r="T22">
            <v>41820</v>
          </cell>
          <cell r="V22">
            <v>41820</v>
          </cell>
          <cell r="X22">
            <v>41820</v>
          </cell>
        </row>
        <row r="23">
          <cell r="B23">
            <v>41851</v>
          </cell>
          <cell r="D23">
            <v>41820</v>
          </cell>
          <cell r="H23">
            <v>41851</v>
          </cell>
          <cell r="J23">
            <v>41851</v>
          </cell>
          <cell r="L23">
            <v>41851</v>
          </cell>
          <cell r="N23">
            <v>0</v>
          </cell>
          <cell r="P23">
            <v>41820</v>
          </cell>
          <cell r="R23">
            <v>41851</v>
          </cell>
          <cell r="T23">
            <v>41851</v>
          </cell>
          <cell r="V23">
            <v>41851</v>
          </cell>
          <cell r="X23">
            <v>41851</v>
          </cell>
        </row>
        <row r="24">
          <cell r="B24">
            <v>41882</v>
          </cell>
          <cell r="D24">
            <v>41851</v>
          </cell>
          <cell r="H24">
            <v>41882</v>
          </cell>
          <cell r="J24">
            <v>41882</v>
          </cell>
          <cell r="L24">
            <v>41882</v>
          </cell>
          <cell r="N24">
            <v>0</v>
          </cell>
          <cell r="P24">
            <v>41851</v>
          </cell>
          <cell r="R24">
            <v>41882</v>
          </cell>
          <cell r="T24">
            <v>41882</v>
          </cell>
          <cell r="V24">
            <v>41882</v>
          </cell>
          <cell r="X24">
            <v>41882</v>
          </cell>
        </row>
        <row r="25">
          <cell r="B25">
            <v>41912</v>
          </cell>
          <cell r="D25">
            <v>41882</v>
          </cell>
          <cell r="H25">
            <v>41912</v>
          </cell>
          <cell r="J25">
            <v>41912</v>
          </cell>
          <cell r="L25">
            <v>41912</v>
          </cell>
          <cell r="N25">
            <v>0</v>
          </cell>
          <cell r="P25">
            <v>41882</v>
          </cell>
          <cell r="R25">
            <v>41912</v>
          </cell>
          <cell r="T25">
            <v>41912</v>
          </cell>
          <cell r="V25">
            <v>41912</v>
          </cell>
          <cell r="X25">
            <v>41912</v>
          </cell>
        </row>
        <row r="26">
          <cell r="B26">
            <v>41943</v>
          </cell>
          <cell r="D26">
            <v>41912</v>
          </cell>
          <cell r="H26">
            <v>41943</v>
          </cell>
          <cell r="J26">
            <v>41943</v>
          </cell>
          <cell r="L26">
            <v>41943</v>
          </cell>
          <cell r="P26">
            <v>41912</v>
          </cell>
          <cell r="R26">
            <v>41943</v>
          </cell>
          <cell r="T26">
            <v>41943</v>
          </cell>
          <cell r="V26">
            <v>41943</v>
          </cell>
          <cell r="X26">
            <v>41943</v>
          </cell>
        </row>
        <row r="27">
          <cell r="B27">
            <v>41973</v>
          </cell>
          <cell r="D27">
            <v>41943</v>
          </cell>
          <cell r="H27">
            <v>41973</v>
          </cell>
          <cell r="J27">
            <v>41973</v>
          </cell>
          <cell r="L27">
            <v>41973</v>
          </cell>
          <cell r="P27">
            <v>41943</v>
          </cell>
          <cell r="R27">
            <v>41973</v>
          </cell>
          <cell r="T27">
            <v>41973</v>
          </cell>
          <cell r="V27">
            <v>41973</v>
          </cell>
          <cell r="X27">
            <v>41973</v>
          </cell>
        </row>
        <row r="28">
          <cell r="B28">
            <v>42004</v>
          </cell>
          <cell r="D28">
            <v>41973</v>
          </cell>
          <cell r="H28">
            <v>42004</v>
          </cell>
          <cell r="J28">
            <v>42004</v>
          </cell>
          <cell r="L28">
            <v>42004</v>
          </cell>
          <cell r="P28">
            <v>41973</v>
          </cell>
          <cell r="R28">
            <v>42004</v>
          </cell>
          <cell r="T28">
            <v>42004</v>
          </cell>
          <cell r="V28">
            <v>42004</v>
          </cell>
          <cell r="X28">
            <v>42004</v>
          </cell>
        </row>
        <row r="29">
          <cell r="B29">
            <v>42035</v>
          </cell>
          <cell r="D29">
            <v>42004</v>
          </cell>
          <cell r="H29">
            <v>42035</v>
          </cell>
          <cell r="J29">
            <v>42035</v>
          </cell>
          <cell r="L29">
            <v>42035</v>
          </cell>
          <cell r="P29">
            <v>42004</v>
          </cell>
          <cell r="R29">
            <v>42035</v>
          </cell>
          <cell r="T29">
            <v>42035</v>
          </cell>
          <cell r="V29">
            <v>42035</v>
          </cell>
          <cell r="X29">
            <v>42035</v>
          </cell>
        </row>
        <row r="30">
          <cell r="B30">
            <v>42063</v>
          </cell>
          <cell r="D30">
            <v>42035</v>
          </cell>
          <cell r="H30">
            <v>42063</v>
          </cell>
          <cell r="J30">
            <v>42063</v>
          </cell>
          <cell r="L30">
            <v>42063</v>
          </cell>
          <cell r="P30">
            <v>42035</v>
          </cell>
          <cell r="R30">
            <v>42063</v>
          </cell>
          <cell r="T30">
            <v>42063</v>
          </cell>
          <cell r="V30">
            <v>42063</v>
          </cell>
          <cell r="X30">
            <v>42063</v>
          </cell>
        </row>
        <row r="31">
          <cell r="B31">
            <v>42094</v>
          </cell>
          <cell r="D31">
            <v>42063</v>
          </cell>
          <cell r="H31">
            <v>42094</v>
          </cell>
          <cell r="J31">
            <v>42094</v>
          </cell>
          <cell r="L31">
            <v>42094</v>
          </cell>
          <cell r="P31">
            <v>42063</v>
          </cell>
          <cell r="R31">
            <v>42094</v>
          </cell>
          <cell r="T31">
            <v>42094</v>
          </cell>
          <cell r="V31">
            <v>42094</v>
          </cell>
          <cell r="X31">
            <v>42094</v>
          </cell>
        </row>
        <row r="32">
          <cell r="B32">
            <v>42124</v>
          </cell>
          <cell r="D32">
            <v>42094</v>
          </cell>
          <cell r="H32">
            <v>42124</v>
          </cell>
          <cell r="J32">
            <v>42124</v>
          </cell>
          <cell r="L32">
            <v>42124</v>
          </cell>
          <cell r="P32">
            <v>42094</v>
          </cell>
          <cell r="R32">
            <v>42124</v>
          </cell>
          <cell r="T32">
            <v>42124</v>
          </cell>
          <cell r="V32">
            <v>42124</v>
          </cell>
          <cell r="X32">
            <v>42124</v>
          </cell>
        </row>
        <row r="33">
          <cell r="B33">
            <v>42155</v>
          </cell>
          <cell r="D33">
            <v>42124</v>
          </cell>
          <cell r="H33">
            <v>42155</v>
          </cell>
          <cell r="J33">
            <v>42155</v>
          </cell>
          <cell r="L33">
            <v>42155</v>
          </cell>
          <cell r="P33">
            <v>42124</v>
          </cell>
          <cell r="R33">
            <v>42155</v>
          </cell>
          <cell r="T33">
            <v>42155</v>
          </cell>
          <cell r="V33">
            <v>42155</v>
          </cell>
          <cell r="X33">
            <v>42155</v>
          </cell>
        </row>
        <row r="34">
          <cell r="B34">
            <v>42185</v>
          </cell>
          <cell r="D34">
            <v>42155</v>
          </cell>
          <cell r="H34">
            <v>42185</v>
          </cell>
          <cell r="J34">
            <v>42185</v>
          </cell>
          <cell r="L34">
            <v>42185</v>
          </cell>
          <cell r="P34">
            <v>42155</v>
          </cell>
          <cell r="R34">
            <v>42185</v>
          </cell>
          <cell r="T34">
            <v>42185</v>
          </cell>
          <cell r="V34">
            <v>42185</v>
          </cell>
          <cell r="X34">
            <v>42185</v>
          </cell>
        </row>
        <row r="35">
          <cell r="B35">
            <v>42216</v>
          </cell>
          <cell r="D35">
            <v>42185</v>
          </cell>
          <cell r="H35">
            <v>42216</v>
          </cell>
          <cell r="J35">
            <v>42216</v>
          </cell>
          <cell r="L35">
            <v>42216</v>
          </cell>
          <cell r="P35">
            <v>42185</v>
          </cell>
          <cell r="R35">
            <v>42216</v>
          </cell>
          <cell r="T35">
            <v>42216</v>
          </cell>
          <cell r="V35">
            <v>42216</v>
          </cell>
          <cell r="X35">
            <v>42216</v>
          </cell>
        </row>
        <row r="36">
          <cell r="B36">
            <v>42247</v>
          </cell>
          <cell r="D36">
            <v>42216</v>
          </cell>
          <cell r="H36">
            <v>42247</v>
          </cell>
          <cell r="J36">
            <v>42247</v>
          </cell>
          <cell r="L36">
            <v>42247</v>
          </cell>
          <cell r="P36">
            <v>42216</v>
          </cell>
          <cell r="R36">
            <v>42247</v>
          </cell>
          <cell r="T36">
            <v>42247</v>
          </cell>
          <cell r="V36">
            <v>42247</v>
          </cell>
          <cell r="X36">
            <v>42247</v>
          </cell>
        </row>
        <row r="37">
          <cell r="B37">
            <v>42277</v>
          </cell>
          <cell r="D37">
            <v>42247</v>
          </cell>
          <cell r="H37">
            <v>42277</v>
          </cell>
          <cell r="J37">
            <v>42277</v>
          </cell>
          <cell r="L37">
            <v>42277</v>
          </cell>
          <cell r="P37">
            <v>42247</v>
          </cell>
          <cell r="R37">
            <v>42277</v>
          </cell>
          <cell r="T37">
            <v>42277</v>
          </cell>
          <cell r="V37">
            <v>42277</v>
          </cell>
          <cell r="X37">
            <v>42277</v>
          </cell>
        </row>
        <row r="38">
          <cell r="B38">
            <v>42308</v>
          </cell>
          <cell r="D38">
            <v>42277</v>
          </cell>
          <cell r="H38">
            <v>42308</v>
          </cell>
          <cell r="J38">
            <v>42308</v>
          </cell>
          <cell r="L38">
            <v>42308</v>
          </cell>
          <cell r="P38">
            <v>42277</v>
          </cell>
          <cell r="R38">
            <v>42308</v>
          </cell>
          <cell r="T38">
            <v>42308</v>
          </cell>
          <cell r="V38">
            <v>42308</v>
          </cell>
          <cell r="X38">
            <v>42308</v>
          </cell>
        </row>
        <row r="39">
          <cell r="B39">
            <v>42338</v>
          </cell>
          <cell r="D39">
            <v>42308</v>
          </cell>
          <cell r="H39">
            <v>42338</v>
          </cell>
          <cell r="J39">
            <v>42338</v>
          </cell>
          <cell r="L39">
            <v>42338</v>
          </cell>
          <cell r="P39">
            <v>42308</v>
          </cell>
          <cell r="R39">
            <v>42338</v>
          </cell>
          <cell r="T39">
            <v>42338</v>
          </cell>
          <cell r="V39">
            <v>42338</v>
          </cell>
          <cell r="X39">
            <v>42338</v>
          </cell>
        </row>
        <row r="40">
          <cell r="B40">
            <v>42369</v>
          </cell>
          <cell r="D40">
            <v>42338</v>
          </cell>
          <cell r="H40">
            <v>42369</v>
          </cell>
          <cell r="J40">
            <v>42369</v>
          </cell>
          <cell r="L40">
            <v>42369</v>
          </cell>
          <cell r="P40">
            <v>42338</v>
          </cell>
          <cell r="R40">
            <v>42369</v>
          </cell>
          <cell r="T40">
            <v>42369</v>
          </cell>
          <cell r="V40">
            <v>42369</v>
          </cell>
          <cell r="X40">
            <v>42369</v>
          </cell>
        </row>
        <row r="41">
          <cell r="B41">
            <v>42400</v>
          </cell>
          <cell r="D41">
            <v>42369</v>
          </cell>
          <cell r="H41">
            <v>42400</v>
          </cell>
          <cell r="J41">
            <v>42400</v>
          </cell>
          <cell r="L41">
            <v>42400</v>
          </cell>
          <cell r="P41">
            <v>42369</v>
          </cell>
          <cell r="R41">
            <v>42400</v>
          </cell>
          <cell r="T41">
            <v>42400</v>
          </cell>
          <cell r="V41">
            <v>42400</v>
          </cell>
          <cell r="X41">
            <v>42400</v>
          </cell>
        </row>
        <row r="42">
          <cell r="D42">
            <v>42400</v>
          </cell>
          <cell r="H42">
            <v>0</v>
          </cell>
          <cell r="P42">
            <v>42400</v>
          </cell>
        </row>
        <row r="43">
          <cell r="D43">
            <v>0</v>
          </cell>
          <cell r="H43">
            <v>0</v>
          </cell>
        </row>
        <row r="44">
          <cell r="D44">
            <v>0</v>
          </cell>
          <cell r="H44">
            <v>0</v>
          </cell>
        </row>
        <row r="45">
          <cell r="D45">
            <v>0</v>
          </cell>
          <cell r="H45">
            <v>0</v>
          </cell>
        </row>
        <row r="46">
          <cell r="D46">
            <v>0</v>
          </cell>
          <cell r="H46">
            <v>0</v>
          </cell>
        </row>
        <row r="47">
          <cell r="D47">
            <v>0</v>
          </cell>
          <cell r="H47">
            <v>0</v>
          </cell>
        </row>
        <row r="48">
          <cell r="D48">
            <v>0</v>
          </cell>
          <cell r="H48">
            <v>0</v>
          </cell>
        </row>
        <row r="49">
          <cell r="D49">
            <v>0</v>
          </cell>
          <cell r="H49">
            <v>0</v>
          </cell>
        </row>
        <row r="50">
          <cell r="D50">
            <v>0</v>
          </cell>
          <cell r="H50">
            <v>0</v>
          </cell>
        </row>
        <row r="51">
          <cell r="D51">
            <v>0</v>
          </cell>
          <cell r="H51">
            <v>0</v>
          </cell>
        </row>
        <row r="52">
          <cell r="D52">
            <v>0</v>
          </cell>
          <cell r="H52">
            <v>0</v>
          </cell>
        </row>
        <row r="53">
          <cell r="D53">
            <v>0</v>
          </cell>
          <cell r="H53">
            <v>0</v>
          </cell>
        </row>
        <row r="54">
          <cell r="D54">
            <v>0</v>
          </cell>
          <cell r="H54">
            <v>0</v>
          </cell>
        </row>
        <row r="55">
          <cell r="D55">
            <v>0</v>
          </cell>
          <cell r="H55">
            <v>0</v>
          </cell>
        </row>
        <row r="56">
          <cell r="D56">
            <v>0</v>
          </cell>
          <cell r="H56">
            <v>0</v>
          </cell>
        </row>
        <row r="57">
          <cell r="D57">
            <v>0</v>
          </cell>
          <cell r="H57">
            <v>0</v>
          </cell>
        </row>
        <row r="58">
          <cell r="D58">
            <v>0</v>
          </cell>
          <cell r="H58">
            <v>0</v>
          </cell>
        </row>
        <row r="59">
          <cell r="D59">
            <v>0</v>
          </cell>
          <cell r="H59">
            <v>0</v>
          </cell>
        </row>
        <row r="60">
          <cell r="D60">
            <v>0</v>
          </cell>
          <cell r="H60">
            <v>0</v>
          </cell>
        </row>
        <row r="61">
          <cell r="D61">
            <v>0</v>
          </cell>
          <cell r="H61">
            <v>0</v>
          </cell>
        </row>
        <row r="62">
          <cell r="D62">
            <v>0</v>
          </cell>
          <cell r="H62">
            <v>0</v>
          </cell>
        </row>
        <row r="63">
          <cell r="D63">
            <v>0</v>
          </cell>
          <cell r="H63">
            <v>0</v>
          </cell>
        </row>
        <row r="64">
          <cell r="D64">
            <v>0</v>
          </cell>
          <cell r="H64">
            <v>0</v>
          </cell>
        </row>
        <row r="65">
          <cell r="D65">
            <v>0</v>
          </cell>
          <cell r="H65">
            <v>0</v>
          </cell>
        </row>
        <row r="66">
          <cell r="D66">
            <v>0</v>
          </cell>
          <cell r="H66">
            <v>0</v>
          </cell>
        </row>
        <row r="67">
          <cell r="D67">
            <v>0</v>
          </cell>
          <cell r="H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0</v>
          </cell>
        </row>
        <row r="83">
          <cell r="D83">
            <v>0</v>
          </cell>
        </row>
        <row r="84">
          <cell r="D84">
            <v>0</v>
          </cell>
        </row>
        <row r="85">
          <cell r="D85">
            <v>0</v>
          </cell>
        </row>
        <row r="86">
          <cell r="D86">
            <v>0</v>
          </cell>
        </row>
        <row r="87">
          <cell r="D87">
            <v>0</v>
          </cell>
        </row>
        <row r="88">
          <cell r="D88">
            <v>0</v>
          </cell>
        </row>
        <row r="89">
          <cell r="D89">
            <v>0</v>
          </cell>
        </row>
        <row r="90">
          <cell r="D90">
            <v>0</v>
          </cell>
        </row>
        <row r="91">
          <cell r="D91">
            <v>0</v>
          </cell>
        </row>
        <row r="92">
          <cell r="D92">
            <v>0</v>
          </cell>
        </row>
        <row r="93">
          <cell r="D93">
            <v>0</v>
          </cell>
        </row>
        <row r="94">
          <cell r="D94">
            <v>0</v>
          </cell>
        </row>
        <row r="95">
          <cell r="D95">
            <v>0</v>
          </cell>
        </row>
        <row r="96">
          <cell r="D96">
            <v>0</v>
          </cell>
        </row>
        <row r="97">
          <cell r="D97">
            <v>0</v>
          </cell>
        </row>
        <row r="98">
          <cell r="D98">
            <v>0</v>
          </cell>
        </row>
        <row r="99">
          <cell r="D99">
            <v>0</v>
          </cell>
        </row>
        <row r="100">
          <cell r="D100">
            <v>0</v>
          </cell>
        </row>
        <row r="101">
          <cell r="D101">
            <v>0</v>
          </cell>
        </row>
        <row r="102">
          <cell r="D102">
            <v>0</v>
          </cell>
        </row>
        <row r="103">
          <cell r="D103">
            <v>0</v>
          </cell>
        </row>
        <row r="104">
          <cell r="D104">
            <v>0</v>
          </cell>
        </row>
        <row r="105">
          <cell r="D105">
            <v>0</v>
          </cell>
        </row>
        <row r="106">
          <cell r="D106">
            <v>0</v>
          </cell>
        </row>
        <row r="107">
          <cell r="D107">
            <v>0</v>
          </cell>
        </row>
        <row r="108">
          <cell r="D108">
            <v>0</v>
          </cell>
        </row>
        <row r="109">
          <cell r="D109">
            <v>0</v>
          </cell>
        </row>
        <row r="110">
          <cell r="D110">
            <v>0</v>
          </cell>
        </row>
        <row r="111">
          <cell r="D111">
            <v>0</v>
          </cell>
        </row>
        <row r="112">
          <cell r="D112">
            <v>0</v>
          </cell>
        </row>
        <row r="113">
          <cell r="D113">
            <v>0</v>
          </cell>
        </row>
        <row r="114">
          <cell r="D114">
            <v>0</v>
          </cell>
        </row>
        <row r="115">
          <cell r="D115">
            <v>0</v>
          </cell>
        </row>
        <row r="116">
          <cell r="D116">
            <v>0</v>
          </cell>
        </row>
        <row r="117">
          <cell r="D117">
            <v>0</v>
          </cell>
        </row>
        <row r="118">
          <cell r="D118">
            <v>0</v>
          </cell>
        </row>
        <row r="119">
          <cell r="D119">
            <v>0</v>
          </cell>
        </row>
        <row r="120">
          <cell r="D120">
            <v>0</v>
          </cell>
        </row>
        <row r="121">
          <cell r="D121">
            <v>0</v>
          </cell>
        </row>
        <row r="122">
          <cell r="D122">
            <v>0</v>
          </cell>
        </row>
        <row r="123">
          <cell r="D123">
            <v>0</v>
          </cell>
        </row>
        <row r="124">
          <cell r="D124">
            <v>0</v>
          </cell>
        </row>
        <row r="125">
          <cell r="D125">
            <v>0</v>
          </cell>
        </row>
        <row r="126">
          <cell r="D126">
            <v>0</v>
          </cell>
        </row>
        <row r="127">
          <cell r="D127">
            <v>0</v>
          </cell>
        </row>
        <row r="128">
          <cell r="D128">
            <v>0</v>
          </cell>
        </row>
        <row r="129">
          <cell r="D129">
            <v>0</v>
          </cell>
        </row>
        <row r="130">
          <cell r="D130">
            <v>0</v>
          </cell>
        </row>
        <row r="131">
          <cell r="D131">
            <v>0</v>
          </cell>
        </row>
        <row r="132">
          <cell r="D132">
            <v>0</v>
          </cell>
        </row>
        <row r="133">
          <cell r="D133">
            <v>0</v>
          </cell>
        </row>
        <row r="134">
          <cell r="D134">
            <v>0</v>
          </cell>
        </row>
        <row r="135">
          <cell r="D135">
            <v>0</v>
          </cell>
        </row>
        <row r="136">
          <cell r="D136">
            <v>0</v>
          </cell>
        </row>
        <row r="137">
          <cell r="D137">
            <v>0</v>
          </cell>
        </row>
        <row r="138">
          <cell r="D138">
            <v>0</v>
          </cell>
        </row>
        <row r="139">
          <cell r="D139">
            <v>0</v>
          </cell>
        </row>
        <row r="140">
          <cell r="D140">
            <v>0</v>
          </cell>
        </row>
        <row r="141">
          <cell r="D141">
            <v>0</v>
          </cell>
        </row>
        <row r="142">
          <cell r="D142">
            <v>0</v>
          </cell>
        </row>
        <row r="143">
          <cell r="D143">
            <v>0</v>
          </cell>
        </row>
        <row r="144">
          <cell r="D144">
            <v>0</v>
          </cell>
        </row>
        <row r="145">
          <cell r="D145">
            <v>0</v>
          </cell>
        </row>
        <row r="146">
          <cell r="D146">
            <v>0</v>
          </cell>
        </row>
        <row r="147">
          <cell r="D147">
            <v>0</v>
          </cell>
        </row>
        <row r="148">
          <cell r="D148">
            <v>0</v>
          </cell>
        </row>
        <row r="149">
          <cell r="D149">
            <v>0</v>
          </cell>
        </row>
        <row r="150">
          <cell r="D150">
            <v>0</v>
          </cell>
        </row>
        <row r="151">
          <cell r="D151">
            <v>0</v>
          </cell>
        </row>
        <row r="152">
          <cell r="D152">
            <v>0</v>
          </cell>
        </row>
        <row r="153">
          <cell r="D153">
            <v>0</v>
          </cell>
        </row>
        <row r="154">
          <cell r="D154">
            <v>0</v>
          </cell>
        </row>
        <row r="155">
          <cell r="D155">
            <v>0</v>
          </cell>
        </row>
        <row r="156">
          <cell r="D156">
            <v>0</v>
          </cell>
        </row>
        <row r="157">
          <cell r="D157">
            <v>0</v>
          </cell>
        </row>
        <row r="158">
          <cell r="D158">
            <v>0</v>
          </cell>
        </row>
        <row r="159">
          <cell r="D159">
            <v>0</v>
          </cell>
        </row>
        <row r="160">
          <cell r="D160">
            <v>0</v>
          </cell>
        </row>
        <row r="161">
          <cell r="D161">
            <v>0</v>
          </cell>
        </row>
        <row r="162">
          <cell r="D162">
            <v>0</v>
          </cell>
        </row>
        <row r="163">
          <cell r="D163">
            <v>0</v>
          </cell>
        </row>
        <row r="164">
          <cell r="D164">
            <v>0</v>
          </cell>
        </row>
        <row r="165">
          <cell r="D165">
            <v>0</v>
          </cell>
        </row>
        <row r="166">
          <cell r="D166">
            <v>0</v>
          </cell>
        </row>
        <row r="167">
          <cell r="D167">
            <v>0</v>
          </cell>
        </row>
        <row r="168">
          <cell r="D168">
            <v>0</v>
          </cell>
        </row>
        <row r="169">
          <cell r="D169">
            <v>0</v>
          </cell>
        </row>
        <row r="170">
          <cell r="D170">
            <v>0</v>
          </cell>
        </row>
        <row r="171">
          <cell r="D171">
            <v>0</v>
          </cell>
        </row>
        <row r="172">
          <cell r="D172">
            <v>0</v>
          </cell>
        </row>
        <row r="173">
          <cell r="D173">
            <v>0</v>
          </cell>
        </row>
        <row r="174">
          <cell r="D174">
            <v>0</v>
          </cell>
        </row>
        <row r="175">
          <cell r="D175">
            <v>0</v>
          </cell>
        </row>
        <row r="176">
          <cell r="D176">
            <v>0</v>
          </cell>
        </row>
        <row r="177">
          <cell r="D177">
            <v>0</v>
          </cell>
        </row>
        <row r="178">
          <cell r="D178">
            <v>0</v>
          </cell>
        </row>
        <row r="179">
          <cell r="D179">
            <v>0</v>
          </cell>
        </row>
        <row r="180">
          <cell r="D180">
            <v>0</v>
          </cell>
        </row>
        <row r="181">
          <cell r="D181">
            <v>0</v>
          </cell>
        </row>
        <row r="182">
          <cell r="D182">
            <v>0</v>
          </cell>
        </row>
        <row r="183">
          <cell r="D183">
            <v>0</v>
          </cell>
        </row>
        <row r="184">
          <cell r="D184">
            <v>0</v>
          </cell>
        </row>
        <row r="185">
          <cell r="D185">
            <v>0</v>
          </cell>
        </row>
        <row r="186">
          <cell r="D186">
            <v>0</v>
          </cell>
        </row>
        <row r="187">
          <cell r="D187">
            <v>0</v>
          </cell>
        </row>
      </sheetData>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METEK"/>
      <sheetName val="AME cash flow"/>
      <sheetName val="AMEBS"/>
      <sheetName val="AME Units"/>
      <sheetName val="AME Units Q"/>
      <sheetName val="Acquisitions"/>
      <sheetName val="AME-MULT"/>
      <sheetName val="Hedge Clause"/>
      <sheetName val="UPDATE"/>
    </sheetNames>
    <sheetDataSet>
      <sheetData sheetId="0"/>
      <sheetData sheetId="1" refreshError="1">
        <row r="2">
          <cell r="A2" t="str">
            <v>Ametek, Inc.</v>
          </cell>
        </row>
        <row r="4">
          <cell r="A4" t="str">
            <v>Harriet C. Baldwin,CFA  (212) 469-8157  harriet.baldwin@db.com</v>
          </cell>
        </row>
        <row r="5">
          <cell r="A5" t="str">
            <v>Deutsche Bank Securities Multi-Industry Team</v>
          </cell>
        </row>
      </sheetData>
      <sheetData sheetId="2"/>
      <sheetData sheetId="3"/>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
      <sheetName val="Cash Flow"/>
      <sheetName val="BalanceSheet"/>
      <sheetName val="E&amp;P"/>
      <sheetName val="UpstreamTable"/>
      <sheetName val="Sheet1"/>
      <sheetName val="AK-Q"/>
      <sheetName val="E&amp;P_Qtrs"/>
      <sheetName val="Historical"/>
      <sheetName val="Graphs"/>
      <sheetName val="R&amp;M &amp; Chemicals"/>
      <sheetName val="iQ_US_CoreIndustrials"/>
      <sheetName val="Consolidated"/>
      <sheetName val="COMPANY FINANCIAL DATA"/>
      <sheetName val="Pro Forma CF"/>
      <sheetName val="P-TOS"/>
      <sheetName val="P-BS"/>
      <sheetName val="COC-Model"/>
      <sheetName val="P-CF"/>
      <sheetName val="COC-CF"/>
      <sheetName val="COC-BS"/>
      <sheetName val="iQ_Measure_Validations_Errors"/>
      <sheetName val="COP-B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APCVALUE"/>
      <sheetName val="ADK"/>
      <sheetName val="APCCMP"/>
      <sheetName val="APCGR"/>
      <sheetName val="APCGR2"/>
      <sheetName val="Chart1"/>
      <sheetName val="Module1"/>
      <sheetName val="Module2"/>
      <sheetName val="Module3"/>
      <sheetName val="iQ_US_CoreIndustrials"/>
      <sheetName val="BkBillold"/>
      <sheetName val="AnnIS"/>
      <sheetName val="Mo BkBill "/>
      <sheetName val="Geographic"/>
      <sheetName val="QtrBS"/>
      <sheetName val="QtrIS"/>
      <sheetName val="Dividend"/>
      <sheetName val="Sheet1"/>
      <sheetName val="Financial"/>
      <sheetName val="Inputs"/>
      <sheetName val="Oil Sands"/>
      <sheetName val="Wireless OLD"/>
      <sheetName val="Bell OLD"/>
      <sheetName val="TPSHELLX"/>
      <sheetName val="NOPAT_VDF"/>
      <sheetName val="Invested capital_VDF"/>
      <sheetName val="DCF_VDF"/>
      <sheetName val="WACC_VDF"/>
      <sheetName val="Summary Page_VDF"/>
      <sheetName val="PV of Op Leases_VDF"/>
    </sheetNames>
    <sheetDataSet>
      <sheetData sheetId="0"/>
      <sheetData sheetId="1"/>
      <sheetData sheetId="2" refreshError="1">
        <row r="2">
          <cell r="A2" t="str">
            <v>Anadarko Supplemental Natural Gas Contract Breakdown</v>
          </cell>
        </row>
        <row r="3">
          <cell r="A3" t="str">
            <v xml:space="preserve"> Daily Production (MMcf/D)</v>
          </cell>
          <cell r="B3">
            <v>1989</v>
          </cell>
          <cell r="C3">
            <v>1990</v>
          </cell>
          <cell r="D3" t="str">
            <v>1Q91</v>
          </cell>
          <cell r="E3" t="str">
            <v>2Q91</v>
          </cell>
          <cell r="F3" t="str">
            <v>3Q91</v>
          </cell>
          <cell r="G3" t="str">
            <v>4Q91</v>
          </cell>
          <cell r="H3">
            <v>1991</v>
          </cell>
          <cell r="I3" t="str">
            <v>1Q92</v>
          </cell>
          <cell r="J3" t="str">
            <v>2Q92</v>
          </cell>
          <cell r="K3" t="str">
            <v>3Q92</v>
          </cell>
          <cell r="L3" t="str">
            <v>4Q92</v>
          </cell>
          <cell r="M3">
            <v>1992</v>
          </cell>
          <cell r="N3" t="str">
            <v>1Q93</v>
          </cell>
          <cell r="O3" t="str">
            <v>2Q93</v>
          </cell>
          <cell r="P3" t="str">
            <v>3Q93</v>
          </cell>
          <cell r="Q3" t="str">
            <v>4Q93</v>
          </cell>
          <cell r="R3">
            <v>1993</v>
          </cell>
          <cell r="S3" t="str">
            <v>1Q94</v>
          </cell>
          <cell r="T3" t="str">
            <v>2Q94</v>
          </cell>
          <cell r="U3" t="str">
            <v>3Q94</v>
          </cell>
          <cell r="V3" t="str">
            <v>4Q94</v>
          </cell>
          <cell r="W3">
            <v>1994</v>
          </cell>
          <cell r="X3" t="str">
            <v>1q</v>
          </cell>
          <cell r="Y3" t="str">
            <v>2q</v>
          </cell>
          <cell r="Z3" t="str">
            <v>3q</v>
          </cell>
          <cell r="AA3" t="str">
            <v>4q</v>
          </cell>
          <cell r="AB3">
            <v>1995</v>
          </cell>
          <cell r="AC3" t="str">
            <v>1q</v>
          </cell>
          <cell r="AD3" t="str">
            <v>2q</v>
          </cell>
          <cell r="AE3" t="str">
            <v>3q</v>
          </cell>
          <cell r="AF3" t="str">
            <v>4q</v>
          </cell>
          <cell r="AG3" t="str">
            <v>1996</v>
          </cell>
          <cell r="AH3" t="str">
            <v>1q</v>
          </cell>
          <cell r="AI3" t="str">
            <v>2q</v>
          </cell>
          <cell r="AJ3" t="str">
            <v>3q</v>
          </cell>
          <cell r="AK3" t="str">
            <v>4q</v>
          </cell>
          <cell r="AL3" t="str">
            <v>1997</v>
          </cell>
          <cell r="AM3" t="str">
            <v>1q</v>
          </cell>
          <cell r="AN3" t="str">
            <v>2q</v>
          </cell>
          <cell r="AO3" t="str">
            <v>3q</v>
          </cell>
          <cell r="AP3" t="str">
            <v>4q</v>
          </cell>
          <cell r="AQ3" t="str">
            <v>1998</v>
          </cell>
          <cell r="AR3" t="str">
            <v>1q</v>
          </cell>
          <cell r="AS3" t="str">
            <v>2q</v>
          </cell>
          <cell r="AT3" t="str">
            <v>3qe</v>
          </cell>
          <cell r="AU3" t="str">
            <v>4qe</v>
          </cell>
          <cell r="AV3" t="str">
            <v>1999E</v>
          </cell>
          <cell r="AW3" t="str">
            <v>2000E</v>
          </cell>
        </row>
        <row r="4">
          <cell r="A4" t="str">
            <v xml:space="preserve">  Natural Gas Spot Sales </v>
          </cell>
          <cell r="C4">
            <v>302.46575342465752</v>
          </cell>
          <cell r="D4">
            <v>308.88888888888891</v>
          </cell>
          <cell r="E4">
            <v>246.15384615384616</v>
          </cell>
          <cell r="F4">
            <v>217.39130434782609</v>
          </cell>
          <cell r="G4">
            <v>338.04347826086956</v>
          </cell>
          <cell r="H4">
            <v>277.53424657534248</v>
          </cell>
          <cell r="I4">
            <v>304.61538461538464</v>
          </cell>
          <cell r="J4">
            <v>215.38461538461536</v>
          </cell>
          <cell r="K4">
            <v>245</v>
          </cell>
          <cell r="L4">
            <v>425.92391304347825</v>
          </cell>
          <cell r="M4">
            <v>293.99248633879779</v>
          </cell>
          <cell r="N4">
            <v>390.05</v>
          </cell>
          <cell r="O4">
            <v>286.43406593406593</v>
          </cell>
          <cell r="P4">
            <v>291.11413043478262</v>
          </cell>
          <cell r="Q4">
            <v>363.58695652173913</v>
          </cell>
          <cell r="R4">
            <v>332.60958904109589</v>
          </cell>
          <cell r="S4">
            <v>428.44444444444446</v>
          </cell>
          <cell r="T4">
            <v>377.64395604395605</v>
          </cell>
          <cell r="U4">
            <v>355.6521739130435</v>
          </cell>
          <cell r="V4">
            <v>380</v>
          </cell>
          <cell r="W4">
            <v>385.22082191780822</v>
          </cell>
          <cell r="X4">
            <v>390.05555555555554</v>
          </cell>
          <cell r="Y4">
            <v>406.31868131868134</v>
          </cell>
          <cell r="Z4">
            <v>388.04347826086951</v>
          </cell>
          <cell r="AA4">
            <v>411.14130434782601</v>
          </cell>
          <cell r="AB4">
            <v>398.91780821917808</v>
          </cell>
          <cell r="AC4">
            <v>437.00000000000006</v>
          </cell>
          <cell r="AD4">
            <v>399.56043956043953</v>
          </cell>
          <cell r="AE4">
            <v>389.3478260869565</v>
          </cell>
          <cell r="AF4">
            <v>401.08695652173913</v>
          </cell>
          <cell r="AG4">
            <v>406.60273972602738</v>
          </cell>
          <cell r="AH4">
            <v>423</v>
          </cell>
          <cell r="AI4">
            <v>433.1868131868132</v>
          </cell>
          <cell r="AJ4">
            <v>444.59999999999997</v>
          </cell>
          <cell r="AK4">
            <v>461.7</v>
          </cell>
          <cell r="AL4">
            <v>440.73863013698622</v>
          </cell>
          <cell r="AM4">
            <v>440.1</v>
          </cell>
          <cell r="AN4">
            <v>416.70000000000005</v>
          </cell>
          <cell r="AO4">
            <v>447.2999999999999</v>
          </cell>
          <cell r="AP4">
            <v>438.30000000000007</v>
          </cell>
          <cell r="AQ4">
            <v>435.62712328767128</v>
          </cell>
          <cell r="AR4">
            <v>440.1</v>
          </cell>
          <cell r="AS4">
            <v>414.90000000000003</v>
          </cell>
          <cell r="AT4">
            <v>400.5</v>
          </cell>
          <cell r="AU4">
            <v>405</v>
          </cell>
          <cell r="AV4">
            <v>414.98876712328763</v>
          </cell>
          <cell r="AW4">
            <v>454.49999999999994</v>
          </cell>
        </row>
        <row r="5">
          <cell r="A5" t="str">
            <v xml:space="preserve">  Natural Gas Contract Sales </v>
          </cell>
          <cell r="C5">
            <v>109.44657534246578</v>
          </cell>
          <cell r="D5">
            <v>138.33333333333334</v>
          </cell>
          <cell r="E5">
            <v>79.681318681318686</v>
          </cell>
          <cell r="F5">
            <v>61.260869565217384</v>
          </cell>
          <cell r="G5">
            <v>121.73913043478257</v>
          </cell>
          <cell r="H5">
            <v>100.10136986301367</v>
          </cell>
          <cell r="I5">
            <v>130.54945054945057</v>
          </cell>
          <cell r="J5">
            <v>92.307692307692321</v>
          </cell>
          <cell r="K5">
            <v>105.00000000000004</v>
          </cell>
          <cell r="L5">
            <v>75.16304347826086</v>
          </cell>
          <cell r="M5">
            <v>104.64139344262298</v>
          </cell>
          <cell r="N5">
            <v>130.01666666666662</v>
          </cell>
          <cell r="O5">
            <v>95.478021978021957</v>
          </cell>
          <cell r="P5">
            <v>97.038043478260889</v>
          </cell>
          <cell r="Q5">
            <v>121.19565217391302</v>
          </cell>
          <cell r="R5">
            <v>110.86986301369863</v>
          </cell>
          <cell r="S5">
            <v>107.11111111111111</v>
          </cell>
          <cell r="T5">
            <v>94.410989010989013</v>
          </cell>
          <cell r="U5">
            <v>88.913043478260875</v>
          </cell>
          <cell r="V5">
            <v>95.000000000000014</v>
          </cell>
          <cell r="W5">
            <v>96.305205479452056</v>
          </cell>
          <cell r="X5">
            <v>68.833333333333329</v>
          </cell>
          <cell r="Y5">
            <v>71.703296703296687</v>
          </cell>
          <cell r="Z5">
            <v>68.478260869565261</v>
          </cell>
          <cell r="AA5">
            <v>72.55434782608701</v>
          </cell>
          <cell r="AB5">
            <v>70.39726027397262</v>
          </cell>
          <cell r="AC5">
            <v>48.555555555555529</v>
          </cell>
          <cell r="AD5">
            <v>44.395604395604387</v>
          </cell>
          <cell r="AE5">
            <v>43.260869565217355</v>
          </cell>
          <cell r="AF5">
            <v>44.565217391304365</v>
          </cell>
          <cell r="AG5">
            <v>45.17808219178081</v>
          </cell>
          <cell r="AH5">
            <v>46.999999999999972</v>
          </cell>
          <cell r="AI5">
            <v>48.131868131868082</v>
          </cell>
          <cell r="AJ5">
            <v>49.40000000000002</v>
          </cell>
          <cell r="AK5">
            <v>51.3</v>
          </cell>
          <cell r="AL5">
            <v>48.970958904109573</v>
          </cell>
          <cell r="AM5">
            <v>48.899999999999963</v>
          </cell>
          <cell r="AN5">
            <v>46.299999999999962</v>
          </cell>
          <cell r="AO5">
            <v>49.700000000000017</v>
          </cell>
          <cell r="AP5">
            <v>48.699999999999953</v>
          </cell>
          <cell r="AQ5">
            <v>48.403013698630112</v>
          </cell>
          <cell r="AR5">
            <v>48.899999999999963</v>
          </cell>
          <cell r="AS5">
            <v>46.099999999999966</v>
          </cell>
          <cell r="AT5">
            <v>44.500000000000014</v>
          </cell>
          <cell r="AU5">
            <v>45.000000000000007</v>
          </cell>
          <cell r="AV5">
            <v>46.109863013698593</v>
          </cell>
          <cell r="AW5">
            <v>50.500000000000007</v>
          </cell>
        </row>
        <row r="6">
          <cell r="A6" t="str">
            <v>Total Natural Gas Production</v>
          </cell>
          <cell r="M6">
            <v>398.63387978142077</v>
          </cell>
          <cell r="R6">
            <v>443.47945205479454</v>
          </cell>
          <cell r="S6">
            <v>535.55555555555554</v>
          </cell>
          <cell r="T6">
            <v>472.05494505494505</v>
          </cell>
          <cell r="U6">
            <v>444.56521739130437</v>
          </cell>
          <cell r="V6">
            <v>475</v>
          </cell>
          <cell r="W6">
            <v>481.52602739726029</v>
          </cell>
          <cell r="X6">
            <v>458.88888888888886</v>
          </cell>
          <cell r="Y6">
            <v>478.02197802197804</v>
          </cell>
          <cell r="Z6">
            <v>456.52173913043475</v>
          </cell>
          <cell r="AA6">
            <v>483.695652173913</v>
          </cell>
          <cell r="AB6">
            <v>469.3150684931507</v>
          </cell>
          <cell r="AC6">
            <v>485.5555555555556</v>
          </cell>
          <cell r="AD6">
            <v>443.95604395604391</v>
          </cell>
          <cell r="AE6">
            <v>432.60869565217388</v>
          </cell>
          <cell r="AF6">
            <v>445.6521739130435</v>
          </cell>
          <cell r="AG6">
            <v>451.78082191780817</v>
          </cell>
          <cell r="AH6">
            <v>470</v>
          </cell>
          <cell r="AI6">
            <v>481.31868131868129</v>
          </cell>
          <cell r="AJ6">
            <v>494</v>
          </cell>
          <cell r="AK6">
            <v>513</v>
          </cell>
          <cell r="AL6">
            <v>489.7095890410958</v>
          </cell>
          <cell r="AM6">
            <v>489</v>
          </cell>
          <cell r="AN6">
            <v>463</v>
          </cell>
          <cell r="AO6">
            <v>496.99999999999989</v>
          </cell>
          <cell r="AP6">
            <v>487</v>
          </cell>
          <cell r="AQ6">
            <v>484.03013698630139</v>
          </cell>
          <cell r="AR6">
            <v>489</v>
          </cell>
          <cell r="AS6">
            <v>461</v>
          </cell>
          <cell r="AT6">
            <v>445</v>
          </cell>
          <cell r="AU6">
            <v>450</v>
          </cell>
          <cell r="AV6">
            <v>461.09863013698623</v>
          </cell>
          <cell r="AW6">
            <v>504.99999999999994</v>
          </cell>
        </row>
        <row r="7">
          <cell r="A7" t="str">
            <v>Spot Production Volume % of Total</v>
          </cell>
          <cell r="C7">
            <v>0.73429643227711705</v>
          </cell>
          <cell r="D7">
            <v>0.69068322981366459</v>
          </cell>
          <cell r="E7">
            <v>0.75545512798893788</v>
          </cell>
          <cell r="F7">
            <v>0.78015290997035425</v>
          </cell>
          <cell r="G7">
            <v>0.73522458628841614</v>
          </cell>
          <cell r="H7">
            <v>0.73492603582492377</v>
          </cell>
          <cell r="I7">
            <v>0.7</v>
          </cell>
          <cell r="J7">
            <v>0.7</v>
          </cell>
          <cell r="K7">
            <v>0.7</v>
          </cell>
          <cell r="L7">
            <v>0.85</v>
          </cell>
          <cell r="M7">
            <v>0.73749999999999993</v>
          </cell>
          <cell r="N7">
            <v>0.75</v>
          </cell>
          <cell r="O7">
            <v>0.75</v>
          </cell>
          <cell r="P7">
            <v>0.75</v>
          </cell>
          <cell r="Q7">
            <v>0.75</v>
          </cell>
          <cell r="R7">
            <v>0.75</v>
          </cell>
          <cell r="S7">
            <v>0.8</v>
          </cell>
          <cell r="T7">
            <v>0.8</v>
          </cell>
          <cell r="U7">
            <v>0.8</v>
          </cell>
          <cell r="V7">
            <v>0.8</v>
          </cell>
          <cell r="W7">
            <v>0.8</v>
          </cell>
          <cell r="X7">
            <v>0.85</v>
          </cell>
          <cell r="Y7">
            <v>0.85</v>
          </cell>
          <cell r="Z7">
            <v>0.85</v>
          </cell>
          <cell r="AA7">
            <v>0.85</v>
          </cell>
          <cell r="AB7">
            <v>0.85</v>
          </cell>
          <cell r="AC7">
            <v>0.9</v>
          </cell>
          <cell r="AD7">
            <v>0.9</v>
          </cell>
          <cell r="AE7">
            <v>0.9</v>
          </cell>
          <cell r="AF7">
            <v>0.9</v>
          </cell>
          <cell r="AG7">
            <v>0.9</v>
          </cell>
          <cell r="AH7">
            <v>0.9</v>
          </cell>
          <cell r="AI7">
            <v>0.9</v>
          </cell>
          <cell r="AJ7">
            <v>0.9</v>
          </cell>
          <cell r="AK7">
            <v>0.9</v>
          </cell>
          <cell r="AL7">
            <v>0.9</v>
          </cell>
          <cell r="AM7">
            <v>0.9</v>
          </cell>
          <cell r="AN7">
            <v>0.9</v>
          </cell>
          <cell r="AO7">
            <v>0.9</v>
          </cell>
          <cell r="AP7">
            <v>0.9</v>
          </cell>
          <cell r="AQ7">
            <v>0.9</v>
          </cell>
          <cell r="AR7">
            <v>0.9</v>
          </cell>
          <cell r="AS7">
            <v>0.9</v>
          </cell>
          <cell r="AT7">
            <v>0.9</v>
          </cell>
          <cell r="AU7">
            <v>0.9</v>
          </cell>
          <cell r="AV7">
            <v>0.9</v>
          </cell>
          <cell r="AW7">
            <v>0.9</v>
          </cell>
        </row>
        <row r="9">
          <cell r="A9" t="str">
            <v>Period Production (Bcf)</v>
          </cell>
        </row>
        <row r="10">
          <cell r="A10" t="str">
            <v xml:space="preserve">  Natural Gas Spot Sales </v>
          </cell>
          <cell r="C10">
            <v>110.4</v>
          </cell>
          <cell r="D10">
            <v>27.8</v>
          </cell>
          <cell r="E10">
            <v>22.4</v>
          </cell>
          <cell r="F10">
            <v>20</v>
          </cell>
          <cell r="G10">
            <v>31.1</v>
          </cell>
          <cell r="H10">
            <v>101.30000000000001</v>
          </cell>
          <cell r="I10">
            <v>27.72</v>
          </cell>
          <cell r="J10">
            <v>19.599999999999998</v>
          </cell>
          <cell r="K10">
            <v>22.54</v>
          </cell>
          <cell r="L10">
            <v>39.185000000000002</v>
          </cell>
          <cell r="M10">
            <v>107.60124999999999</v>
          </cell>
          <cell r="N10">
            <v>35.104500000000002</v>
          </cell>
          <cell r="O10">
            <v>26.0655</v>
          </cell>
          <cell r="P10">
            <v>26.782499999999999</v>
          </cell>
          <cell r="Q10">
            <v>33.450000000000003</v>
          </cell>
          <cell r="R10">
            <v>121.4025</v>
          </cell>
          <cell r="S10">
            <v>38.56</v>
          </cell>
          <cell r="T10">
            <v>34.365600000000001</v>
          </cell>
          <cell r="U10">
            <v>32.72</v>
          </cell>
          <cell r="V10">
            <v>34.96</v>
          </cell>
          <cell r="W10">
            <v>140.60560000000001</v>
          </cell>
          <cell r="X10">
            <v>35.104999999999997</v>
          </cell>
          <cell r="Y10">
            <v>36.975000000000001</v>
          </cell>
          <cell r="Z10">
            <v>35.699999999999996</v>
          </cell>
          <cell r="AA10">
            <v>37.824999999999996</v>
          </cell>
          <cell r="AB10">
            <v>145.60499999999999</v>
          </cell>
          <cell r="AC10">
            <v>39.330000000000005</v>
          </cell>
          <cell r="AD10">
            <v>36.36</v>
          </cell>
          <cell r="AE10">
            <v>35.82</v>
          </cell>
          <cell r="AF10">
            <v>36.9</v>
          </cell>
          <cell r="AG10">
            <v>148.41</v>
          </cell>
          <cell r="AH10">
            <v>38.07</v>
          </cell>
          <cell r="AI10">
            <v>39.42</v>
          </cell>
          <cell r="AJ10">
            <v>40.903199999999998</v>
          </cell>
          <cell r="AK10">
            <v>42.476399999999998</v>
          </cell>
          <cell r="AL10">
            <v>160.86959999999999</v>
          </cell>
          <cell r="AM10">
            <v>39.609000000000002</v>
          </cell>
          <cell r="AN10">
            <v>37.919700000000006</v>
          </cell>
          <cell r="AO10">
            <v>41.151599999999995</v>
          </cell>
          <cell r="AP10">
            <v>40.323600000000006</v>
          </cell>
          <cell r="AQ10">
            <v>159.00390000000002</v>
          </cell>
          <cell r="AR10">
            <v>39.609000000000002</v>
          </cell>
          <cell r="AS10">
            <v>37.755900000000004</v>
          </cell>
          <cell r="AT10">
            <v>36.845999999999997</v>
          </cell>
          <cell r="AU10">
            <v>37.26</v>
          </cell>
          <cell r="AV10">
            <v>151.4709</v>
          </cell>
          <cell r="AW10">
            <v>165.89249999999998</v>
          </cell>
        </row>
        <row r="11">
          <cell r="A11" t="str">
            <v xml:space="preserve">  Natural Gas Contract Sales </v>
          </cell>
          <cell r="C11">
            <v>39.948000000000008</v>
          </cell>
          <cell r="D11">
            <v>12.45</v>
          </cell>
          <cell r="E11">
            <v>7.2510000000000012</v>
          </cell>
          <cell r="F11">
            <v>5.6359999999999992</v>
          </cell>
          <cell r="G11">
            <v>11.199999999999996</v>
          </cell>
          <cell r="H11">
            <v>36.536999999999992</v>
          </cell>
          <cell r="I11">
            <v>11.880000000000003</v>
          </cell>
          <cell r="J11">
            <v>8.4000000000000021</v>
          </cell>
          <cell r="K11">
            <v>9.6600000000000037</v>
          </cell>
          <cell r="L11">
            <v>6.9149999999999991</v>
          </cell>
          <cell r="M11">
            <v>38.298750000000013</v>
          </cell>
          <cell r="N11">
            <v>11.701499999999996</v>
          </cell>
          <cell r="O11">
            <v>8.6884999999999977</v>
          </cell>
          <cell r="P11">
            <v>8.927500000000002</v>
          </cell>
          <cell r="Q11">
            <v>11.149999999999999</v>
          </cell>
          <cell r="R11">
            <v>40.467500000000001</v>
          </cell>
          <cell r="S11">
            <v>9.64</v>
          </cell>
          <cell r="T11">
            <v>8.5914000000000001</v>
          </cell>
          <cell r="U11">
            <v>8.18</v>
          </cell>
          <cell r="V11">
            <v>8.740000000000002</v>
          </cell>
          <cell r="W11">
            <v>35.151400000000002</v>
          </cell>
          <cell r="X11">
            <v>6.1950000000000003</v>
          </cell>
          <cell r="Y11">
            <v>6.5249999999999986</v>
          </cell>
          <cell r="Z11">
            <v>6.3000000000000043</v>
          </cell>
          <cell r="AA11">
            <v>6.6750000000000043</v>
          </cell>
          <cell r="AB11">
            <v>25.695000000000007</v>
          </cell>
          <cell r="AC11">
            <v>4.3699999999999974</v>
          </cell>
          <cell r="AD11">
            <v>4.0399999999999991</v>
          </cell>
          <cell r="AE11">
            <v>3.9799999999999969</v>
          </cell>
          <cell r="AF11">
            <v>4.1000000000000014</v>
          </cell>
          <cell r="AG11">
            <v>16.489999999999995</v>
          </cell>
          <cell r="AH11">
            <v>4.2299999999999969</v>
          </cell>
          <cell r="AI11">
            <v>4.3799999999999955</v>
          </cell>
          <cell r="AJ11">
            <v>4.5448000000000022</v>
          </cell>
          <cell r="AK11">
            <v>4.7195999999999998</v>
          </cell>
          <cell r="AL11">
            <v>17.874399999999994</v>
          </cell>
          <cell r="AM11">
            <v>4.4009999999999962</v>
          </cell>
          <cell r="AN11">
            <v>4.2132999999999967</v>
          </cell>
          <cell r="AO11">
            <v>4.5724000000000018</v>
          </cell>
          <cell r="AP11">
            <v>4.4803999999999959</v>
          </cell>
          <cell r="AQ11">
            <v>17.667099999999991</v>
          </cell>
          <cell r="AR11">
            <v>4.4009999999999962</v>
          </cell>
          <cell r="AS11">
            <v>4.1950999999999965</v>
          </cell>
          <cell r="AT11">
            <v>4.0940000000000012</v>
          </cell>
          <cell r="AU11">
            <v>4.1400000000000006</v>
          </cell>
          <cell r="AV11">
            <v>16.830099999999987</v>
          </cell>
          <cell r="AW11">
            <v>18.432500000000005</v>
          </cell>
        </row>
        <row r="12">
          <cell r="A12" t="str">
            <v>Total Natural Gas Production</v>
          </cell>
          <cell r="C12">
            <v>150.34800000000001</v>
          </cell>
          <cell r="D12">
            <v>40.25</v>
          </cell>
          <cell r="E12">
            <v>29.651</v>
          </cell>
          <cell r="F12">
            <v>25.635999999999999</v>
          </cell>
          <cell r="G12">
            <v>42.3</v>
          </cell>
          <cell r="H12">
            <v>137.83699999999999</v>
          </cell>
          <cell r="I12">
            <v>39.6</v>
          </cell>
          <cell r="J12">
            <v>28</v>
          </cell>
          <cell r="K12">
            <v>32.200000000000003</v>
          </cell>
          <cell r="L12">
            <v>46.1</v>
          </cell>
          <cell r="M12">
            <v>145.9</v>
          </cell>
          <cell r="N12">
            <v>46.805999999999997</v>
          </cell>
          <cell r="O12">
            <v>34.753999999999998</v>
          </cell>
          <cell r="P12">
            <v>35.71</v>
          </cell>
          <cell r="Q12">
            <v>44.6</v>
          </cell>
          <cell r="R12">
            <v>161.87</v>
          </cell>
          <cell r="S12">
            <v>48.2</v>
          </cell>
          <cell r="T12">
            <v>42.957000000000001</v>
          </cell>
          <cell r="U12">
            <v>40.9</v>
          </cell>
          <cell r="V12">
            <v>43.7</v>
          </cell>
          <cell r="W12">
            <v>175.75700000000001</v>
          </cell>
          <cell r="X12">
            <v>41.3</v>
          </cell>
          <cell r="Y12">
            <v>43.5</v>
          </cell>
          <cell r="Z12">
            <v>42</v>
          </cell>
          <cell r="AA12">
            <v>44.5</v>
          </cell>
          <cell r="AB12">
            <v>171.3</v>
          </cell>
          <cell r="AC12">
            <v>43.7</v>
          </cell>
          <cell r="AD12">
            <v>40.4</v>
          </cell>
          <cell r="AE12">
            <v>39.799999999999997</v>
          </cell>
          <cell r="AF12">
            <v>41</v>
          </cell>
          <cell r="AG12">
            <v>164.89999999999998</v>
          </cell>
          <cell r="AH12">
            <v>42.3</v>
          </cell>
          <cell r="AI12">
            <v>43.8</v>
          </cell>
          <cell r="AJ12">
            <v>45.448</v>
          </cell>
          <cell r="AK12">
            <v>47.195999999999998</v>
          </cell>
          <cell r="AL12">
            <v>178.74399999999997</v>
          </cell>
          <cell r="AM12">
            <v>44.01</v>
          </cell>
          <cell r="AN12">
            <v>42.133000000000003</v>
          </cell>
          <cell r="AO12">
            <v>45.723999999999997</v>
          </cell>
          <cell r="AP12">
            <v>44.804000000000002</v>
          </cell>
          <cell r="AQ12">
            <v>176.67099999999999</v>
          </cell>
          <cell r="AR12">
            <v>44.01</v>
          </cell>
          <cell r="AS12">
            <v>41.951000000000001</v>
          </cell>
          <cell r="AT12">
            <v>40.94</v>
          </cell>
          <cell r="AU12">
            <v>41.4</v>
          </cell>
          <cell r="AV12">
            <v>168.30099999999999</v>
          </cell>
          <cell r="AW12">
            <v>184.32499999999999</v>
          </cell>
        </row>
        <row r="14">
          <cell r="A14" t="str">
            <v>Commodity Sales Price ($/Mcf)</v>
          </cell>
        </row>
        <row r="15">
          <cell r="A15" t="str">
            <v xml:space="preserve">  Natural Gas Spot Price</v>
          </cell>
          <cell r="C15">
            <v>1.61</v>
          </cell>
          <cell r="D15">
            <v>1.52</v>
          </cell>
          <cell r="E15">
            <v>1.27</v>
          </cell>
          <cell r="F15">
            <v>1.25</v>
          </cell>
          <cell r="G15">
            <v>1.78</v>
          </cell>
          <cell r="H15">
            <v>1.4912339585389931</v>
          </cell>
          <cell r="I15">
            <v>1.25</v>
          </cell>
          <cell r="J15">
            <v>1.53</v>
          </cell>
          <cell r="K15">
            <v>1.8</v>
          </cell>
          <cell r="L15">
            <v>2.17</v>
          </cell>
          <cell r="M15">
            <v>1.7680226763164926</v>
          </cell>
          <cell r="N15">
            <v>1.75</v>
          </cell>
          <cell r="O15">
            <v>2.08</v>
          </cell>
          <cell r="P15">
            <v>1.93</v>
          </cell>
          <cell r="Q15">
            <v>2.0499999999999998</v>
          </cell>
          <cell r="R15">
            <v>1.9432206091307838</v>
          </cell>
          <cell r="S15">
            <v>2.0099999999999998</v>
          </cell>
          <cell r="T15">
            <v>1.67</v>
          </cell>
          <cell r="U15">
            <v>1.49</v>
          </cell>
          <cell r="V15">
            <v>1.31</v>
          </cell>
          <cell r="W15">
            <v>1.6318450474234312</v>
          </cell>
          <cell r="X15">
            <v>1.1499999999999999</v>
          </cell>
          <cell r="Y15">
            <v>1.36</v>
          </cell>
          <cell r="Z15">
            <v>1.1375</v>
          </cell>
          <cell r="AA15">
            <v>1.54</v>
          </cell>
          <cell r="AB15">
            <v>1.3015761821366025</v>
          </cell>
          <cell r="AC15">
            <v>1.94</v>
          </cell>
          <cell r="AD15">
            <v>2.0299999999999998</v>
          </cell>
          <cell r="AE15">
            <v>1.93</v>
          </cell>
          <cell r="AF15">
            <v>2.61</v>
          </cell>
          <cell r="AG15">
            <v>2.126221952698605</v>
          </cell>
          <cell r="AH15">
            <v>2.718</v>
          </cell>
          <cell r="AI15">
            <v>1.82</v>
          </cell>
          <cell r="AJ15">
            <v>2.0099999999999998</v>
          </cell>
          <cell r="AK15">
            <v>2.73</v>
          </cell>
          <cell r="AL15">
            <v>2.3211014635456295</v>
          </cell>
          <cell r="AM15">
            <v>2</v>
          </cell>
          <cell r="AN15">
            <v>1.96</v>
          </cell>
          <cell r="AO15">
            <v>1.7849999999999999</v>
          </cell>
          <cell r="AP15">
            <v>1.85</v>
          </cell>
          <cell r="AQ15">
            <v>1.8967766073662342</v>
          </cell>
          <cell r="AR15">
            <v>1.53</v>
          </cell>
          <cell r="AS15">
            <v>1.93</v>
          </cell>
          <cell r="AT15">
            <v>2.2999999999999998</v>
          </cell>
          <cell r="AU15">
            <v>2.4500000000000002</v>
          </cell>
          <cell r="AV15">
            <v>2.0433195881189063</v>
          </cell>
          <cell r="AW15">
            <v>2.2000000000000002</v>
          </cell>
        </row>
        <row r="16">
          <cell r="A16" t="str">
            <v xml:space="preserve">  Natural Gas Contract Price</v>
          </cell>
          <cell r="C16">
            <v>1.685271853409432</v>
          </cell>
          <cell r="D16">
            <v>1.6493172690763052</v>
          </cell>
          <cell r="E16">
            <v>1.3926768721555653</v>
          </cell>
          <cell r="F16">
            <v>1.3864584811923346</v>
          </cell>
          <cell r="G16">
            <v>1.7044999999999999</v>
          </cell>
          <cell r="H16">
            <v>1.5747538112050798</v>
          </cell>
          <cell r="I16">
            <v>1.65</v>
          </cell>
          <cell r="J16">
            <v>1.3</v>
          </cell>
          <cell r="K16">
            <v>1.75</v>
          </cell>
          <cell r="L16">
            <v>2.2000000000000002</v>
          </cell>
          <cell r="M16">
            <v>1.6355625183589542</v>
          </cell>
          <cell r="N16">
            <v>1.68</v>
          </cell>
          <cell r="O16">
            <v>1.95</v>
          </cell>
          <cell r="P16">
            <v>1.95</v>
          </cell>
          <cell r="Q16">
            <v>2.0499999999999998</v>
          </cell>
          <cell r="R16">
            <v>1.8994803237165621</v>
          </cell>
          <cell r="S16">
            <v>2.1</v>
          </cell>
          <cell r="T16">
            <v>2</v>
          </cell>
          <cell r="U16">
            <v>2</v>
          </cell>
          <cell r="V16">
            <v>2.1</v>
          </cell>
          <cell r="W16">
            <v>2.0522881023230939</v>
          </cell>
          <cell r="X16">
            <v>2.15</v>
          </cell>
          <cell r="Y16">
            <v>2</v>
          </cell>
          <cell r="Z16">
            <v>2</v>
          </cell>
          <cell r="AA16">
            <v>2.2000000000000002</v>
          </cell>
          <cell r="AB16">
            <v>2.0881202568593111</v>
          </cell>
          <cell r="AC16">
            <v>2.1</v>
          </cell>
          <cell r="AD16">
            <v>2.1</v>
          </cell>
          <cell r="AE16">
            <v>2.1</v>
          </cell>
          <cell r="AF16">
            <v>2.1</v>
          </cell>
          <cell r="AG16">
            <v>2.1</v>
          </cell>
          <cell r="AH16">
            <v>2.1</v>
          </cell>
          <cell r="AI16">
            <v>2.1</v>
          </cell>
          <cell r="AJ16">
            <v>2.1</v>
          </cell>
          <cell r="AK16">
            <v>2.1</v>
          </cell>
          <cell r="AL16">
            <v>2.1</v>
          </cell>
          <cell r="AM16">
            <v>2.15</v>
          </cell>
          <cell r="AN16">
            <v>2.15</v>
          </cell>
          <cell r="AO16">
            <v>2.15</v>
          </cell>
          <cell r="AP16">
            <v>2.15</v>
          </cell>
          <cell r="AQ16">
            <v>2.15</v>
          </cell>
          <cell r="AR16">
            <v>2.15</v>
          </cell>
          <cell r="AS16">
            <v>2.15</v>
          </cell>
          <cell r="AT16">
            <v>2.15</v>
          </cell>
          <cell r="AU16">
            <v>2.15</v>
          </cell>
          <cell r="AV16">
            <v>2.1500000000000008</v>
          </cell>
          <cell r="AW16">
            <v>2.15</v>
          </cell>
        </row>
        <row r="17">
          <cell r="A17" t="str">
            <v>Average Natural Gas Price</v>
          </cell>
          <cell r="C17">
            <v>1.6300000000000001</v>
          </cell>
          <cell r="D17">
            <v>1.56</v>
          </cell>
          <cell r="E17">
            <v>1.3</v>
          </cell>
          <cell r="F17">
            <v>1.28</v>
          </cell>
          <cell r="G17">
            <v>1.7600094562647755</v>
          </cell>
          <cell r="H17">
            <v>1.5133728969725113</v>
          </cell>
          <cell r="I17">
            <v>1.37</v>
          </cell>
          <cell r="J17">
            <v>1.4610000000000001</v>
          </cell>
          <cell r="K17">
            <v>1.7850000000000001</v>
          </cell>
          <cell r="L17">
            <v>2.1744999999999997</v>
          </cell>
          <cell r="M17">
            <v>1.7332518848526386</v>
          </cell>
          <cell r="N17">
            <v>1.7324999999999999</v>
          </cell>
          <cell r="O17">
            <v>2.0474999999999999</v>
          </cell>
          <cell r="P17">
            <v>1.9350000000000001</v>
          </cell>
          <cell r="Q17">
            <v>2.0499999999999998</v>
          </cell>
          <cell r="R17">
            <v>1.9322855377772283</v>
          </cell>
          <cell r="S17">
            <v>2.028</v>
          </cell>
          <cell r="T17">
            <v>1.7360000000000002</v>
          </cell>
          <cell r="U17">
            <v>1.5920000000000001</v>
          </cell>
          <cell r="V17">
            <v>1.4680000000000002</v>
          </cell>
          <cell r="W17">
            <v>1.715933658403364</v>
          </cell>
          <cell r="X17">
            <v>1.2999999999999998</v>
          </cell>
          <cell r="Y17">
            <v>1.456</v>
          </cell>
          <cell r="Z17">
            <v>1.266875</v>
          </cell>
          <cell r="AA17">
            <v>1.639</v>
          </cell>
          <cell r="AB17">
            <v>1.4195577933450088</v>
          </cell>
          <cell r="AC17">
            <v>1.956</v>
          </cell>
          <cell r="AD17">
            <v>2.0369999999999999</v>
          </cell>
          <cell r="AE17">
            <v>1.9469999999999996</v>
          </cell>
          <cell r="AF17">
            <v>2.5589999999999997</v>
          </cell>
          <cell r="AG17">
            <v>2.1235997574287451</v>
          </cell>
          <cell r="AH17">
            <v>2.6562000000000001</v>
          </cell>
          <cell r="AI17">
            <v>1.8480000000000001</v>
          </cell>
          <cell r="AJ17">
            <v>2.0189999999999997</v>
          </cell>
          <cell r="AK17">
            <v>2.6669999999999998</v>
          </cell>
          <cell r="AL17">
            <v>2.2989913171910668</v>
          </cell>
          <cell r="AM17">
            <v>2.0150000000000001</v>
          </cell>
          <cell r="AN17">
            <v>1.9790000000000001</v>
          </cell>
          <cell r="AO17">
            <v>1.8214999999999999</v>
          </cell>
          <cell r="AP17">
            <v>1.8800000000000001</v>
          </cell>
          <cell r="AQ17">
            <v>1.922098946629611</v>
          </cell>
          <cell r="AR17">
            <v>1.5920000000000001</v>
          </cell>
          <cell r="AS17">
            <v>1.952</v>
          </cell>
          <cell r="AT17">
            <v>2.2849999999999997</v>
          </cell>
          <cell r="AU17">
            <v>2.42</v>
          </cell>
          <cell r="AV17">
            <v>2.0539876293070156</v>
          </cell>
          <cell r="AW17">
            <v>2.1950000000000003</v>
          </cell>
        </row>
        <row r="19">
          <cell r="A19" t="str">
            <v>Daily Sales ($000)</v>
          </cell>
        </row>
        <row r="20">
          <cell r="A20" t="str">
            <v xml:space="preserve">  Average Spot Gas Sales </v>
          </cell>
          <cell r="C20">
            <v>486.96986301369861</v>
          </cell>
          <cell r="D20">
            <v>469.51111111111118</v>
          </cell>
          <cell r="E20">
            <v>312.61538461538464</v>
          </cell>
          <cell r="F20">
            <v>271.73913043478262</v>
          </cell>
          <cell r="G20">
            <v>601.71739130434787</v>
          </cell>
          <cell r="H20">
            <v>413.89575436640655</v>
          </cell>
          <cell r="I20">
            <v>380.76923076923083</v>
          </cell>
          <cell r="J20">
            <v>329.53846153846149</v>
          </cell>
          <cell r="K20">
            <v>441</v>
          </cell>
          <cell r="L20">
            <v>924.25489130434778</v>
          </cell>
          <cell r="M20">
            <v>518.89064590301007</v>
          </cell>
          <cell r="N20">
            <v>682.58749999999998</v>
          </cell>
          <cell r="O20">
            <v>595.7828571428571</v>
          </cell>
          <cell r="P20">
            <v>561.85027173913045</v>
          </cell>
          <cell r="Q20">
            <v>745.35326086956513</v>
          </cell>
          <cell r="R20">
            <v>646.39347243788814</v>
          </cell>
          <cell r="S20">
            <v>861.17333333333329</v>
          </cell>
          <cell r="T20">
            <v>630.6654065934066</v>
          </cell>
          <cell r="U20">
            <v>529.92173913043484</v>
          </cell>
          <cell r="V20">
            <v>497.8</v>
          </cell>
          <cell r="W20">
            <v>628.6206904109589</v>
          </cell>
          <cell r="X20">
            <v>448.56388888888881</v>
          </cell>
          <cell r="Y20">
            <v>552.59340659340671</v>
          </cell>
          <cell r="Z20">
            <v>441.39945652173907</v>
          </cell>
          <cell r="AA20">
            <v>633.15760869565202</v>
          </cell>
          <cell r="AB20">
            <v>519.22191780821913</v>
          </cell>
          <cell r="AC20">
            <v>847.78000000000009</v>
          </cell>
          <cell r="AD20">
            <v>811.10769230769222</v>
          </cell>
          <cell r="AE20">
            <v>751.44130434782608</v>
          </cell>
          <cell r="AF20">
            <v>1046.836956521739</v>
          </cell>
          <cell r="AG20">
            <v>864.52767123287663</v>
          </cell>
          <cell r="AH20">
            <v>1149.7139999999999</v>
          </cell>
          <cell r="AI20">
            <v>788.40000000000009</v>
          </cell>
          <cell r="AJ20">
            <v>893.64599999999984</v>
          </cell>
          <cell r="AK20">
            <v>1260.441</v>
          </cell>
          <cell r="AL20">
            <v>1022.9990794520546</v>
          </cell>
          <cell r="AM20">
            <v>880.2</v>
          </cell>
          <cell r="AN20">
            <v>816.73200000000008</v>
          </cell>
          <cell r="AO20">
            <v>798.43049999999982</v>
          </cell>
          <cell r="AP20">
            <v>810.85500000000013</v>
          </cell>
          <cell r="AQ20">
            <v>826.2873369863014</v>
          </cell>
          <cell r="AR20">
            <v>673.35300000000007</v>
          </cell>
          <cell r="AS20">
            <v>800.75700000000006</v>
          </cell>
          <cell r="AT20">
            <v>921.15</v>
          </cell>
          <cell r="AU20">
            <v>992.25000000000011</v>
          </cell>
          <cell r="AV20">
            <v>847.95467671232882</v>
          </cell>
          <cell r="AW20">
            <v>999.9</v>
          </cell>
        </row>
        <row r="21">
          <cell r="A21" t="str">
            <v xml:space="preserve">  Average Contract Gas Sales</v>
          </cell>
          <cell r="C21" t="e">
            <v>#REF!</v>
          </cell>
          <cell r="D21">
            <v>228.15555555555557</v>
          </cell>
          <cell r="E21">
            <v>110.97032967032972</v>
          </cell>
          <cell r="F21">
            <v>84.935652173913013</v>
          </cell>
          <cell r="G21">
            <v>207.50434782608687</v>
          </cell>
          <cell r="H21">
            <v>157.89147130647129</v>
          </cell>
          <cell r="I21">
            <v>215.40659340659343</v>
          </cell>
          <cell r="J21">
            <v>120.00000000000001</v>
          </cell>
          <cell r="K21">
            <v>183.75000000000009</v>
          </cell>
          <cell r="L21">
            <v>165.35869565217391</v>
          </cell>
          <cell r="M21">
            <v>171.12882226469185</v>
          </cell>
          <cell r="N21">
            <v>218.42799999999991</v>
          </cell>
          <cell r="O21">
            <v>186.18214285714282</v>
          </cell>
          <cell r="P21">
            <v>189.22418478260872</v>
          </cell>
          <cell r="Q21">
            <v>248.45108695652166</v>
          </cell>
          <cell r="R21">
            <v>210.57135364906827</v>
          </cell>
          <cell r="S21">
            <v>224.93333333333334</v>
          </cell>
          <cell r="T21">
            <v>188.82197802197803</v>
          </cell>
          <cell r="U21">
            <v>177.82608695652175</v>
          </cell>
          <cell r="V21">
            <v>199.50000000000003</v>
          </cell>
          <cell r="W21">
            <v>197.77034957795829</v>
          </cell>
          <cell r="X21">
            <v>147.99166666666665</v>
          </cell>
          <cell r="Y21">
            <v>143.40659340659337</v>
          </cell>
          <cell r="Z21">
            <v>136.95652173913052</v>
          </cell>
          <cell r="AA21">
            <v>159.61956521739143</v>
          </cell>
          <cell r="AB21">
            <v>146.99358675744548</v>
          </cell>
          <cell r="AC21">
            <v>101.96666666666661</v>
          </cell>
          <cell r="AD21">
            <v>93.230769230769212</v>
          </cell>
          <cell r="AE21">
            <v>90.847826086956445</v>
          </cell>
          <cell r="AF21">
            <v>93.586956521739168</v>
          </cell>
          <cell r="AG21">
            <v>94.908054626532859</v>
          </cell>
          <cell r="AH21">
            <v>98.699999999999946</v>
          </cell>
          <cell r="AI21">
            <v>101.07692307692298</v>
          </cell>
          <cell r="AJ21">
            <v>103.74000000000005</v>
          </cell>
          <cell r="AK21">
            <v>107.73</v>
          </cell>
          <cell r="AL21">
            <v>102.81173076923075</v>
          </cell>
          <cell r="AM21">
            <v>105.13499999999992</v>
          </cell>
          <cell r="AN21">
            <v>99.544999999999916</v>
          </cell>
          <cell r="AO21">
            <v>106.85500000000003</v>
          </cell>
          <cell r="AP21">
            <v>104.7049999999999</v>
          </cell>
          <cell r="AQ21">
            <v>104.05999999999995</v>
          </cell>
          <cell r="AR21">
            <v>105.13499999999992</v>
          </cell>
          <cell r="AS21">
            <v>99.114999999999924</v>
          </cell>
          <cell r="AT21">
            <v>95.675000000000026</v>
          </cell>
          <cell r="AU21">
            <v>96.750000000000014</v>
          </cell>
          <cell r="AV21">
            <v>99.136205479452016</v>
          </cell>
          <cell r="AW21">
            <v>108.57500000000002</v>
          </cell>
        </row>
        <row r="22">
          <cell r="A22" t="str">
            <v>Daily Natural Gas Sales</v>
          </cell>
          <cell r="C22" t="e">
            <v>#REF!</v>
          </cell>
          <cell r="D22">
            <v>697.66666666666674</v>
          </cell>
          <cell r="E22">
            <v>423.58571428571435</v>
          </cell>
          <cell r="F22">
            <v>356.67478260869564</v>
          </cell>
          <cell r="G22">
            <v>809.2217391304348</v>
          </cell>
          <cell r="H22">
            <v>571.78722567287787</v>
          </cell>
          <cell r="I22">
            <v>596.17582417582423</v>
          </cell>
          <cell r="J22">
            <v>449.53846153846149</v>
          </cell>
          <cell r="K22">
            <v>624.75000000000011</v>
          </cell>
          <cell r="L22">
            <v>1089.6135869565217</v>
          </cell>
          <cell r="M22">
            <v>690.01946816770192</v>
          </cell>
          <cell r="N22">
            <v>901.01549999999986</v>
          </cell>
          <cell r="O22">
            <v>781.96499999999992</v>
          </cell>
          <cell r="P22">
            <v>751.07445652173919</v>
          </cell>
          <cell r="Q22">
            <v>993.80434782608677</v>
          </cell>
          <cell r="R22">
            <v>856.96482608695646</v>
          </cell>
          <cell r="S22">
            <v>1086.1066666666666</v>
          </cell>
          <cell r="T22">
            <v>819.4873846153846</v>
          </cell>
          <cell r="U22">
            <v>707.74782608695659</v>
          </cell>
          <cell r="V22">
            <v>697.30000000000007</v>
          </cell>
          <cell r="W22">
            <v>826.39103998891721</v>
          </cell>
          <cell r="X22">
            <v>596.55555555555543</v>
          </cell>
          <cell r="Y22">
            <v>696.00000000000011</v>
          </cell>
          <cell r="Z22">
            <v>578.35597826086962</v>
          </cell>
          <cell r="AA22">
            <v>792.7771739130435</v>
          </cell>
          <cell r="AB22">
            <v>666.21550456566456</v>
          </cell>
          <cell r="AC22">
            <v>949.74666666666667</v>
          </cell>
          <cell r="AD22">
            <v>904.33846153846139</v>
          </cell>
          <cell r="AE22">
            <v>842.28913043478246</v>
          </cell>
          <cell r="AF22">
            <v>1140.4239130434783</v>
          </cell>
          <cell r="AG22">
            <v>959.43572585940944</v>
          </cell>
          <cell r="AH22">
            <v>1248.414</v>
          </cell>
          <cell r="AI22">
            <v>889.47692307692307</v>
          </cell>
          <cell r="AJ22">
            <v>997.38599999999985</v>
          </cell>
          <cell r="AK22">
            <v>1368.171</v>
          </cell>
          <cell r="AL22">
            <v>1125.8108102212855</v>
          </cell>
          <cell r="AM22">
            <v>985.33499999999992</v>
          </cell>
          <cell r="AN22">
            <v>916.27700000000004</v>
          </cell>
          <cell r="AO22">
            <v>905.28549999999984</v>
          </cell>
          <cell r="AP22">
            <v>915.56000000000006</v>
          </cell>
          <cell r="AQ22">
            <v>930.34733698630134</v>
          </cell>
          <cell r="AR22">
            <v>778.48799999999994</v>
          </cell>
          <cell r="AS22">
            <v>899.87199999999996</v>
          </cell>
          <cell r="AT22">
            <v>1016.825</v>
          </cell>
          <cell r="AU22">
            <v>1089.0000000000002</v>
          </cell>
          <cell r="AV22">
            <v>947.09088219178079</v>
          </cell>
          <cell r="AW22">
            <v>1108.4749999999999</v>
          </cell>
        </row>
        <row r="24">
          <cell r="A24" t="str">
            <v>Period Sales (Millions)</v>
          </cell>
        </row>
        <row r="25">
          <cell r="A25" t="str">
            <v xml:space="preserve">  Period Spot Gas Sales </v>
          </cell>
          <cell r="C25">
            <v>177.744</v>
          </cell>
          <cell r="D25">
            <v>42.256</v>
          </cell>
          <cell r="E25">
            <v>28.447999999999997</v>
          </cell>
          <cell r="F25">
            <v>25</v>
          </cell>
          <cell r="G25">
            <v>55.358000000000004</v>
          </cell>
          <cell r="H25">
            <v>151.06200000000001</v>
          </cell>
          <cell r="I25">
            <v>34.65</v>
          </cell>
          <cell r="J25">
            <v>29.987999999999996</v>
          </cell>
          <cell r="K25">
            <v>40.572000000000003</v>
          </cell>
          <cell r="L25">
            <v>85.031450000000007</v>
          </cell>
          <cell r="M25">
            <v>190.24144999999999</v>
          </cell>
          <cell r="N25">
            <v>61.432875000000003</v>
          </cell>
          <cell r="O25">
            <v>54.216239999999999</v>
          </cell>
          <cell r="P25">
            <v>51.690224999999998</v>
          </cell>
          <cell r="Q25">
            <v>68.572500000000005</v>
          </cell>
          <cell r="R25">
            <v>235.91183999999998</v>
          </cell>
          <cell r="S25">
            <v>77.505600000000001</v>
          </cell>
          <cell r="T25">
            <v>57.390552</v>
          </cell>
          <cell r="U25">
            <v>48.752800000000001</v>
          </cell>
          <cell r="V25">
            <v>45.797600000000003</v>
          </cell>
          <cell r="W25">
            <v>229.446552</v>
          </cell>
          <cell r="X25">
            <v>40.370749999999994</v>
          </cell>
          <cell r="Y25">
            <v>50.286000000000008</v>
          </cell>
          <cell r="Z25">
            <v>40.608749999999993</v>
          </cell>
          <cell r="AA25">
            <v>58.250499999999995</v>
          </cell>
          <cell r="AB25">
            <v>189.51599999999999</v>
          </cell>
          <cell r="AC25">
            <v>76.300200000000004</v>
          </cell>
          <cell r="AD25">
            <v>73.810799999999986</v>
          </cell>
          <cell r="AE25">
            <v>69.132599999999996</v>
          </cell>
          <cell r="AF25">
            <v>96.308999999999997</v>
          </cell>
          <cell r="AG25">
            <v>315.55259999999998</v>
          </cell>
          <cell r="AH25">
            <v>103.47426</v>
          </cell>
          <cell r="AI25">
            <v>71.744399999999999</v>
          </cell>
          <cell r="AJ25">
            <v>82.215431999999993</v>
          </cell>
          <cell r="AK25">
            <v>115.960572</v>
          </cell>
          <cell r="AL25">
            <v>373.39466399999998</v>
          </cell>
          <cell r="AM25">
            <v>79.218000000000004</v>
          </cell>
          <cell r="AN25">
            <v>74.322612000000007</v>
          </cell>
          <cell r="AO25">
            <v>73.455605999999989</v>
          </cell>
          <cell r="AP25">
            <v>74.59866000000001</v>
          </cell>
          <cell r="AQ25">
            <v>301.59487799999999</v>
          </cell>
          <cell r="AR25">
            <v>60.601770000000002</v>
          </cell>
          <cell r="AS25">
            <v>72.868887000000001</v>
          </cell>
          <cell r="AT25">
            <v>84.745799999999988</v>
          </cell>
          <cell r="AU25">
            <v>91.287000000000006</v>
          </cell>
          <cell r="AV25">
            <v>309.50345700000003</v>
          </cell>
          <cell r="AW25">
            <v>364.96350000000001</v>
          </cell>
        </row>
        <row r="26">
          <cell r="A26" t="str">
            <v xml:space="preserve">  Period Contract Gas Sales </v>
          </cell>
          <cell r="C26">
            <v>67.323239999999998</v>
          </cell>
          <cell r="D26">
            <v>20.533999999999999</v>
          </cell>
          <cell r="E26">
            <v>10.098300000000005</v>
          </cell>
          <cell r="F26">
            <v>7.814079999999997</v>
          </cell>
          <cell r="G26">
            <v>19.090399999999992</v>
          </cell>
          <cell r="H26">
            <v>57.536779999999993</v>
          </cell>
          <cell r="I26">
            <v>19.602000000000004</v>
          </cell>
          <cell r="J26">
            <v>10.920000000000003</v>
          </cell>
          <cell r="K26">
            <v>16.905000000000008</v>
          </cell>
          <cell r="L26">
            <v>15.212999999999999</v>
          </cell>
          <cell r="M26">
            <v>62.640000000000015</v>
          </cell>
          <cell r="N26">
            <v>19.658519999999992</v>
          </cell>
          <cell r="O26">
            <v>16.942574999999994</v>
          </cell>
          <cell r="P26">
            <v>17.408625000000004</v>
          </cell>
          <cell r="Q26">
            <v>22.857499999999995</v>
          </cell>
          <cell r="R26">
            <v>76.867219999999975</v>
          </cell>
          <cell r="S26">
            <v>20.244000000000003</v>
          </cell>
          <cell r="T26">
            <v>17.1828</v>
          </cell>
          <cell r="U26">
            <v>16.36</v>
          </cell>
          <cell r="V26">
            <v>18.354000000000006</v>
          </cell>
          <cell r="W26">
            <v>72.140800000000013</v>
          </cell>
          <cell r="X26">
            <v>13.31925</v>
          </cell>
          <cell r="Y26">
            <v>13.049999999999997</v>
          </cell>
          <cell r="Z26">
            <v>12.600000000000009</v>
          </cell>
          <cell r="AA26">
            <v>14.685000000000011</v>
          </cell>
          <cell r="AB26">
            <v>53.654250000000012</v>
          </cell>
          <cell r="AC26">
            <v>9.1769999999999943</v>
          </cell>
          <cell r="AD26">
            <v>8.4839999999999982</v>
          </cell>
          <cell r="AE26">
            <v>8.3579999999999934</v>
          </cell>
          <cell r="AF26">
            <v>8.610000000000003</v>
          </cell>
          <cell r="AG26">
            <v>34.628999999999991</v>
          </cell>
          <cell r="AH26">
            <v>8.8829999999999938</v>
          </cell>
          <cell r="AI26">
            <v>9.1979999999999915</v>
          </cell>
          <cell r="AJ26">
            <v>9.5440800000000046</v>
          </cell>
          <cell r="AK26">
            <v>9.9111600000000006</v>
          </cell>
          <cell r="AL26">
            <v>37.536239999999992</v>
          </cell>
          <cell r="AM26">
            <v>9.4621499999999923</v>
          </cell>
          <cell r="AN26">
            <v>9.0585949999999933</v>
          </cell>
          <cell r="AO26">
            <v>9.8306600000000035</v>
          </cell>
          <cell r="AP26">
            <v>9.6328599999999902</v>
          </cell>
          <cell r="AQ26">
            <v>37.984264999999979</v>
          </cell>
          <cell r="AR26">
            <v>9.4621499999999923</v>
          </cell>
          <cell r="AS26">
            <v>9.0194649999999914</v>
          </cell>
          <cell r="AT26">
            <v>8.8021000000000029</v>
          </cell>
          <cell r="AU26">
            <v>8.9010000000000016</v>
          </cell>
          <cell r="AV26">
            <v>36.18471499999999</v>
          </cell>
          <cell r="AW26">
            <v>39.629875000000006</v>
          </cell>
        </row>
        <row r="27">
          <cell r="A27" t="str">
            <v>Total Natural Gas Sales</v>
          </cell>
          <cell r="C27">
            <v>245.06724</v>
          </cell>
          <cell r="D27">
            <v>62.79</v>
          </cell>
          <cell r="E27">
            <v>38.546300000000002</v>
          </cell>
          <cell r="F27">
            <v>32.814079999999997</v>
          </cell>
          <cell r="G27">
            <v>74.448399999999992</v>
          </cell>
          <cell r="H27">
            <v>208.59878</v>
          </cell>
          <cell r="I27">
            <v>54.252000000000002</v>
          </cell>
          <cell r="J27">
            <v>40.908000000000001</v>
          </cell>
          <cell r="K27">
            <v>57.477000000000011</v>
          </cell>
          <cell r="L27">
            <v>100.24445</v>
          </cell>
          <cell r="M27">
            <v>252.88145</v>
          </cell>
          <cell r="N27">
            <v>81.091394999999991</v>
          </cell>
          <cell r="O27">
            <v>71.15881499999999</v>
          </cell>
          <cell r="P27">
            <v>69.098849999999999</v>
          </cell>
          <cell r="Q27">
            <v>91.43</v>
          </cell>
          <cell r="R27">
            <v>312.77905999999996</v>
          </cell>
          <cell r="S27">
            <v>97.749600000000001</v>
          </cell>
          <cell r="T27">
            <v>74.573352</v>
          </cell>
          <cell r="U27">
            <v>65.112799999999993</v>
          </cell>
          <cell r="V27">
            <v>64.151600000000002</v>
          </cell>
          <cell r="W27">
            <v>301.58735200000001</v>
          </cell>
          <cell r="X27">
            <v>53.69</v>
          </cell>
          <cell r="Y27">
            <v>63.336000000000006</v>
          </cell>
          <cell r="Z27">
            <v>53.208750000000002</v>
          </cell>
          <cell r="AA27">
            <v>72.935500000000005</v>
          </cell>
          <cell r="AB27">
            <v>243.17025000000001</v>
          </cell>
          <cell r="AC27">
            <v>85.477199999999996</v>
          </cell>
          <cell r="AD27">
            <v>82.294799999999981</v>
          </cell>
          <cell r="AE27">
            <v>77.490599999999986</v>
          </cell>
          <cell r="AF27">
            <v>104.919</v>
          </cell>
          <cell r="AG27">
            <v>350.1816</v>
          </cell>
          <cell r="AH27">
            <v>112.35726</v>
          </cell>
          <cell r="AI27">
            <v>80.942399999999992</v>
          </cell>
          <cell r="AJ27">
            <v>91.759512000000001</v>
          </cell>
          <cell r="AK27">
            <v>125.87173199999999</v>
          </cell>
          <cell r="AL27">
            <v>410.93090399999994</v>
          </cell>
          <cell r="AM27">
            <v>88.680149999999998</v>
          </cell>
          <cell r="AN27">
            <v>83.381207000000003</v>
          </cell>
          <cell r="AO27">
            <v>83.286265999999998</v>
          </cell>
          <cell r="AP27">
            <v>84.231520000000003</v>
          </cell>
          <cell r="AQ27">
            <v>339.57914299999999</v>
          </cell>
          <cell r="AR27">
            <v>70.063919999999996</v>
          </cell>
          <cell r="AS27">
            <v>81.888351999999998</v>
          </cell>
          <cell r="AT27">
            <v>93.547899999999998</v>
          </cell>
          <cell r="AU27">
            <v>100.188</v>
          </cell>
          <cell r="AV27">
            <v>345.68817200000001</v>
          </cell>
          <cell r="AW27">
            <v>404.59337500000004</v>
          </cell>
        </row>
        <row r="30">
          <cell r="A30" t="str">
            <v>Anadarko Petroleum Corporation</v>
          </cell>
        </row>
        <row r="31">
          <cell r="A31" t="str">
            <v>Revenue Worksheet</v>
          </cell>
        </row>
        <row r="33">
          <cell r="A33" t="str">
            <v>US Average Commodity Price</v>
          </cell>
          <cell r="C33">
            <v>1990</v>
          </cell>
          <cell r="D33" t="str">
            <v>1Q91</v>
          </cell>
          <cell r="E33" t="str">
            <v>2Q91</v>
          </cell>
          <cell r="F33" t="str">
            <v>3Q91</v>
          </cell>
          <cell r="G33" t="str">
            <v>4Q91</v>
          </cell>
          <cell r="H33">
            <v>1991</v>
          </cell>
          <cell r="I33" t="str">
            <v>1Q92</v>
          </cell>
          <cell r="J33" t="str">
            <v>2Q92</v>
          </cell>
          <cell r="K33" t="str">
            <v>3Q92</v>
          </cell>
          <cell r="L33" t="str">
            <v>4Q92</v>
          </cell>
          <cell r="M33">
            <v>1992</v>
          </cell>
          <cell r="N33" t="str">
            <v>1Q93</v>
          </cell>
          <cell r="O33" t="str">
            <v>2Q93</v>
          </cell>
          <cell r="P33" t="str">
            <v>3Q93</v>
          </cell>
          <cell r="Q33" t="str">
            <v>4Q93</v>
          </cell>
          <cell r="R33">
            <v>1993</v>
          </cell>
          <cell r="S33" t="str">
            <v>1Q94</v>
          </cell>
          <cell r="T33" t="str">
            <v>2Q94</v>
          </cell>
          <cell r="U33" t="str">
            <v>3Q94</v>
          </cell>
          <cell r="V33" t="str">
            <v>4Q94</v>
          </cell>
          <cell r="W33">
            <v>1994</v>
          </cell>
          <cell r="X33" t="str">
            <v>1q</v>
          </cell>
          <cell r="Y33" t="str">
            <v>2q</v>
          </cell>
          <cell r="Z33" t="str">
            <v>3q</v>
          </cell>
          <cell r="AA33" t="str">
            <v>4q</v>
          </cell>
          <cell r="AB33">
            <v>1995</v>
          </cell>
          <cell r="AC33" t="str">
            <v>1q</v>
          </cell>
          <cell r="AD33" t="str">
            <v>2q</v>
          </cell>
          <cell r="AE33" t="str">
            <v>3q</v>
          </cell>
          <cell r="AF33" t="str">
            <v>4q</v>
          </cell>
          <cell r="AG33" t="str">
            <v>1996</v>
          </cell>
          <cell r="AH33" t="str">
            <v>1q</v>
          </cell>
          <cell r="AI33" t="str">
            <v>2q</v>
          </cell>
          <cell r="AJ33" t="str">
            <v>3q</v>
          </cell>
          <cell r="AK33" t="str">
            <v>4q</v>
          </cell>
          <cell r="AL33" t="str">
            <v>1997</v>
          </cell>
          <cell r="AM33" t="str">
            <v>1q</v>
          </cell>
          <cell r="AN33" t="str">
            <v>2q</v>
          </cell>
          <cell r="AO33" t="str">
            <v>3q</v>
          </cell>
          <cell r="AP33" t="str">
            <v>4q</v>
          </cell>
          <cell r="AQ33" t="str">
            <v>1998</v>
          </cell>
          <cell r="AR33" t="str">
            <v>1q</v>
          </cell>
          <cell r="AS33" t="str">
            <v>2q</v>
          </cell>
          <cell r="AT33" t="str">
            <v>3qe</v>
          </cell>
          <cell r="AU33" t="str">
            <v>4qe</v>
          </cell>
          <cell r="AV33" t="str">
            <v>1999E</v>
          </cell>
          <cell r="AW33" t="str">
            <v>2000E</v>
          </cell>
        </row>
        <row r="34">
          <cell r="A34" t="str">
            <v>WTI Spot</v>
          </cell>
          <cell r="C34">
            <v>24.47</v>
          </cell>
          <cell r="D34">
            <v>22.193333333333332</v>
          </cell>
          <cell r="E34">
            <v>20.74</v>
          </cell>
          <cell r="F34">
            <v>21.72666666666667</v>
          </cell>
          <cell r="G34">
            <v>21.75333333333333</v>
          </cell>
          <cell r="H34">
            <v>21.6</v>
          </cell>
          <cell r="I34">
            <v>18.89</v>
          </cell>
          <cell r="J34">
            <v>21.14</v>
          </cell>
          <cell r="K34">
            <v>21.636666666666667</v>
          </cell>
          <cell r="L34">
            <v>20.476666666666667</v>
          </cell>
          <cell r="M34">
            <v>20.54</v>
          </cell>
          <cell r="N34">
            <v>19.866666666666667</v>
          </cell>
          <cell r="O34">
            <v>19.786666666666665</v>
          </cell>
          <cell r="P34">
            <v>17.796666666666667</v>
          </cell>
          <cell r="Q34">
            <v>15.53</v>
          </cell>
          <cell r="R34">
            <v>18.489999999999998</v>
          </cell>
          <cell r="S34">
            <v>14.72</v>
          </cell>
          <cell r="T34">
            <v>17.606666666666669</v>
          </cell>
          <cell r="U34">
            <v>18.510000000000002</v>
          </cell>
          <cell r="V34">
            <v>17.233333333333334</v>
          </cell>
          <cell r="W34">
            <v>16.73</v>
          </cell>
          <cell r="X34">
            <v>18.27</v>
          </cell>
          <cell r="Y34">
            <v>19.34</v>
          </cell>
          <cell r="Z34">
            <v>17.833333333333332</v>
          </cell>
          <cell r="AA34">
            <v>18.09</v>
          </cell>
          <cell r="AB34">
            <v>18.399999999999999</v>
          </cell>
          <cell r="AC34">
            <v>19.34</v>
          </cell>
          <cell r="AD34">
            <v>21.8</v>
          </cell>
          <cell r="AE34">
            <v>22.186699999999998</v>
          </cell>
          <cell r="AF34">
            <v>24.75</v>
          </cell>
          <cell r="AG34">
            <v>22.019175000000001</v>
          </cell>
          <cell r="AH34">
            <v>22.81</v>
          </cell>
          <cell r="AI34">
            <v>19.86</v>
          </cell>
          <cell r="AJ34">
            <v>19.72</v>
          </cell>
          <cell r="AK34">
            <v>19.920000000000002</v>
          </cell>
          <cell r="AL34">
            <v>20.577500000000001</v>
          </cell>
          <cell r="AM34">
            <v>15.94</v>
          </cell>
          <cell r="AN34">
            <v>14.65</v>
          </cell>
          <cell r="AO34">
            <v>14.05</v>
          </cell>
          <cell r="AP34">
            <v>13.77</v>
          </cell>
          <cell r="AQ34">
            <v>14.602499999999999</v>
          </cell>
          <cell r="AR34">
            <v>12.98</v>
          </cell>
          <cell r="AS34">
            <v>17.55</v>
          </cell>
          <cell r="AT34">
            <v>21.15</v>
          </cell>
          <cell r="AU34">
            <v>21.9</v>
          </cell>
          <cell r="AV34">
            <v>18.395</v>
          </cell>
          <cell r="AW34">
            <v>19.5</v>
          </cell>
        </row>
        <row r="35">
          <cell r="A35" t="str">
            <v>Natural Gas Composite</v>
          </cell>
          <cell r="C35">
            <v>1.59</v>
          </cell>
          <cell r="D35">
            <v>1.4075</v>
          </cell>
          <cell r="E35">
            <v>1.1936666666666664</v>
          </cell>
          <cell r="F35">
            <v>1.2030000000000001</v>
          </cell>
          <cell r="G35">
            <v>1.6641666666666666</v>
          </cell>
          <cell r="H35">
            <v>1.37</v>
          </cell>
          <cell r="I35">
            <v>1.1633333333333333</v>
          </cell>
          <cell r="J35">
            <v>1.4035</v>
          </cell>
          <cell r="K35">
            <v>1.7749999999999999</v>
          </cell>
          <cell r="L35">
            <v>2.1266666666666665</v>
          </cell>
          <cell r="M35">
            <v>1.62</v>
          </cell>
          <cell r="N35">
            <v>1.8166666666666664</v>
          </cell>
          <cell r="O35">
            <v>2.0233333333333334</v>
          </cell>
          <cell r="P35">
            <v>2.0366666666666666</v>
          </cell>
          <cell r="Q35">
            <v>1.99</v>
          </cell>
          <cell r="R35">
            <v>1.96</v>
          </cell>
          <cell r="S35">
            <v>2.16</v>
          </cell>
          <cell r="T35">
            <v>1.7433333333333334</v>
          </cell>
          <cell r="U35">
            <v>1.53</v>
          </cell>
          <cell r="V35">
            <v>1.45</v>
          </cell>
          <cell r="W35">
            <v>1.73</v>
          </cell>
          <cell r="X35">
            <v>1.32</v>
          </cell>
          <cell r="Y35">
            <v>1.41</v>
          </cell>
          <cell r="Z35">
            <v>1.36</v>
          </cell>
          <cell r="AA35">
            <v>1.81</v>
          </cell>
          <cell r="AB35">
            <v>1.47</v>
          </cell>
          <cell r="AC35">
            <v>2.7366999999999999</v>
          </cell>
          <cell r="AD35">
            <v>2.15</v>
          </cell>
          <cell r="AE35">
            <v>1.98</v>
          </cell>
          <cell r="AF35">
            <v>2.85</v>
          </cell>
          <cell r="AG35">
            <v>2.4291749999999999</v>
          </cell>
          <cell r="AH35">
            <v>2.5</v>
          </cell>
          <cell r="AI35">
            <v>1.99</v>
          </cell>
          <cell r="AJ35">
            <v>2.3199999999999998</v>
          </cell>
          <cell r="AK35">
            <v>2.7</v>
          </cell>
          <cell r="AL35">
            <v>2.3775000000000004</v>
          </cell>
          <cell r="AM35">
            <v>2.0499999999999998</v>
          </cell>
          <cell r="AN35">
            <v>2.12</v>
          </cell>
          <cell r="AO35">
            <v>1.9</v>
          </cell>
          <cell r="AP35">
            <v>1.8</v>
          </cell>
          <cell r="AQ35">
            <v>1.9675</v>
          </cell>
          <cell r="AR35">
            <v>1.68</v>
          </cell>
          <cell r="AS35">
            <v>2.08</v>
          </cell>
          <cell r="AT35">
            <v>2.4500000000000002</v>
          </cell>
          <cell r="AU35">
            <v>2.6</v>
          </cell>
          <cell r="AV35">
            <v>2.2025000000000001</v>
          </cell>
          <cell r="AW35">
            <v>2.2000000000000002</v>
          </cell>
        </row>
        <row r="37">
          <cell r="A37" t="str">
            <v>DAILY PRODUCTION</v>
          </cell>
          <cell r="C37">
            <v>1990</v>
          </cell>
          <cell r="D37" t="str">
            <v xml:space="preserve">1q   </v>
          </cell>
          <cell r="E37" t="str">
            <v xml:space="preserve">2q   </v>
          </cell>
          <cell r="F37" t="str">
            <v xml:space="preserve">3q   </v>
          </cell>
          <cell r="G37" t="str">
            <v xml:space="preserve">4q   </v>
          </cell>
          <cell r="H37" t="str">
            <v xml:space="preserve">1991  </v>
          </cell>
          <cell r="I37" t="str">
            <v xml:space="preserve">1q    </v>
          </cell>
          <cell r="J37" t="str">
            <v xml:space="preserve">2q     </v>
          </cell>
          <cell r="K37" t="str">
            <v xml:space="preserve">3q    </v>
          </cell>
          <cell r="L37" t="str">
            <v xml:space="preserve">4q    </v>
          </cell>
          <cell r="M37" t="str">
            <v xml:space="preserve">1992  </v>
          </cell>
          <cell r="N37" t="str">
            <v xml:space="preserve">1q   </v>
          </cell>
          <cell r="O37" t="str">
            <v xml:space="preserve">2q   </v>
          </cell>
          <cell r="P37" t="str">
            <v xml:space="preserve">3q   </v>
          </cell>
          <cell r="Q37" t="str">
            <v xml:space="preserve">4q   </v>
          </cell>
          <cell r="R37">
            <v>1993</v>
          </cell>
          <cell r="S37" t="str">
            <v xml:space="preserve">1q   </v>
          </cell>
          <cell r="T37" t="str">
            <v xml:space="preserve">2q   </v>
          </cell>
          <cell r="U37" t="str">
            <v xml:space="preserve">3q  </v>
          </cell>
          <cell r="V37" t="str">
            <v xml:space="preserve">4qe   </v>
          </cell>
          <cell r="W37">
            <v>1994</v>
          </cell>
          <cell r="X37" t="str">
            <v>1q</v>
          </cell>
          <cell r="Y37" t="str">
            <v>2q</v>
          </cell>
          <cell r="Z37" t="str">
            <v>3q</v>
          </cell>
          <cell r="AA37" t="str">
            <v>4q</v>
          </cell>
          <cell r="AB37">
            <v>1995</v>
          </cell>
          <cell r="AC37" t="str">
            <v>1q</v>
          </cell>
          <cell r="AD37" t="str">
            <v>2q</v>
          </cell>
          <cell r="AE37" t="str">
            <v>3q</v>
          </cell>
          <cell r="AF37" t="str">
            <v>4q</v>
          </cell>
          <cell r="AG37">
            <v>1996</v>
          </cell>
          <cell r="AH37" t="str">
            <v>1q</v>
          </cell>
          <cell r="AI37" t="str">
            <v>2q</v>
          </cell>
          <cell r="AJ37" t="str">
            <v>3q</v>
          </cell>
          <cell r="AK37" t="str">
            <v>4q</v>
          </cell>
          <cell r="AL37">
            <v>1997</v>
          </cell>
          <cell r="AM37" t="str">
            <v>1q</v>
          </cell>
          <cell r="AN37" t="str">
            <v>2q</v>
          </cell>
          <cell r="AO37" t="str">
            <v>3q</v>
          </cell>
          <cell r="AP37" t="str">
            <v>4q</v>
          </cell>
          <cell r="AQ37" t="str">
            <v>1998</v>
          </cell>
          <cell r="AR37" t="str">
            <v>1q</v>
          </cell>
          <cell r="AS37" t="str">
            <v>2q</v>
          </cell>
          <cell r="AT37" t="str">
            <v>3qe</v>
          </cell>
          <cell r="AU37" t="str">
            <v>4qe</v>
          </cell>
          <cell r="AV37" t="str">
            <v>1999E</v>
          </cell>
          <cell r="AW37" t="str">
            <v>2000E</v>
          </cell>
        </row>
        <row r="38">
          <cell r="A38" t="str">
            <v>Domestic Natural Gas (MMcf/d)</v>
          </cell>
          <cell r="C38">
            <v>411.91232876712331</v>
          </cell>
          <cell r="D38">
            <v>447.22222222222223</v>
          </cell>
          <cell r="E38">
            <v>325.83516483516485</v>
          </cell>
          <cell r="F38">
            <v>278.6521739130435</v>
          </cell>
          <cell r="G38">
            <v>459.78260869565213</v>
          </cell>
          <cell r="H38">
            <v>377.63561643835612</v>
          </cell>
          <cell r="I38">
            <v>435.16483516483515</v>
          </cell>
          <cell r="J38">
            <v>307.69230769230774</v>
          </cell>
          <cell r="K38">
            <v>350.00000000000006</v>
          </cell>
          <cell r="L38">
            <v>501.08695652173918</v>
          </cell>
          <cell r="M38">
            <v>398.63387978142077</v>
          </cell>
          <cell r="N38">
            <v>520.06666666666672</v>
          </cell>
          <cell r="O38">
            <v>381.91208791208788</v>
          </cell>
          <cell r="P38">
            <v>388.15217391304344</v>
          </cell>
          <cell r="Q38">
            <v>484.78260869565219</v>
          </cell>
          <cell r="R38">
            <v>443.47945205479454</v>
          </cell>
          <cell r="S38">
            <v>535.55555555555554</v>
          </cell>
          <cell r="T38">
            <v>472.05494505494505</v>
          </cell>
          <cell r="U38">
            <v>444.56521739130432</v>
          </cell>
          <cell r="V38">
            <v>475.00000000000006</v>
          </cell>
          <cell r="W38">
            <v>481.52602739726029</v>
          </cell>
          <cell r="X38">
            <v>458.88888888888886</v>
          </cell>
          <cell r="Y38">
            <v>478.02197802197804</v>
          </cell>
          <cell r="Z38">
            <v>460</v>
          </cell>
          <cell r="AA38">
            <v>483.695652173913</v>
          </cell>
          <cell r="AB38">
            <v>469.3150684931507</v>
          </cell>
          <cell r="AC38">
            <v>485.5555555555556</v>
          </cell>
          <cell r="AD38">
            <v>444</v>
          </cell>
          <cell r="AE38">
            <v>432.60869565217388</v>
          </cell>
          <cell r="AF38">
            <v>445.65217391304344</v>
          </cell>
          <cell r="AG38">
            <v>451.78082191780817</v>
          </cell>
          <cell r="AH38">
            <v>470</v>
          </cell>
          <cell r="AI38">
            <v>481.31868131868129</v>
          </cell>
          <cell r="AJ38">
            <v>494</v>
          </cell>
          <cell r="AK38">
            <v>513</v>
          </cell>
          <cell r="AL38">
            <v>489.70958904109591</v>
          </cell>
          <cell r="AM38">
            <v>489</v>
          </cell>
          <cell r="AN38">
            <v>463</v>
          </cell>
          <cell r="AO38">
            <v>497</v>
          </cell>
          <cell r="AP38">
            <v>487</v>
          </cell>
          <cell r="AQ38">
            <v>484.03013698630139</v>
          </cell>
          <cell r="AR38">
            <v>489</v>
          </cell>
          <cell r="AS38">
            <v>461</v>
          </cell>
          <cell r="AT38">
            <v>445</v>
          </cell>
          <cell r="AU38">
            <v>450</v>
          </cell>
          <cell r="AV38">
            <v>461.09863013698629</v>
          </cell>
          <cell r="AW38">
            <v>505</v>
          </cell>
        </row>
        <row r="39">
          <cell r="A39" t="str">
            <v xml:space="preserve">  Oil Production US (MBbls/d)</v>
          </cell>
          <cell r="C39">
            <v>12.6</v>
          </cell>
          <cell r="D39">
            <v>13.277777777777779</v>
          </cell>
          <cell r="E39">
            <v>12.428571428571429</v>
          </cell>
          <cell r="F39">
            <v>12.499999999999998</v>
          </cell>
          <cell r="G39">
            <v>11.771739130434783</v>
          </cell>
          <cell r="H39">
            <v>12.490410958904109</v>
          </cell>
          <cell r="I39">
            <v>11.769230769230768</v>
          </cell>
          <cell r="J39">
            <v>12.219780219780221</v>
          </cell>
          <cell r="K39">
            <v>11.413043478260869</v>
          </cell>
          <cell r="L39">
            <v>12.369565217391303</v>
          </cell>
          <cell r="M39">
            <v>11.942622950819672</v>
          </cell>
          <cell r="N39">
            <v>21.455555555555559</v>
          </cell>
          <cell r="O39">
            <v>20.912087912087912</v>
          </cell>
          <cell r="P39">
            <v>21.478260869565219</v>
          </cell>
          <cell r="Q39">
            <v>22.826086956521738</v>
          </cell>
          <cell r="R39">
            <v>21.671232876712331</v>
          </cell>
          <cell r="S39">
            <v>23.733333333333334</v>
          </cell>
          <cell r="T39">
            <v>23.285714285714288</v>
          </cell>
          <cell r="U39">
            <v>22.456521739130434</v>
          </cell>
          <cell r="V39">
            <v>21.543478260869563</v>
          </cell>
          <cell r="W39">
            <v>22.747945205479454</v>
          </cell>
          <cell r="X39">
            <v>20.422222222222224</v>
          </cell>
          <cell r="Y39">
            <v>21.274725274725274</v>
          </cell>
          <cell r="Z39">
            <v>20</v>
          </cell>
          <cell r="AA39">
            <v>20.010869565217391</v>
          </cell>
          <cell r="AB39">
            <v>20.424657534246577</v>
          </cell>
          <cell r="AC39">
            <v>18.899999999999999</v>
          </cell>
          <cell r="AD39">
            <v>18.35164835164835</v>
          </cell>
          <cell r="AE39">
            <v>17.510869565217391</v>
          </cell>
          <cell r="AF39">
            <v>18.673913043478258</v>
          </cell>
          <cell r="AG39">
            <v>18.359107740085999</v>
          </cell>
          <cell r="AH39">
            <v>22.24444444444444</v>
          </cell>
          <cell r="AI39">
            <v>24.714285714285715</v>
          </cell>
          <cell r="AJ39">
            <v>26</v>
          </cell>
          <cell r="AK39">
            <v>26</v>
          </cell>
          <cell r="AL39">
            <v>24.739682539682541</v>
          </cell>
          <cell r="AM39">
            <v>25</v>
          </cell>
          <cell r="AN39">
            <v>24.3</v>
          </cell>
          <cell r="AO39">
            <v>26.9</v>
          </cell>
          <cell r="AP39">
            <v>27</v>
          </cell>
          <cell r="AQ39">
            <v>25.799999999999997</v>
          </cell>
          <cell r="AR39">
            <v>26</v>
          </cell>
          <cell r="AS39">
            <v>24</v>
          </cell>
          <cell r="AT39">
            <v>21</v>
          </cell>
          <cell r="AU39">
            <v>21</v>
          </cell>
          <cell r="AV39">
            <v>23</v>
          </cell>
          <cell r="AW39">
            <v>33</v>
          </cell>
        </row>
        <row r="40">
          <cell r="A40" t="str">
            <v xml:space="preserve">  Oil Production Algeria (MBbls/d)</v>
          </cell>
          <cell r="AN40">
            <v>4.7</v>
          </cell>
          <cell r="AO40">
            <v>5.07</v>
          </cell>
          <cell r="AP40">
            <v>8</v>
          </cell>
          <cell r="AQ40">
            <v>5.9233333333333329</v>
          </cell>
          <cell r="AR40">
            <v>18</v>
          </cell>
          <cell r="AS40">
            <v>18</v>
          </cell>
          <cell r="AT40">
            <v>9</v>
          </cell>
          <cell r="AU40">
            <v>15</v>
          </cell>
          <cell r="AV40">
            <v>15</v>
          </cell>
          <cell r="AW40">
            <v>19.2</v>
          </cell>
        </row>
        <row r="41">
          <cell r="A41" t="str">
            <v>Total Oil Production (MBbls/d)</v>
          </cell>
          <cell r="C41">
            <v>12.6</v>
          </cell>
          <cell r="D41">
            <v>13.277777777777779</v>
          </cell>
          <cell r="E41">
            <v>12.428571428571429</v>
          </cell>
          <cell r="F41">
            <v>12.499999999999998</v>
          </cell>
          <cell r="G41">
            <v>11.771739130434783</v>
          </cell>
          <cell r="H41">
            <v>12.490410958904109</v>
          </cell>
          <cell r="I41">
            <v>11.769230769230768</v>
          </cell>
          <cell r="J41">
            <v>12.219780219780221</v>
          </cell>
          <cell r="K41">
            <v>11.413043478260869</v>
          </cell>
          <cell r="L41">
            <v>12.369565217391303</v>
          </cell>
          <cell r="M41">
            <v>11.942622950819672</v>
          </cell>
          <cell r="N41">
            <v>21.455555555555559</v>
          </cell>
          <cell r="O41">
            <v>20.912087912087912</v>
          </cell>
          <cell r="P41">
            <v>21.478260869565219</v>
          </cell>
          <cell r="Q41">
            <v>22.826086956521738</v>
          </cell>
          <cell r="R41">
            <v>21.671232876712331</v>
          </cell>
          <cell r="S41">
            <v>23.733333333333334</v>
          </cell>
          <cell r="T41">
            <v>23.285714285714288</v>
          </cell>
          <cell r="U41">
            <v>22.456521739130434</v>
          </cell>
          <cell r="V41">
            <v>21.543478260869563</v>
          </cell>
          <cell r="W41">
            <v>22.747945205479454</v>
          </cell>
          <cell r="X41">
            <v>20.422222222222224</v>
          </cell>
          <cell r="Y41">
            <v>21.274725274725274</v>
          </cell>
          <cell r="Z41">
            <v>20</v>
          </cell>
          <cell r="AA41">
            <v>20.010869565217391</v>
          </cell>
          <cell r="AB41">
            <v>20.424657534246577</v>
          </cell>
          <cell r="AC41">
            <v>18.899999999999999</v>
          </cell>
          <cell r="AD41">
            <v>18.35164835164835</v>
          </cell>
          <cell r="AE41">
            <v>17.510869565217391</v>
          </cell>
          <cell r="AF41">
            <v>18.673913043478258</v>
          </cell>
          <cell r="AG41">
            <v>18.359107740085999</v>
          </cell>
          <cell r="AH41">
            <v>22.24444444444444</v>
          </cell>
          <cell r="AI41">
            <v>24.714285714285715</v>
          </cell>
          <cell r="AJ41">
            <v>26</v>
          </cell>
          <cell r="AK41">
            <v>26</v>
          </cell>
          <cell r="AL41">
            <v>24.739682539682541</v>
          </cell>
          <cell r="AM41">
            <v>25</v>
          </cell>
          <cell r="AN41">
            <v>29</v>
          </cell>
          <cell r="AO41">
            <v>31.97</v>
          </cell>
          <cell r="AP41">
            <v>35</v>
          </cell>
          <cell r="AQ41">
            <v>31.723333333333329</v>
          </cell>
          <cell r="AR41">
            <v>44</v>
          </cell>
          <cell r="AS41">
            <v>42</v>
          </cell>
          <cell r="AT41">
            <v>30</v>
          </cell>
          <cell r="AU41">
            <v>36</v>
          </cell>
          <cell r="AV41">
            <v>38</v>
          </cell>
          <cell r="AW41">
            <v>52.2</v>
          </cell>
        </row>
        <row r="42">
          <cell r="A42" t="str">
            <v>Plant &amp; PL Condensate (MBbls/d)</v>
          </cell>
          <cell r="C42">
            <v>0.75068493150684934</v>
          </cell>
          <cell r="D42">
            <v>1.7</v>
          </cell>
          <cell r="E42">
            <v>0.5714285714285714</v>
          </cell>
          <cell r="F42">
            <v>0.73913043478260876</v>
          </cell>
          <cell r="G42">
            <v>1.4782608695652175</v>
          </cell>
          <cell r="H42">
            <v>1.1205479452054796</v>
          </cell>
          <cell r="I42">
            <v>0.94505494505494492</v>
          </cell>
          <cell r="J42">
            <v>0.30769230769230771</v>
          </cell>
          <cell r="K42">
            <v>0.5</v>
          </cell>
          <cell r="L42">
            <v>0.80434782608695654</v>
          </cell>
          <cell r="M42">
            <v>0.59562841530054644</v>
          </cell>
          <cell r="N42">
            <v>0</v>
          </cell>
          <cell r="O42">
            <v>0</v>
          </cell>
          <cell r="P42">
            <v>0</v>
          </cell>
          <cell r="Q42">
            <v>0</v>
          </cell>
        </row>
        <row r="43">
          <cell r="A43" t="str">
            <v>Natural Gas Liquids (MBbls/d)</v>
          </cell>
          <cell r="C43">
            <v>4.1205479452054794</v>
          </cell>
          <cell r="D43">
            <v>4.7333333333333334</v>
          </cell>
          <cell r="E43">
            <v>3.6373626373626373</v>
          </cell>
          <cell r="F43">
            <v>5.4565217391304346</v>
          </cell>
          <cell r="G43">
            <v>7.5869565217391299</v>
          </cell>
          <cell r="H43">
            <v>5.3616438356164382</v>
          </cell>
          <cell r="I43">
            <v>6.0109890109890109</v>
          </cell>
          <cell r="J43">
            <v>4.8461538461538467</v>
          </cell>
          <cell r="K43">
            <v>5</v>
          </cell>
          <cell r="L43">
            <v>5.5</v>
          </cell>
          <cell r="M43">
            <v>5.9344262295081966</v>
          </cell>
          <cell r="N43">
            <v>8.9666666666666686</v>
          </cell>
          <cell r="O43">
            <v>4.8571428571428577</v>
          </cell>
          <cell r="P43">
            <v>5.6086956521739131</v>
          </cell>
          <cell r="Q43">
            <v>10.130434782608695</v>
          </cell>
          <cell r="R43">
            <v>7.3890410958904109</v>
          </cell>
          <cell r="S43">
            <v>7.2111111111111121</v>
          </cell>
          <cell r="T43">
            <v>7.0769230769230766</v>
          </cell>
          <cell r="U43">
            <v>6.8043478260869561</v>
          </cell>
          <cell r="V43">
            <v>11.75</v>
          </cell>
          <cell r="W43">
            <v>8.2191780821917799</v>
          </cell>
          <cell r="X43">
            <v>11.266666666666666</v>
          </cell>
          <cell r="Y43">
            <v>8.2857142857142847</v>
          </cell>
          <cell r="Z43">
            <v>7.1521739130434785</v>
          </cell>
          <cell r="AA43">
            <v>12.543478260869565</v>
          </cell>
          <cell r="AB43">
            <v>9.8082191780821919</v>
          </cell>
          <cell r="AC43">
            <v>10.977777777777778</v>
          </cell>
          <cell r="AD43">
            <v>9</v>
          </cell>
          <cell r="AE43">
            <v>7.7173913043478262</v>
          </cell>
          <cell r="AF43">
            <v>11.260869565217392</v>
          </cell>
          <cell r="AG43">
            <v>8.5</v>
          </cell>
          <cell r="AH43">
            <v>13.677777777777779</v>
          </cell>
          <cell r="AI43">
            <v>11</v>
          </cell>
          <cell r="AJ43">
            <v>16</v>
          </cell>
          <cell r="AK43">
            <v>19</v>
          </cell>
          <cell r="AL43">
            <v>14.936986301369862</v>
          </cell>
          <cell r="AM43">
            <v>19</v>
          </cell>
          <cell r="AN43">
            <v>17</v>
          </cell>
          <cell r="AO43">
            <v>18</v>
          </cell>
          <cell r="AP43">
            <v>17</v>
          </cell>
          <cell r="AQ43">
            <v>17.745205479452054</v>
          </cell>
          <cell r="AR43">
            <v>18</v>
          </cell>
          <cell r="AS43">
            <v>17.399999999999999</v>
          </cell>
          <cell r="AT43">
            <v>17.399999999999999</v>
          </cell>
          <cell r="AU43">
            <v>15.5</v>
          </cell>
          <cell r="AV43">
            <v>17.069041095890409</v>
          </cell>
          <cell r="AW43">
            <v>15</v>
          </cell>
        </row>
        <row r="45">
          <cell r="A45" t="str">
            <v>PERIOD PRODUCTION</v>
          </cell>
        </row>
        <row r="46">
          <cell r="A46" t="str">
            <v>Domestic Natural Gas (Bcf)</v>
          </cell>
          <cell r="C46">
            <v>150.34800000000001</v>
          </cell>
          <cell r="D46">
            <v>40.25</v>
          </cell>
          <cell r="E46">
            <v>29.651</v>
          </cell>
          <cell r="F46">
            <v>25.635999999999999</v>
          </cell>
          <cell r="G46">
            <v>42.3</v>
          </cell>
          <cell r="H46">
            <v>137.83699999999999</v>
          </cell>
          <cell r="I46">
            <v>39.6</v>
          </cell>
          <cell r="J46">
            <v>28</v>
          </cell>
          <cell r="K46">
            <v>32.200000000000003</v>
          </cell>
          <cell r="L46">
            <v>46.1</v>
          </cell>
          <cell r="M46">
            <v>145.9</v>
          </cell>
          <cell r="N46">
            <v>46.805999999999997</v>
          </cell>
          <cell r="O46">
            <v>34.753999999999998</v>
          </cell>
          <cell r="P46">
            <v>35.71</v>
          </cell>
          <cell r="Q46">
            <v>44.6</v>
          </cell>
          <cell r="R46">
            <v>161.87</v>
          </cell>
          <cell r="S46">
            <v>48.2</v>
          </cell>
          <cell r="T46">
            <v>42.957000000000001</v>
          </cell>
          <cell r="U46">
            <v>40.9</v>
          </cell>
          <cell r="V46">
            <v>43.7</v>
          </cell>
          <cell r="W46">
            <v>175.75700000000001</v>
          </cell>
          <cell r="X46">
            <v>41.3</v>
          </cell>
          <cell r="Y46">
            <v>43.5</v>
          </cell>
          <cell r="Z46">
            <v>42</v>
          </cell>
          <cell r="AA46">
            <v>44.5</v>
          </cell>
          <cell r="AB46">
            <v>171.3</v>
          </cell>
          <cell r="AC46">
            <v>43.7</v>
          </cell>
          <cell r="AD46">
            <v>40.4</v>
          </cell>
          <cell r="AE46">
            <v>39.799999999999997</v>
          </cell>
          <cell r="AF46">
            <v>41</v>
          </cell>
          <cell r="AG46">
            <v>164.89999999999998</v>
          </cell>
          <cell r="AH46">
            <v>42.3</v>
          </cell>
          <cell r="AI46">
            <v>43.8</v>
          </cell>
          <cell r="AJ46">
            <v>45.448</v>
          </cell>
          <cell r="AK46">
            <v>47.195999999999998</v>
          </cell>
          <cell r="AL46">
            <v>178.744</v>
          </cell>
          <cell r="AM46">
            <v>44.01</v>
          </cell>
          <cell r="AN46">
            <v>42.133000000000003</v>
          </cell>
          <cell r="AO46">
            <v>45.723999999999997</v>
          </cell>
          <cell r="AP46">
            <v>44.804000000000002</v>
          </cell>
          <cell r="AQ46">
            <v>176.67099999999999</v>
          </cell>
          <cell r="AR46">
            <v>44.01</v>
          </cell>
          <cell r="AS46">
            <v>41.951000000000001</v>
          </cell>
          <cell r="AT46">
            <v>40.94</v>
          </cell>
          <cell r="AU46">
            <v>41.4</v>
          </cell>
          <cell r="AV46">
            <v>168.30099999999999</v>
          </cell>
          <cell r="AW46">
            <v>184.32499999999999</v>
          </cell>
        </row>
        <row r="47">
          <cell r="A47" t="str">
            <v xml:space="preserve">  Oil Production - US (MMBbls)</v>
          </cell>
          <cell r="C47">
            <v>4.5990000000000002</v>
          </cell>
          <cell r="D47">
            <v>1.1950000000000001</v>
          </cell>
          <cell r="E47">
            <v>1.131</v>
          </cell>
          <cell r="F47">
            <v>1.1499999999999999</v>
          </cell>
          <cell r="G47">
            <v>1.083</v>
          </cell>
          <cell r="H47">
            <v>4.5590000000000002</v>
          </cell>
          <cell r="I47">
            <v>1.071</v>
          </cell>
          <cell r="J47">
            <v>1.1120000000000001</v>
          </cell>
          <cell r="K47">
            <v>1.05</v>
          </cell>
          <cell r="L47">
            <v>1.1379999999999999</v>
          </cell>
          <cell r="M47">
            <v>4.3709999999999996</v>
          </cell>
          <cell r="N47">
            <v>1.931</v>
          </cell>
          <cell r="O47">
            <v>1.903</v>
          </cell>
          <cell r="P47">
            <v>1.976</v>
          </cell>
          <cell r="Q47">
            <v>2.1</v>
          </cell>
          <cell r="R47">
            <v>7.91</v>
          </cell>
          <cell r="S47">
            <v>2.1360000000000001</v>
          </cell>
          <cell r="T47">
            <v>2.1190000000000002</v>
          </cell>
          <cell r="U47">
            <v>2.0659999999999998</v>
          </cell>
          <cell r="V47">
            <v>1.982</v>
          </cell>
          <cell r="W47">
            <v>8.3030000000000008</v>
          </cell>
          <cell r="X47">
            <v>1.8380000000000001</v>
          </cell>
          <cell r="Y47">
            <v>1.9359999999999999</v>
          </cell>
          <cell r="Z47">
            <v>1.84</v>
          </cell>
          <cell r="AA47">
            <v>1.841</v>
          </cell>
          <cell r="AB47">
            <v>7.4550000000000001</v>
          </cell>
          <cell r="AC47">
            <v>1.7010000000000001</v>
          </cell>
          <cell r="AD47">
            <v>1.67</v>
          </cell>
          <cell r="AE47">
            <v>1.611</v>
          </cell>
          <cell r="AF47">
            <v>1.718</v>
          </cell>
          <cell r="AG47">
            <v>6.7010743251313896</v>
          </cell>
          <cell r="AH47">
            <v>2.0019999999999998</v>
          </cell>
          <cell r="AI47">
            <v>2.2490000000000001</v>
          </cell>
          <cell r="AJ47">
            <v>2.3919999999999999</v>
          </cell>
          <cell r="AK47">
            <v>2.3919999999999999</v>
          </cell>
          <cell r="AL47">
            <v>9.029984126984127</v>
          </cell>
          <cell r="AM47">
            <v>2.25</v>
          </cell>
          <cell r="AN47">
            <v>2.2113</v>
          </cell>
          <cell r="AO47">
            <v>2.4747999999999997</v>
          </cell>
          <cell r="AP47">
            <v>2.484</v>
          </cell>
          <cell r="AQ47">
            <v>9.416999999999998</v>
          </cell>
          <cell r="AR47">
            <v>2.34</v>
          </cell>
          <cell r="AS47">
            <v>2.1840000000000002</v>
          </cell>
          <cell r="AT47">
            <v>1.9319999999999999</v>
          </cell>
          <cell r="AU47">
            <v>1.9319999999999999</v>
          </cell>
          <cell r="AV47">
            <v>8.3879999999999999</v>
          </cell>
          <cell r="AW47">
            <v>12.045</v>
          </cell>
        </row>
        <row r="48">
          <cell r="A48" t="str">
            <v xml:space="preserve">  Oil Production - Algeria (MMBbls)</v>
          </cell>
          <cell r="AN48">
            <v>0.42769999999999997</v>
          </cell>
          <cell r="AO48">
            <v>0.46644000000000008</v>
          </cell>
          <cell r="AP48">
            <v>0.73599999999999999</v>
          </cell>
          <cell r="AQ48">
            <v>2.1620166666666663</v>
          </cell>
          <cell r="AR48">
            <v>1.62</v>
          </cell>
          <cell r="AS48">
            <v>1.647</v>
          </cell>
          <cell r="AT48">
            <v>0.82799999999999996</v>
          </cell>
          <cell r="AU48">
            <v>1.38</v>
          </cell>
          <cell r="AV48">
            <v>5.4750000000000005</v>
          </cell>
          <cell r="AW48">
            <v>7.008</v>
          </cell>
        </row>
        <row r="49">
          <cell r="A49" t="str">
            <v>Oil (MMBbls)</v>
          </cell>
          <cell r="C49">
            <v>4.5990000000000002</v>
          </cell>
          <cell r="D49">
            <v>1.1950000000000001</v>
          </cell>
          <cell r="E49">
            <v>1.131</v>
          </cell>
          <cell r="F49">
            <v>1.1499999999999999</v>
          </cell>
          <cell r="G49">
            <v>1.083</v>
          </cell>
          <cell r="H49">
            <v>4.5590000000000002</v>
          </cell>
          <cell r="I49">
            <v>1.071</v>
          </cell>
          <cell r="J49">
            <v>1.1120000000000001</v>
          </cell>
          <cell r="K49">
            <v>1.05</v>
          </cell>
          <cell r="L49">
            <v>1.1379999999999999</v>
          </cell>
          <cell r="M49">
            <v>4.3709999999999996</v>
          </cell>
          <cell r="N49">
            <v>1.931</v>
          </cell>
          <cell r="O49">
            <v>1.903</v>
          </cell>
          <cell r="P49">
            <v>1.976</v>
          </cell>
          <cell r="Q49">
            <v>2.1</v>
          </cell>
          <cell r="R49">
            <v>7.91</v>
          </cell>
          <cell r="S49">
            <v>2.1360000000000001</v>
          </cell>
          <cell r="T49">
            <v>2.1190000000000002</v>
          </cell>
          <cell r="U49">
            <v>2.0659999999999998</v>
          </cell>
          <cell r="V49">
            <v>1.982</v>
          </cell>
          <cell r="W49">
            <v>8.3030000000000008</v>
          </cell>
          <cell r="X49">
            <v>1.8380000000000001</v>
          </cell>
          <cell r="Y49">
            <v>1.9359999999999999</v>
          </cell>
          <cell r="Z49">
            <v>1.84</v>
          </cell>
          <cell r="AA49">
            <v>1.841</v>
          </cell>
          <cell r="AB49">
            <v>7.4550000000000001</v>
          </cell>
          <cell r="AC49">
            <v>1.7010000000000001</v>
          </cell>
          <cell r="AD49">
            <v>1.67</v>
          </cell>
          <cell r="AE49">
            <v>1.611</v>
          </cell>
          <cell r="AF49">
            <v>1.718</v>
          </cell>
          <cell r="AG49">
            <v>6.7010743251313896</v>
          </cell>
          <cell r="AH49">
            <v>2.0019999999999998</v>
          </cell>
          <cell r="AI49">
            <v>2.2490000000000001</v>
          </cell>
          <cell r="AJ49">
            <v>2.3919999999999999</v>
          </cell>
          <cell r="AK49">
            <v>2.3919999999999999</v>
          </cell>
          <cell r="AL49">
            <v>9.0349999999999984</v>
          </cell>
          <cell r="AM49">
            <v>2.25</v>
          </cell>
          <cell r="AN49">
            <v>2.6390000000000002</v>
          </cell>
          <cell r="AO49">
            <v>2.9412399999999996</v>
          </cell>
          <cell r="AP49">
            <v>3.2199999999999998</v>
          </cell>
          <cell r="AQ49">
            <v>11.050239999999999</v>
          </cell>
          <cell r="AR49">
            <v>3.96</v>
          </cell>
          <cell r="AS49">
            <v>3.8310000000000004</v>
          </cell>
          <cell r="AT49">
            <v>2.76</v>
          </cell>
          <cell r="AU49">
            <v>3.3119999999999998</v>
          </cell>
          <cell r="AV49">
            <v>13.863</v>
          </cell>
          <cell r="AW49">
            <v>19.053000000000001</v>
          </cell>
        </row>
        <row r="50">
          <cell r="A50" t="str">
            <v>Plant &amp; PL Condensate (MMBbls)</v>
          </cell>
          <cell r="C50">
            <v>0.27400000000000002</v>
          </cell>
          <cell r="D50">
            <v>0.153</v>
          </cell>
          <cell r="E50">
            <v>5.1999999999999998E-2</v>
          </cell>
          <cell r="F50">
            <v>6.8000000000000005E-2</v>
          </cell>
          <cell r="G50">
            <v>0.13600000000000001</v>
          </cell>
          <cell r="H50">
            <v>0.40900000000000003</v>
          </cell>
          <cell r="I50">
            <v>8.5999999999999993E-2</v>
          </cell>
          <cell r="J50">
            <v>2.8000000000000001E-2</v>
          </cell>
          <cell r="K50">
            <v>0.03</v>
          </cell>
          <cell r="L50">
            <v>7.3999999999999996E-2</v>
          </cell>
          <cell r="M50">
            <v>0.21799999999999997</v>
          </cell>
        </row>
        <row r="51">
          <cell r="A51" t="str">
            <v>Natural Gas Liquids (MMBbls)</v>
          </cell>
          <cell r="C51">
            <v>1.504</v>
          </cell>
          <cell r="D51">
            <v>0.42599999999999999</v>
          </cell>
          <cell r="E51">
            <v>0.33100000000000002</v>
          </cell>
          <cell r="F51">
            <v>0.502</v>
          </cell>
          <cell r="G51">
            <v>0.69799999999999995</v>
          </cell>
          <cell r="H51">
            <v>1.9569999999999999</v>
          </cell>
          <cell r="I51">
            <v>0.54700000000000004</v>
          </cell>
          <cell r="J51">
            <v>0.441</v>
          </cell>
          <cell r="K51">
            <v>0.32</v>
          </cell>
          <cell r="L51">
            <v>0.86399999999999999</v>
          </cell>
          <cell r="M51">
            <v>2.1720000000000002</v>
          </cell>
          <cell r="N51">
            <v>0.80700000000000005</v>
          </cell>
          <cell r="O51">
            <v>0.442</v>
          </cell>
          <cell r="P51">
            <v>0.51600000000000001</v>
          </cell>
          <cell r="Q51">
            <v>0.93200000000000005</v>
          </cell>
          <cell r="R51">
            <v>2.6970000000000001</v>
          </cell>
          <cell r="S51">
            <v>0.64900000000000002</v>
          </cell>
          <cell r="T51">
            <v>0.64400000000000002</v>
          </cell>
          <cell r="U51">
            <v>0.626</v>
          </cell>
          <cell r="V51">
            <v>1.081</v>
          </cell>
          <cell r="W51">
            <v>3</v>
          </cell>
          <cell r="X51">
            <v>1.014</v>
          </cell>
          <cell r="Y51">
            <v>0.754</v>
          </cell>
          <cell r="Z51">
            <v>0.65800000000000003</v>
          </cell>
          <cell r="AA51">
            <v>1.1539999999999999</v>
          </cell>
          <cell r="AB51">
            <v>3.58</v>
          </cell>
          <cell r="AC51">
            <v>0.98799999999999999</v>
          </cell>
          <cell r="AD51">
            <v>0.77900000000000003</v>
          </cell>
          <cell r="AE51">
            <v>0.71</v>
          </cell>
          <cell r="AF51">
            <v>1.036</v>
          </cell>
          <cell r="AG51">
            <v>3.5129999999999999</v>
          </cell>
          <cell r="AH51">
            <v>1.2310000000000001</v>
          </cell>
          <cell r="AI51">
            <v>1.0009999999999999</v>
          </cell>
          <cell r="AJ51">
            <v>1.472</v>
          </cell>
          <cell r="AK51">
            <v>1.748</v>
          </cell>
          <cell r="AL51">
            <v>5.452</v>
          </cell>
          <cell r="AM51">
            <v>1.71</v>
          </cell>
          <cell r="AN51">
            <v>1.5469999999999999</v>
          </cell>
          <cell r="AO51">
            <v>1.6559999999999999</v>
          </cell>
          <cell r="AP51">
            <v>1.5640000000000001</v>
          </cell>
          <cell r="AQ51">
            <v>6.4769999999999994</v>
          </cell>
          <cell r="AR51">
            <v>1.62</v>
          </cell>
          <cell r="AS51">
            <v>1.5833999999999999</v>
          </cell>
          <cell r="AT51">
            <v>1.6008</v>
          </cell>
          <cell r="AU51">
            <v>1.4259999999999999</v>
          </cell>
          <cell r="AV51">
            <v>6.2302</v>
          </cell>
          <cell r="AW51">
            <v>5.4749999999999996</v>
          </cell>
        </row>
        <row r="53">
          <cell r="A53" t="str">
            <v>PERIOD ENERGY EQUIVALENTS</v>
          </cell>
        </row>
        <row r="54">
          <cell r="A54" t="str">
            <v>Mcfe</v>
          </cell>
          <cell r="C54">
            <v>184.97240000000002</v>
          </cell>
          <cell r="D54">
            <v>49.773200000000003</v>
          </cell>
          <cell r="E54">
            <v>37.944400000000002</v>
          </cell>
          <cell r="F54">
            <v>34.770000000000003</v>
          </cell>
          <cell r="G54">
            <v>52.103199999999994</v>
          </cell>
          <cell r="H54">
            <v>174.59079999999997</v>
          </cell>
          <cell r="I54">
            <v>48.517400000000002</v>
          </cell>
          <cell r="J54">
            <v>36.482199999999999</v>
          </cell>
          <cell r="K54">
            <v>39.86</v>
          </cell>
          <cell r="L54">
            <v>56.566399999999994</v>
          </cell>
          <cell r="M54">
            <v>181.42600000000002</v>
          </cell>
          <cell r="N54">
            <v>61.458599999999997</v>
          </cell>
          <cell r="O54">
            <v>47.851599999999998</v>
          </cell>
          <cell r="P54">
            <v>49.526800000000001</v>
          </cell>
          <cell r="Q54">
            <v>60.741600000000005</v>
          </cell>
          <cell r="R54">
            <v>219.57860000000002</v>
          </cell>
          <cell r="S54">
            <v>63.482200000000006</v>
          </cell>
          <cell r="T54">
            <v>58.118200000000009</v>
          </cell>
          <cell r="U54">
            <v>55.674799999999998</v>
          </cell>
          <cell r="V54">
            <v>59.699799999999996</v>
          </cell>
          <cell r="W54">
            <v>236.97500000000002</v>
          </cell>
          <cell r="X54">
            <v>56.181199999999997</v>
          </cell>
          <cell r="Y54">
            <v>57.981200000000001</v>
          </cell>
          <cell r="Z54">
            <v>55.540399999999998</v>
          </cell>
          <cell r="AA54">
            <v>59.931199999999997</v>
          </cell>
          <cell r="AB54">
            <v>229.63400000000001</v>
          </cell>
          <cell r="AC54">
            <v>57.660400000000003</v>
          </cell>
          <cell r="AD54">
            <v>53.380200000000002</v>
          </cell>
          <cell r="AE54">
            <v>52.163999999999994</v>
          </cell>
          <cell r="AF54">
            <v>55.244799999999998</v>
          </cell>
          <cell r="AG54">
            <v>218.45584595078833</v>
          </cell>
          <cell r="AH54">
            <v>58.989799999999995</v>
          </cell>
          <cell r="AI54">
            <v>61.097799999999999</v>
          </cell>
          <cell r="AJ54">
            <v>65.393599999999992</v>
          </cell>
          <cell r="AK54">
            <v>68.190399999999997</v>
          </cell>
          <cell r="AL54">
            <v>253.67160000000001</v>
          </cell>
          <cell r="AM54">
            <v>64.007999999999996</v>
          </cell>
          <cell r="AN54">
            <v>63.845600000000005</v>
          </cell>
          <cell r="AO54">
            <v>69.664239999999992</v>
          </cell>
          <cell r="AP54">
            <v>70.0672</v>
          </cell>
          <cell r="AQ54">
            <v>267.58503999999999</v>
          </cell>
          <cell r="AR54">
            <v>73.926000000000002</v>
          </cell>
          <cell r="AS54">
            <v>70.953920000000011</v>
          </cell>
          <cell r="AT54">
            <v>63.583039999999997</v>
          </cell>
          <cell r="AU54">
            <v>66.690799999999996</v>
          </cell>
          <cell r="AV54">
            <v>275.15375999999998</v>
          </cell>
          <cell r="AW54">
            <v>319.44800000000004</v>
          </cell>
        </row>
        <row r="55">
          <cell r="A55" t="str">
            <v>BOE</v>
          </cell>
          <cell r="C55">
            <v>30.878520000000005</v>
          </cell>
          <cell r="D55">
            <v>8.3247133333333334</v>
          </cell>
          <cell r="E55">
            <v>6.3333633333333328</v>
          </cell>
          <cell r="F55">
            <v>5.8069266666666657</v>
          </cell>
          <cell r="G55">
            <v>8.7087399999999988</v>
          </cell>
          <cell r="H55">
            <v>29.173743333333331</v>
          </cell>
          <cell r="I55">
            <v>8.1016100000000009</v>
          </cell>
          <cell r="J55">
            <v>6.0844966666666664</v>
          </cell>
          <cell r="K55">
            <v>6.6482666666666672</v>
          </cell>
          <cell r="L55">
            <v>9.4396533333333341</v>
          </cell>
          <cell r="M55">
            <v>30.274026666666664</v>
          </cell>
          <cell r="N55">
            <v>10.240409999999999</v>
          </cell>
          <cell r="O55">
            <v>7.9737933333333322</v>
          </cell>
          <cell r="P55">
            <v>8.2527466666666669</v>
          </cell>
          <cell r="Q55">
            <v>10.120493333333334</v>
          </cell>
          <cell r="R55">
            <v>36.587443333333333</v>
          </cell>
          <cell r="S55">
            <v>10.578203333333335</v>
          </cell>
          <cell r="T55">
            <v>9.6842200000000016</v>
          </cell>
          <cell r="U55">
            <v>9.2770466666666653</v>
          </cell>
          <cell r="V55">
            <v>9.9463633333333341</v>
          </cell>
          <cell r="W55">
            <v>39.485833333333332</v>
          </cell>
          <cell r="X55">
            <v>9.3601533333333347</v>
          </cell>
          <cell r="Y55">
            <v>9.6610200000000006</v>
          </cell>
          <cell r="Z55">
            <v>9.2545400000000004</v>
          </cell>
          <cell r="AA55">
            <v>9.9846866666666667</v>
          </cell>
          <cell r="AB55">
            <v>38.260400000000004</v>
          </cell>
          <cell r="AC55">
            <v>9.6067733333333329</v>
          </cell>
          <cell r="AD55">
            <v>8.8941033333333319</v>
          </cell>
          <cell r="AE55">
            <v>8.6916333333333338</v>
          </cell>
          <cell r="AF55">
            <v>9.2040133333333323</v>
          </cell>
          <cell r="AG55">
            <v>36.397597658464719</v>
          </cell>
          <cell r="AH55">
            <v>9.8275299999999994</v>
          </cell>
          <cell r="AI55">
            <v>10.17963</v>
          </cell>
          <cell r="AJ55">
            <v>10.894026666666667</v>
          </cell>
          <cell r="AK55">
            <v>11.35924</v>
          </cell>
          <cell r="AL55">
            <v>42.26042666666666</v>
          </cell>
          <cell r="AM55">
            <v>10.6623</v>
          </cell>
          <cell r="AN55">
            <v>10.635776666666667</v>
          </cell>
          <cell r="AO55">
            <v>11.605186666666665</v>
          </cell>
          <cell r="AP55">
            <v>11.672653333333333</v>
          </cell>
          <cell r="AQ55">
            <v>44.575916666666664</v>
          </cell>
          <cell r="AR55">
            <v>12.3156</v>
          </cell>
          <cell r="AS55">
            <v>11.820375333333333</v>
          </cell>
          <cell r="AT55">
            <v>10.591837333333332</v>
          </cell>
          <cell r="AU55">
            <v>11.110379999999999</v>
          </cell>
          <cell r="AV55">
            <v>45.838192666666671</v>
          </cell>
          <cell r="AW55">
            <v>53.223083333333328</v>
          </cell>
        </row>
        <row r="57">
          <cell r="A57" t="str">
            <v>COMMODITY SALES PRICE</v>
          </cell>
        </row>
        <row r="58">
          <cell r="A58" t="str">
            <v>Domestic Natural Gas ($/Mcf)</v>
          </cell>
          <cell r="C58">
            <v>1.63</v>
          </cell>
          <cell r="D58">
            <v>1.56</v>
          </cell>
          <cell r="E58">
            <v>1.3</v>
          </cell>
          <cell r="F58">
            <v>1.28</v>
          </cell>
          <cell r="G58">
            <v>1.76</v>
          </cell>
          <cell r="H58">
            <v>1.5141242001102784</v>
          </cell>
          <cell r="I58">
            <v>1.37</v>
          </cell>
          <cell r="J58">
            <v>1.4609999999999996</v>
          </cell>
          <cell r="K58">
            <v>1.7850000000000001</v>
          </cell>
          <cell r="L58">
            <v>2.1744999999999997</v>
          </cell>
          <cell r="M58">
            <v>1.7309604204892317</v>
          </cell>
          <cell r="N58">
            <v>1.7324999999999995</v>
          </cell>
          <cell r="O58">
            <v>2.0474999999999999</v>
          </cell>
          <cell r="P58">
            <v>1.9350000000000003</v>
          </cell>
          <cell r="Q58">
            <v>2.0499999999999994</v>
          </cell>
          <cell r="R58">
            <v>1.9323664763188924</v>
          </cell>
          <cell r="S58">
            <v>2.028</v>
          </cell>
          <cell r="T58">
            <v>1.736</v>
          </cell>
          <cell r="U58">
            <v>1.5920000000000003</v>
          </cell>
          <cell r="V58">
            <v>1.468</v>
          </cell>
          <cell r="W58">
            <v>1.7161918421226738</v>
          </cell>
          <cell r="X58">
            <v>1.2999999999999998</v>
          </cell>
          <cell r="Y58">
            <v>1.4560000000000002</v>
          </cell>
          <cell r="Z58">
            <v>1.257295604914934</v>
          </cell>
          <cell r="AA58">
            <v>1.6390000000000002</v>
          </cell>
          <cell r="AB58">
            <v>1.4195485065176157</v>
          </cell>
          <cell r="AC58">
            <v>1.9559999999999997</v>
          </cell>
          <cell r="AD58">
            <v>2.0367983367983364</v>
          </cell>
          <cell r="AE58">
            <v>1.9469999999999998</v>
          </cell>
          <cell r="AF58">
            <v>2.5590000000000002</v>
          </cell>
          <cell r="AG58">
            <v>2.1236751967173104</v>
          </cell>
          <cell r="AH58">
            <v>2.6562000000000001</v>
          </cell>
          <cell r="AI58">
            <v>1.8480000000000001</v>
          </cell>
          <cell r="AJ58">
            <v>2.0189999999999997</v>
          </cell>
          <cell r="AK58">
            <v>2.6670000000000003</v>
          </cell>
          <cell r="AL58">
            <v>2.2989356047239022</v>
          </cell>
          <cell r="AM58">
            <v>2.0149999999999997</v>
          </cell>
          <cell r="AN58">
            <v>1.9790000000000001</v>
          </cell>
          <cell r="AO58">
            <v>1.8214999999999997</v>
          </cell>
          <cell r="AP58">
            <v>1.8800000000000001</v>
          </cell>
          <cell r="AQ58">
            <v>1.9220855601655054</v>
          </cell>
          <cell r="AR58">
            <v>1.5919999999999999</v>
          </cell>
          <cell r="AS58">
            <v>1.952</v>
          </cell>
          <cell r="AT58">
            <v>2.2850000000000001</v>
          </cell>
          <cell r="AU58">
            <v>2.4200000000000004</v>
          </cell>
          <cell r="AV58">
            <v>2.0539876293070156</v>
          </cell>
          <cell r="AW58">
            <v>2.1949999999999998</v>
          </cell>
        </row>
        <row r="59">
          <cell r="A59" t="str">
            <v xml:space="preserve">  Oil Price - U.S. ($/Bbl)</v>
          </cell>
          <cell r="C59">
            <v>23.27</v>
          </cell>
          <cell r="D59">
            <v>20.36</v>
          </cell>
          <cell r="E59">
            <v>18.77</v>
          </cell>
          <cell r="F59">
            <v>19.59</v>
          </cell>
          <cell r="G59">
            <v>19.989999999999998</v>
          </cell>
          <cell r="H59">
            <v>19.677499999999998</v>
          </cell>
          <cell r="I59">
            <v>17</v>
          </cell>
          <cell r="J59">
            <v>18.87</v>
          </cell>
          <cell r="K59">
            <v>19</v>
          </cell>
          <cell r="L59">
            <v>18.489999999999998</v>
          </cell>
          <cell r="M59">
            <v>18.34</v>
          </cell>
          <cell r="N59">
            <v>17.670000000000002</v>
          </cell>
          <cell r="O59">
            <v>17.739999999999998</v>
          </cell>
          <cell r="P59">
            <v>15.81</v>
          </cell>
          <cell r="Q59">
            <v>14.44</v>
          </cell>
          <cell r="R59">
            <v>16.36</v>
          </cell>
          <cell r="S59">
            <v>12.36</v>
          </cell>
          <cell r="T59">
            <v>15.66</v>
          </cell>
          <cell r="U59">
            <v>16.55</v>
          </cell>
          <cell r="V59">
            <v>15.61</v>
          </cell>
          <cell r="W59">
            <v>15.02</v>
          </cell>
          <cell r="X59">
            <v>16.48</v>
          </cell>
          <cell r="Y59">
            <v>17.440000000000001</v>
          </cell>
          <cell r="Z59">
            <v>15.94</v>
          </cell>
          <cell r="AA59">
            <v>16.190000000000001</v>
          </cell>
          <cell r="AB59">
            <v>16.52</v>
          </cell>
          <cell r="AC59">
            <v>17.64</v>
          </cell>
          <cell r="AD59">
            <v>19.829999999999998</v>
          </cell>
          <cell r="AE59">
            <v>20.67</v>
          </cell>
          <cell r="AF59">
            <v>22.71</v>
          </cell>
          <cell r="AG59">
            <v>20.212499999999999</v>
          </cell>
          <cell r="AH59">
            <v>20.58</v>
          </cell>
          <cell r="AI59">
            <v>17.48</v>
          </cell>
          <cell r="AJ59">
            <v>17.059999999999999</v>
          </cell>
          <cell r="AK59">
            <v>17.399999999999999</v>
          </cell>
          <cell r="AL59">
            <v>18.130000000000003</v>
          </cell>
          <cell r="AM59">
            <v>13.02</v>
          </cell>
          <cell r="AN59">
            <v>11.5</v>
          </cell>
          <cell r="AO59">
            <v>11.17</v>
          </cell>
          <cell r="AP59">
            <v>10.6</v>
          </cell>
          <cell r="AQ59">
            <v>11.5725</v>
          </cell>
          <cell r="AR59">
            <v>9.92</v>
          </cell>
          <cell r="AS59">
            <v>14.65</v>
          </cell>
          <cell r="AT59">
            <v>18</v>
          </cell>
          <cell r="AU59">
            <v>19.25</v>
          </cell>
          <cell r="AV59">
            <v>15.127934782608696</v>
          </cell>
          <cell r="AW59">
            <v>17.5</v>
          </cell>
        </row>
        <row r="60">
          <cell r="A60" t="str">
            <v xml:space="preserve">  Oil Price - Algeria ($/Bbl)</v>
          </cell>
          <cell r="AN60">
            <v>12.25</v>
          </cell>
          <cell r="AO60">
            <v>13</v>
          </cell>
          <cell r="AP60">
            <v>11.37</v>
          </cell>
          <cell r="AQ60">
            <v>12.206666666666665</v>
          </cell>
          <cell r="AR60">
            <v>11.57</v>
          </cell>
          <cell r="AS60">
            <v>15.38</v>
          </cell>
          <cell r="AT60">
            <v>21</v>
          </cell>
          <cell r="AU60">
            <v>21.25</v>
          </cell>
          <cell r="AV60">
            <v>16.547499999999999</v>
          </cell>
          <cell r="AW60">
            <v>17</v>
          </cell>
        </row>
        <row r="61">
          <cell r="A61" t="str">
            <v xml:space="preserve">  Blended</v>
          </cell>
          <cell r="C61">
            <v>23.27</v>
          </cell>
          <cell r="D61">
            <v>20.36</v>
          </cell>
          <cell r="E61">
            <v>18.77</v>
          </cell>
          <cell r="F61">
            <v>19.59</v>
          </cell>
          <cell r="G61">
            <v>19.989999999999998</v>
          </cell>
          <cell r="H61">
            <v>19.677499999999998</v>
          </cell>
          <cell r="I61">
            <v>17</v>
          </cell>
          <cell r="J61">
            <v>18.87</v>
          </cell>
          <cell r="K61">
            <v>19</v>
          </cell>
          <cell r="L61">
            <v>18.489999999999998</v>
          </cell>
          <cell r="M61">
            <v>18.34</v>
          </cell>
          <cell r="N61">
            <v>17.670000000000002</v>
          </cell>
          <cell r="O61">
            <v>17.739999999999998</v>
          </cell>
          <cell r="P61">
            <v>15.81</v>
          </cell>
          <cell r="Q61">
            <v>14.44</v>
          </cell>
          <cell r="R61">
            <v>16.36</v>
          </cell>
          <cell r="S61">
            <v>12.36</v>
          </cell>
          <cell r="T61">
            <v>15.66</v>
          </cell>
          <cell r="U61">
            <v>16.55</v>
          </cell>
          <cell r="V61">
            <v>15.61</v>
          </cell>
          <cell r="W61">
            <v>15.02</v>
          </cell>
          <cell r="X61">
            <v>16.48</v>
          </cell>
          <cell r="Y61">
            <v>17.440000000000001</v>
          </cell>
          <cell r="Z61">
            <v>15.940000000000001</v>
          </cell>
          <cell r="AA61">
            <v>16.190000000000001</v>
          </cell>
          <cell r="AB61">
            <v>16.52</v>
          </cell>
          <cell r="AC61">
            <v>17.64</v>
          </cell>
          <cell r="AD61">
            <v>19.829999999999998</v>
          </cell>
          <cell r="AE61">
            <v>20.67</v>
          </cell>
          <cell r="AF61">
            <v>22.71</v>
          </cell>
          <cell r="AG61">
            <v>20.212499999999999</v>
          </cell>
          <cell r="AH61">
            <v>20.58</v>
          </cell>
          <cell r="AI61">
            <v>17.48</v>
          </cell>
          <cell r="AJ61">
            <v>17.059999999999999</v>
          </cell>
          <cell r="AK61">
            <v>17.399999999999999</v>
          </cell>
          <cell r="AL61">
            <v>18.130000000000003</v>
          </cell>
          <cell r="AM61">
            <v>13.02</v>
          </cell>
          <cell r="AN61">
            <v>11.62155172413793</v>
          </cell>
          <cell r="AO61">
            <v>11.460212699405691</v>
          </cell>
          <cell r="AP61">
            <v>10.776</v>
          </cell>
          <cell r="AQ61">
            <v>11.690910651115548</v>
          </cell>
          <cell r="AR61">
            <v>10.595000000000001</v>
          </cell>
          <cell r="AS61">
            <v>14.962857142857144</v>
          </cell>
          <cell r="AT61">
            <v>18.899999999999999</v>
          </cell>
          <cell r="AU61">
            <v>20.083333333333332</v>
          </cell>
          <cell r="AV61">
            <v>15.688289473684209</v>
          </cell>
          <cell r="AW61">
            <v>17.316091954022987</v>
          </cell>
        </row>
        <row r="62">
          <cell r="A62" t="str">
            <v>Plant and Plant Condensate ($/Bbl)</v>
          </cell>
          <cell r="C62">
            <v>22.8</v>
          </cell>
          <cell r="D62">
            <v>19.32</v>
          </cell>
          <cell r="E62">
            <v>18.239999999999998</v>
          </cell>
          <cell r="F62">
            <v>18.87</v>
          </cell>
          <cell r="G62">
            <v>18.600000000000001</v>
          </cell>
          <cell r="H62">
            <v>18.7575</v>
          </cell>
          <cell r="I62">
            <v>16.41</v>
          </cell>
          <cell r="J62">
            <v>16.5</v>
          </cell>
          <cell r="K62">
            <v>17.25</v>
          </cell>
          <cell r="L62">
            <v>18.11</v>
          </cell>
          <cell r="M62">
            <v>17.067499999999999</v>
          </cell>
        </row>
        <row r="63">
          <cell r="A63" t="str">
            <v>Natural Gas Liquids ($/Bbl)</v>
          </cell>
          <cell r="C63">
            <v>16.38</v>
          </cell>
          <cell r="D63">
            <v>16.38</v>
          </cell>
          <cell r="E63">
            <v>13.44</v>
          </cell>
          <cell r="F63">
            <v>13.02</v>
          </cell>
          <cell r="G63">
            <v>13.44</v>
          </cell>
          <cell r="H63">
            <v>14.07</v>
          </cell>
          <cell r="I63">
            <v>11.760000000000002</v>
          </cell>
          <cell r="J63">
            <v>11</v>
          </cell>
          <cell r="K63">
            <v>11</v>
          </cell>
          <cell r="L63">
            <v>14.280000000000001</v>
          </cell>
          <cell r="M63">
            <v>12.010000000000002</v>
          </cell>
          <cell r="N63">
            <v>14.280000000000001</v>
          </cell>
          <cell r="O63">
            <v>13.02</v>
          </cell>
          <cell r="P63">
            <v>13.02</v>
          </cell>
          <cell r="Q63">
            <v>10.5</v>
          </cell>
          <cell r="R63">
            <v>12.705</v>
          </cell>
          <cell r="S63">
            <v>9.66</v>
          </cell>
          <cell r="T63">
            <v>12.6</v>
          </cell>
          <cell r="U63">
            <v>13.860000000000001</v>
          </cell>
          <cell r="V63">
            <v>12.18</v>
          </cell>
          <cell r="W63">
            <v>12.074999999999999</v>
          </cell>
          <cell r="X63">
            <v>13.02</v>
          </cell>
          <cell r="Y63">
            <v>12.6</v>
          </cell>
          <cell r="Z63">
            <v>12.62</v>
          </cell>
          <cell r="AA63">
            <v>13.69</v>
          </cell>
          <cell r="AB63">
            <v>12.982499999999998</v>
          </cell>
          <cell r="AC63">
            <v>14.280000000000001</v>
          </cell>
          <cell r="AD63">
            <v>14.280000000000001</v>
          </cell>
          <cell r="AE63">
            <v>15.32</v>
          </cell>
          <cell r="AF63">
            <v>22.42</v>
          </cell>
          <cell r="AG63">
            <v>16.575000000000003</v>
          </cell>
          <cell r="AH63">
            <v>15.65</v>
          </cell>
          <cell r="AI63">
            <v>13.45</v>
          </cell>
          <cell r="AJ63">
            <v>14.65</v>
          </cell>
          <cell r="AK63">
            <v>14.62</v>
          </cell>
          <cell r="AL63">
            <v>14.504000000000003</v>
          </cell>
          <cell r="AM63">
            <v>10.741499999999998</v>
          </cell>
          <cell r="AN63">
            <v>10.9</v>
          </cell>
          <cell r="AO63">
            <v>9.4546754770096939</v>
          </cell>
          <cell r="AP63">
            <v>9.14</v>
          </cell>
          <cell r="AQ63">
            <v>10.059043869252424</v>
          </cell>
          <cell r="AR63">
            <v>8.6</v>
          </cell>
          <cell r="AS63">
            <v>11.91</v>
          </cell>
          <cell r="AT63">
            <v>15.12</v>
          </cell>
          <cell r="AU63">
            <v>16.46833333333333</v>
          </cell>
          <cell r="AV63">
            <v>12.889914592484137</v>
          </cell>
          <cell r="AW63">
            <v>13.85287356321839</v>
          </cell>
        </row>
        <row r="65">
          <cell r="A65" t="str">
            <v>Anadarko Petroleum Corporation</v>
          </cell>
        </row>
        <row r="66">
          <cell r="A66" t="str">
            <v>Revenue Worksheet - Page 2</v>
          </cell>
        </row>
        <row r="68">
          <cell r="A68" t="str">
            <v>AVERAGE DAILY SALES ($000)</v>
          </cell>
          <cell r="M68" t="str">
            <v xml:space="preserve">1992  </v>
          </cell>
          <cell r="N68" t="str">
            <v xml:space="preserve">1q   </v>
          </cell>
          <cell r="O68" t="str">
            <v xml:space="preserve">2q   </v>
          </cell>
          <cell r="P68" t="str">
            <v xml:space="preserve">3q   </v>
          </cell>
          <cell r="Q68" t="str">
            <v xml:space="preserve">4q   </v>
          </cell>
          <cell r="R68">
            <v>1993</v>
          </cell>
          <cell r="S68" t="str">
            <v xml:space="preserve">1q   </v>
          </cell>
          <cell r="T68" t="str">
            <v xml:space="preserve">2q   </v>
          </cell>
          <cell r="U68" t="str">
            <v xml:space="preserve">3q  </v>
          </cell>
          <cell r="V68" t="str">
            <v xml:space="preserve">4qe   </v>
          </cell>
          <cell r="W68">
            <v>1994</v>
          </cell>
          <cell r="X68" t="str">
            <v>1q</v>
          </cell>
          <cell r="Y68" t="str">
            <v>2q</v>
          </cell>
          <cell r="Z68" t="str">
            <v>3q</v>
          </cell>
          <cell r="AA68" t="str">
            <v>4q</v>
          </cell>
          <cell r="AB68">
            <v>1995</v>
          </cell>
          <cell r="AC68" t="str">
            <v>1q</v>
          </cell>
          <cell r="AD68" t="str">
            <v>2q</v>
          </cell>
          <cell r="AE68" t="str">
            <v>3q</v>
          </cell>
          <cell r="AF68" t="str">
            <v>4q</v>
          </cell>
          <cell r="AG68">
            <v>1996</v>
          </cell>
          <cell r="AH68" t="str">
            <v>1q</v>
          </cell>
          <cell r="AI68" t="str">
            <v>2q</v>
          </cell>
          <cell r="AJ68" t="str">
            <v>3q</v>
          </cell>
          <cell r="AK68" t="str">
            <v>4q</v>
          </cell>
          <cell r="AL68">
            <v>1997</v>
          </cell>
          <cell r="AM68" t="str">
            <v>1q</v>
          </cell>
          <cell r="AN68" t="str">
            <v>2q</v>
          </cell>
          <cell r="AO68" t="str">
            <v>3q</v>
          </cell>
          <cell r="AP68" t="str">
            <v>4q</v>
          </cell>
          <cell r="AQ68" t="str">
            <v>1998</v>
          </cell>
          <cell r="AR68" t="str">
            <v>1q</v>
          </cell>
          <cell r="AS68" t="str">
            <v>2q</v>
          </cell>
          <cell r="AT68" t="str">
            <v>3qe</v>
          </cell>
          <cell r="AU68" t="str">
            <v>4qe</v>
          </cell>
          <cell r="AV68" t="str">
            <v>1999E</v>
          </cell>
          <cell r="AW68" t="str">
            <v>2000E</v>
          </cell>
        </row>
        <row r="69">
          <cell r="A69" t="str">
            <v>Domestic Gas Sales</v>
          </cell>
          <cell r="C69" t="e">
            <v>#REF!</v>
          </cell>
          <cell r="D69">
            <v>697.66666666666674</v>
          </cell>
          <cell r="E69">
            <v>423.58571428571435</v>
          </cell>
          <cell r="F69">
            <v>356.67478260869564</v>
          </cell>
          <cell r="G69">
            <v>809.2217391304348</v>
          </cell>
          <cell r="H69">
            <v>571.78722567287787</v>
          </cell>
          <cell r="I69">
            <v>596.17582417582423</v>
          </cell>
          <cell r="J69">
            <v>449.53846153846149</v>
          </cell>
          <cell r="K69">
            <v>624.75000000000011</v>
          </cell>
          <cell r="L69">
            <v>1089.6135869565217</v>
          </cell>
          <cell r="M69">
            <v>690.01946816770192</v>
          </cell>
          <cell r="N69">
            <v>901.01549999999986</v>
          </cell>
          <cell r="O69">
            <v>781.96499999999992</v>
          </cell>
          <cell r="P69">
            <v>751.07445652173919</v>
          </cell>
          <cell r="Q69">
            <v>993.80434782608677</v>
          </cell>
          <cell r="R69">
            <v>856.96482608695646</v>
          </cell>
          <cell r="S69">
            <v>1086.1066666666666</v>
          </cell>
          <cell r="T69">
            <v>819.4873846153846</v>
          </cell>
          <cell r="U69">
            <v>707.74782608695659</v>
          </cell>
          <cell r="V69">
            <v>697.30000000000007</v>
          </cell>
          <cell r="W69">
            <v>826.39103998891721</v>
          </cell>
          <cell r="X69">
            <v>596.55555555555543</v>
          </cell>
          <cell r="Y69">
            <v>696.00000000000011</v>
          </cell>
          <cell r="Z69">
            <v>578.35597826086962</v>
          </cell>
          <cell r="AA69">
            <v>792.7771739130435</v>
          </cell>
          <cell r="AB69">
            <v>666.21550456566456</v>
          </cell>
          <cell r="AC69">
            <v>949.74666666666667</v>
          </cell>
          <cell r="AD69">
            <v>904.33846153846139</v>
          </cell>
          <cell r="AE69">
            <v>842.28913043478246</v>
          </cell>
          <cell r="AF69">
            <v>1140.4239130434783</v>
          </cell>
          <cell r="AG69">
            <v>959.43572585940944</v>
          </cell>
          <cell r="AH69">
            <v>1248.414</v>
          </cell>
          <cell r="AI69">
            <v>889.47692307692307</v>
          </cell>
          <cell r="AJ69">
            <v>997.38599999999985</v>
          </cell>
          <cell r="AK69">
            <v>1368.171</v>
          </cell>
          <cell r="AL69">
            <v>1125.8108102212855</v>
          </cell>
          <cell r="AM69">
            <v>985.33499999999992</v>
          </cell>
          <cell r="AN69">
            <v>916.27700000000004</v>
          </cell>
          <cell r="AO69">
            <v>905.28549999999984</v>
          </cell>
          <cell r="AP69">
            <v>915.56000000000006</v>
          </cell>
          <cell r="AQ69">
            <v>930.34733698630134</v>
          </cell>
          <cell r="AR69">
            <v>778.48799999999994</v>
          </cell>
          <cell r="AS69">
            <v>899.87199999999996</v>
          </cell>
          <cell r="AT69">
            <v>1016.825</v>
          </cell>
          <cell r="AU69">
            <v>1089.0000000000002</v>
          </cell>
          <cell r="AV69">
            <v>947.09088219178079</v>
          </cell>
          <cell r="AW69">
            <v>1108.4749999999999</v>
          </cell>
        </row>
        <row r="70">
          <cell r="A70" t="str">
            <v xml:space="preserve">  Oil Sales - US</v>
          </cell>
          <cell r="C70">
            <v>293.202</v>
          </cell>
          <cell r="D70">
            <v>270.33555555555557</v>
          </cell>
          <cell r="E70">
            <v>233.28428571428572</v>
          </cell>
          <cell r="F70">
            <v>244.87499999999997</v>
          </cell>
          <cell r="G70">
            <v>235.3170652173913</v>
          </cell>
          <cell r="H70">
            <v>245.78006164383558</v>
          </cell>
          <cell r="I70">
            <v>200.07692307692307</v>
          </cell>
          <cell r="J70">
            <v>230.58725274725279</v>
          </cell>
          <cell r="K70">
            <v>216.8478260869565</v>
          </cell>
          <cell r="L70">
            <v>228.71326086956518</v>
          </cell>
          <cell r="M70">
            <v>219.02770491803278</v>
          </cell>
          <cell r="N70">
            <v>379.11966666666677</v>
          </cell>
          <cell r="O70">
            <v>370.98043956043955</v>
          </cell>
          <cell r="P70">
            <v>339.57130434782613</v>
          </cell>
          <cell r="Q70">
            <v>329.60869565217388</v>
          </cell>
          <cell r="R70">
            <v>354.5413698630137</v>
          </cell>
          <cell r="S70">
            <v>293.34399999999999</v>
          </cell>
          <cell r="T70">
            <v>364.65428571428578</v>
          </cell>
          <cell r="U70">
            <v>371.65543478260867</v>
          </cell>
          <cell r="V70">
            <v>336.29369565217388</v>
          </cell>
          <cell r="W70">
            <v>341.67413698630139</v>
          </cell>
          <cell r="X70">
            <v>336.55822222222224</v>
          </cell>
          <cell r="Y70">
            <v>371.03120879120883</v>
          </cell>
          <cell r="Z70">
            <v>318.8</v>
          </cell>
          <cell r="AA70">
            <v>323.97597826086957</v>
          </cell>
          <cell r="AB70">
            <v>337.41534246575344</v>
          </cell>
          <cell r="AC70">
            <v>333.39599999999996</v>
          </cell>
          <cell r="AD70">
            <v>363.91318681318677</v>
          </cell>
          <cell r="AE70">
            <v>361.94967391304351</v>
          </cell>
          <cell r="AF70">
            <v>424.08456521739123</v>
          </cell>
          <cell r="AG70">
            <v>371.08346519648825</v>
          </cell>
          <cell r="AH70">
            <v>457.79066666666654</v>
          </cell>
          <cell r="AI70">
            <v>432.0057142857143</v>
          </cell>
          <cell r="AJ70">
            <v>443.55999999999995</v>
          </cell>
          <cell r="AK70">
            <v>452.4</v>
          </cell>
          <cell r="AL70">
            <v>448.53044444444453</v>
          </cell>
          <cell r="AM70">
            <v>325.5</v>
          </cell>
          <cell r="AN70">
            <v>279.45</v>
          </cell>
          <cell r="AO70">
            <v>300.47299999999996</v>
          </cell>
          <cell r="AP70">
            <v>286.2</v>
          </cell>
          <cell r="AQ70">
            <v>298.57049999999998</v>
          </cell>
          <cell r="AR70">
            <v>257.92</v>
          </cell>
          <cell r="AS70">
            <v>351.6</v>
          </cell>
          <cell r="AT70">
            <v>378</v>
          </cell>
          <cell r="AU70">
            <v>404.25</v>
          </cell>
          <cell r="AV70">
            <v>347.9425</v>
          </cell>
          <cell r="AW70">
            <v>577.5</v>
          </cell>
        </row>
        <row r="71">
          <cell r="A71" t="str">
            <v xml:space="preserve">  Oil Sales -  Algeria</v>
          </cell>
          <cell r="AN71">
            <v>57.575000000000003</v>
          </cell>
          <cell r="AO71">
            <v>65.91</v>
          </cell>
          <cell r="AP71">
            <v>90.96</v>
          </cell>
          <cell r="AQ71">
            <v>72.304155555555539</v>
          </cell>
          <cell r="AR71">
            <v>208.26</v>
          </cell>
          <cell r="AS71">
            <v>276.84000000000003</v>
          </cell>
          <cell r="AT71">
            <v>189</v>
          </cell>
          <cell r="AU71">
            <v>318.75</v>
          </cell>
          <cell r="AV71">
            <v>248.21249999999998</v>
          </cell>
          <cell r="AW71">
            <v>326.39999999999998</v>
          </cell>
        </row>
        <row r="72">
          <cell r="A72" t="str">
            <v xml:space="preserve">Total Oil Sales </v>
          </cell>
          <cell r="C72">
            <v>293.202</v>
          </cell>
          <cell r="D72">
            <v>270.33555555555557</v>
          </cell>
          <cell r="E72">
            <v>233.28428571428572</v>
          </cell>
          <cell r="F72">
            <v>244.87499999999997</v>
          </cell>
          <cell r="G72">
            <v>235.3170652173913</v>
          </cell>
          <cell r="H72">
            <v>245.78006164383558</v>
          </cell>
          <cell r="I72">
            <v>200.07692307692307</v>
          </cell>
          <cell r="J72">
            <v>230.58725274725279</v>
          </cell>
          <cell r="K72">
            <v>216.8478260869565</v>
          </cell>
          <cell r="L72">
            <v>228.71326086956518</v>
          </cell>
          <cell r="M72">
            <v>219.02770491803278</v>
          </cell>
          <cell r="N72">
            <v>379.11966666666677</v>
          </cell>
          <cell r="O72">
            <v>370.98043956043955</v>
          </cell>
          <cell r="P72">
            <v>339.57130434782613</v>
          </cell>
          <cell r="Q72">
            <v>329.60869565217388</v>
          </cell>
          <cell r="R72">
            <v>354.5413698630137</v>
          </cell>
          <cell r="S72">
            <v>293.34399999999999</v>
          </cell>
          <cell r="T72">
            <v>364.65428571428578</v>
          </cell>
          <cell r="U72">
            <v>371.65543478260867</v>
          </cell>
          <cell r="V72">
            <v>336.29369565217388</v>
          </cell>
          <cell r="W72">
            <v>341.67413698630139</v>
          </cell>
          <cell r="X72">
            <v>336.55822222222224</v>
          </cell>
          <cell r="Y72">
            <v>371.03120879120883</v>
          </cell>
          <cell r="Z72">
            <v>318.8</v>
          </cell>
          <cell r="AA72">
            <v>323.97597826086957</v>
          </cell>
          <cell r="AB72">
            <v>337.41534246575344</v>
          </cell>
          <cell r="AC72">
            <v>333.39599999999996</v>
          </cell>
          <cell r="AD72">
            <v>363.91318681318677</v>
          </cell>
          <cell r="AE72">
            <v>361.94967391304351</v>
          </cell>
          <cell r="AF72">
            <v>424.08456521739123</v>
          </cell>
          <cell r="AG72">
            <v>371.08346519648825</v>
          </cell>
          <cell r="AH72">
            <v>457.79066666666654</v>
          </cell>
          <cell r="AI72">
            <v>432.0057142857143</v>
          </cell>
          <cell r="AJ72">
            <v>443.55999999999995</v>
          </cell>
          <cell r="AK72">
            <v>452.4</v>
          </cell>
          <cell r="AL72">
            <v>448.53044444444453</v>
          </cell>
          <cell r="AM72">
            <v>325.5</v>
          </cell>
          <cell r="AN72">
            <v>337.02499999999998</v>
          </cell>
          <cell r="AO72">
            <v>366.38299999999992</v>
          </cell>
          <cell r="AP72">
            <v>377.15999999999997</v>
          </cell>
          <cell r="AQ72">
            <v>370.87465555555553</v>
          </cell>
          <cell r="AR72">
            <v>466.18</v>
          </cell>
          <cell r="AS72">
            <v>628.44000000000005</v>
          </cell>
          <cell r="AT72">
            <v>567</v>
          </cell>
          <cell r="AU72">
            <v>723</v>
          </cell>
          <cell r="AV72">
            <v>596.15499999999997</v>
          </cell>
          <cell r="AW72">
            <v>903.9</v>
          </cell>
        </row>
        <row r="73">
          <cell r="A73" t="str">
            <v xml:space="preserve">Plant $ Plant Condensate </v>
          </cell>
          <cell r="C73">
            <v>17.115616438356167</v>
          </cell>
          <cell r="H73">
            <v>21.018678082191784</v>
          </cell>
          <cell r="M73">
            <v>10.165887978142075</v>
          </cell>
        </row>
        <row r="74">
          <cell r="A74" t="str">
            <v>Natural Gas Liquids</v>
          </cell>
          <cell r="C74">
            <v>67.494575342465751</v>
          </cell>
          <cell r="D74">
            <v>77.531999999999996</v>
          </cell>
          <cell r="E74">
            <v>48.886153846153846</v>
          </cell>
          <cell r="F74">
            <v>71.043913043478256</v>
          </cell>
          <cell r="G74">
            <v>101.96869565217391</v>
          </cell>
          <cell r="H74">
            <v>75.438328767123281</v>
          </cell>
          <cell r="I74">
            <v>70.689230769230775</v>
          </cell>
          <cell r="J74">
            <v>53.307692307692314</v>
          </cell>
          <cell r="K74">
            <v>55</v>
          </cell>
          <cell r="L74">
            <v>78.540000000000006</v>
          </cell>
          <cell r="M74">
            <v>71.272459016393455</v>
          </cell>
          <cell r="N74">
            <v>128.04400000000004</v>
          </cell>
          <cell r="O74">
            <v>63.24</v>
          </cell>
          <cell r="P74">
            <v>73.025217391304352</v>
          </cell>
          <cell r="Q74">
            <v>106.3695652173913</v>
          </cell>
          <cell r="R74">
            <v>93.877767123287668</v>
          </cell>
          <cell r="S74">
            <v>69.65933333333335</v>
          </cell>
          <cell r="T74">
            <v>89.169230769230765</v>
          </cell>
          <cell r="U74">
            <v>94.308260869565217</v>
          </cell>
          <cell r="V74">
            <v>143.11500000000001</v>
          </cell>
          <cell r="W74">
            <v>99.246575342465732</v>
          </cell>
          <cell r="X74">
            <v>146.69199999999998</v>
          </cell>
          <cell r="Y74">
            <v>104.39999999999998</v>
          </cell>
          <cell r="Z74">
            <v>90.260434782608698</v>
          </cell>
          <cell r="AA74">
            <v>171.72021739130435</v>
          </cell>
          <cell r="AB74">
            <v>127.33520547945204</v>
          </cell>
          <cell r="AC74">
            <v>156.76266666666669</v>
          </cell>
          <cell r="AD74">
            <v>128.52000000000001</v>
          </cell>
          <cell r="AE74">
            <v>118.2304347826087</v>
          </cell>
          <cell r="AF74">
            <v>252.46869565217395</v>
          </cell>
          <cell r="AG74">
            <v>140.88750000000002</v>
          </cell>
          <cell r="AH74">
            <v>214.05722222222224</v>
          </cell>
          <cell r="AI74">
            <v>147.94999999999999</v>
          </cell>
          <cell r="AJ74">
            <v>234.4</v>
          </cell>
          <cell r="AK74">
            <v>277.77999999999997</v>
          </cell>
          <cell r="AL74">
            <v>216.64604931506852</v>
          </cell>
          <cell r="AM74">
            <v>204.08849999999998</v>
          </cell>
          <cell r="AN74">
            <v>185.3</v>
          </cell>
          <cell r="AO74">
            <v>170.18415858617448</v>
          </cell>
          <cell r="AP74">
            <v>155.38</v>
          </cell>
          <cell r="AQ74">
            <v>178.49980038670671</v>
          </cell>
          <cell r="AR74">
            <v>154.79999999999998</v>
          </cell>
          <cell r="AS74">
            <v>207.23399999999998</v>
          </cell>
          <cell r="AT74">
            <v>263.08799999999997</v>
          </cell>
          <cell r="AU74">
            <v>255.25916666666663</v>
          </cell>
          <cell r="AV74">
            <v>220.0184819016292</v>
          </cell>
          <cell r="AW74">
            <v>207.79310344827584</v>
          </cell>
        </row>
        <row r="75">
          <cell r="A75" t="str">
            <v>Total Daily Revenue (All Sources)</v>
          </cell>
          <cell r="C75" t="e">
            <v>#REF!</v>
          </cell>
          <cell r="D75">
            <v>1045.5342222222223</v>
          </cell>
          <cell r="E75">
            <v>705.75615384615401</v>
          </cell>
          <cell r="F75">
            <v>672.59369565217389</v>
          </cell>
          <cell r="G75">
            <v>1146.5074999999999</v>
          </cell>
          <cell r="H75">
            <v>914.02429416602843</v>
          </cell>
          <cell r="I75">
            <v>866.94197802197812</v>
          </cell>
          <cell r="J75">
            <v>733.43340659340652</v>
          </cell>
          <cell r="K75">
            <v>896.59782608695662</v>
          </cell>
          <cell r="L75">
            <v>1396.8668478260868</v>
          </cell>
          <cell r="M75">
            <v>990.48552008027025</v>
          </cell>
          <cell r="N75">
            <v>1408.1791666666668</v>
          </cell>
          <cell r="O75">
            <v>1216.1854395604394</v>
          </cell>
          <cell r="P75">
            <v>1163.6709782608696</v>
          </cell>
          <cell r="Q75">
            <v>1429.7826086956518</v>
          </cell>
          <cell r="R75">
            <v>1305.3839630732577</v>
          </cell>
          <cell r="S75">
            <v>1449.11</v>
          </cell>
          <cell r="T75">
            <v>1273.3109010989012</v>
          </cell>
          <cell r="U75">
            <v>1173.7115217391304</v>
          </cell>
          <cell r="V75">
            <v>1176.7086956521739</v>
          </cell>
          <cell r="W75">
            <v>1267.3117523176843</v>
          </cell>
          <cell r="X75">
            <v>1079.8057777777776</v>
          </cell>
          <cell r="Y75">
            <v>1171.431208791209</v>
          </cell>
          <cell r="Z75">
            <v>987.41641304347843</v>
          </cell>
          <cell r="AA75">
            <v>1288.4733695652176</v>
          </cell>
          <cell r="AB75">
            <v>1130.96605251087</v>
          </cell>
          <cell r="AC75">
            <v>1439.9053333333334</v>
          </cell>
          <cell r="AD75">
            <v>1396.7716483516481</v>
          </cell>
          <cell r="AE75">
            <v>1322.4692391304345</v>
          </cell>
          <cell r="AF75">
            <v>1816.9771739130433</v>
          </cell>
          <cell r="AG75">
            <v>1471.4066910558977</v>
          </cell>
          <cell r="AH75">
            <v>1920.2618888888887</v>
          </cell>
          <cell r="AI75">
            <v>1469.4326373626375</v>
          </cell>
          <cell r="AJ75">
            <v>1675.346</v>
          </cell>
          <cell r="AK75">
            <v>2098.3509999999997</v>
          </cell>
          <cell r="AL75">
            <v>1790.9873039807985</v>
          </cell>
          <cell r="AM75">
            <v>1514.9235000000001</v>
          </cell>
          <cell r="AN75">
            <v>1438.6020000000001</v>
          </cell>
          <cell r="AO75">
            <v>1441.8526585861741</v>
          </cell>
          <cell r="AP75">
            <v>1448.1</v>
          </cell>
          <cell r="AQ75">
            <v>1479.7217929285637</v>
          </cell>
          <cell r="AR75">
            <v>1399.4679999999998</v>
          </cell>
          <cell r="AS75">
            <v>1735.5459999999998</v>
          </cell>
          <cell r="AT75">
            <v>1846.913</v>
          </cell>
          <cell r="AU75">
            <v>2067.2591666666667</v>
          </cell>
          <cell r="AV75">
            <v>1763.26436409341</v>
          </cell>
          <cell r="AW75">
            <v>2220.1681034482758</v>
          </cell>
        </row>
        <row r="76">
          <cell r="A76" t="str">
            <v>PERIOD SALES (Millions)</v>
          </cell>
          <cell r="M76">
            <v>1992</v>
          </cell>
          <cell r="N76" t="str">
            <v>1Q93</v>
          </cell>
          <cell r="O76" t="str">
            <v>2Q93</v>
          </cell>
          <cell r="P76" t="str">
            <v>3Q93</v>
          </cell>
          <cell r="Q76" t="str">
            <v>4Q93</v>
          </cell>
          <cell r="R76">
            <v>1993</v>
          </cell>
          <cell r="S76" t="str">
            <v>1Q94</v>
          </cell>
          <cell r="T76" t="str">
            <v>2Q94</v>
          </cell>
          <cell r="U76" t="str">
            <v>3Q94</v>
          </cell>
          <cell r="V76" t="str">
            <v>4Q94</v>
          </cell>
          <cell r="W76">
            <v>1994</v>
          </cell>
          <cell r="X76" t="str">
            <v>1q</v>
          </cell>
          <cell r="Y76" t="str">
            <v>2q</v>
          </cell>
          <cell r="Z76" t="str">
            <v>3q</v>
          </cell>
          <cell r="AA76" t="str">
            <v>4q</v>
          </cell>
          <cell r="AB76">
            <v>1995</v>
          </cell>
          <cell r="AC76" t="str">
            <v>1q</v>
          </cell>
          <cell r="AD76" t="str">
            <v>2q</v>
          </cell>
          <cell r="AE76" t="str">
            <v>3q</v>
          </cell>
          <cell r="AF76" t="str">
            <v>4q</v>
          </cell>
          <cell r="AG76" t="str">
            <v>1996</v>
          </cell>
          <cell r="AH76" t="str">
            <v>1q</v>
          </cell>
          <cell r="AI76" t="str">
            <v>2q</v>
          </cell>
          <cell r="AJ76" t="str">
            <v>3q</v>
          </cell>
          <cell r="AK76" t="str">
            <v>4q</v>
          </cell>
          <cell r="AL76" t="str">
            <v>1997</v>
          </cell>
          <cell r="AM76" t="str">
            <v>1q</v>
          </cell>
          <cell r="AN76" t="str">
            <v>2q</v>
          </cell>
          <cell r="AO76" t="str">
            <v>3q</v>
          </cell>
          <cell r="AP76" t="str">
            <v>4q</v>
          </cell>
          <cell r="AQ76" t="str">
            <v>1998</v>
          </cell>
          <cell r="AR76" t="str">
            <v>1q</v>
          </cell>
          <cell r="AS76" t="str">
            <v>2q</v>
          </cell>
          <cell r="AT76" t="str">
            <v>3qe</v>
          </cell>
          <cell r="AU76" t="str">
            <v>4qe</v>
          </cell>
          <cell r="AV76" t="str">
            <v>1999E</v>
          </cell>
          <cell r="AW76" t="str">
            <v>2000E</v>
          </cell>
        </row>
        <row r="77">
          <cell r="A77" t="str">
            <v>Period Natural Gas Sales</v>
          </cell>
          <cell r="C77">
            <v>245.06724</v>
          </cell>
          <cell r="D77">
            <v>62.79</v>
          </cell>
          <cell r="E77">
            <v>38.546300000000002</v>
          </cell>
          <cell r="F77">
            <v>32.814079999999997</v>
          </cell>
          <cell r="G77">
            <v>74.447999999999993</v>
          </cell>
          <cell r="H77">
            <v>208.70233737060042</v>
          </cell>
          <cell r="I77">
            <v>54.252000000000002</v>
          </cell>
          <cell r="J77">
            <v>40.908000000000001</v>
          </cell>
          <cell r="K77">
            <v>57.477000000000011</v>
          </cell>
          <cell r="L77">
            <v>100.24445</v>
          </cell>
          <cell r="M77">
            <v>252.88145</v>
          </cell>
          <cell r="N77">
            <v>81.091394999999991</v>
          </cell>
          <cell r="O77">
            <v>71.15881499999999</v>
          </cell>
          <cell r="P77">
            <v>69.098849999999999</v>
          </cell>
          <cell r="Q77">
            <v>91.43</v>
          </cell>
          <cell r="R77">
            <v>312.77905999999996</v>
          </cell>
          <cell r="S77">
            <v>97.749600000000001</v>
          </cell>
          <cell r="T77">
            <v>74.573352</v>
          </cell>
          <cell r="U77">
            <v>65.112799999999993</v>
          </cell>
          <cell r="V77">
            <v>64.151600000000002</v>
          </cell>
          <cell r="W77">
            <v>301.58735200000001</v>
          </cell>
          <cell r="X77">
            <v>53.69</v>
          </cell>
          <cell r="Y77">
            <v>63.336000000000006</v>
          </cell>
          <cell r="Z77">
            <v>53.208750000000002</v>
          </cell>
          <cell r="AA77">
            <v>72.935500000000005</v>
          </cell>
          <cell r="AB77">
            <v>243.17025000000001</v>
          </cell>
          <cell r="AC77">
            <v>85.477199999999996</v>
          </cell>
          <cell r="AD77">
            <v>82.294799999999981</v>
          </cell>
          <cell r="AE77">
            <v>77.490599999999986</v>
          </cell>
          <cell r="AF77">
            <v>104.919</v>
          </cell>
          <cell r="AG77">
            <v>350.1816</v>
          </cell>
          <cell r="AH77">
            <v>112.35726</v>
          </cell>
          <cell r="AI77">
            <v>80.942399999999992</v>
          </cell>
          <cell r="AJ77">
            <v>91.759512000000001</v>
          </cell>
          <cell r="AK77">
            <v>125.87173199999999</v>
          </cell>
          <cell r="AL77">
            <v>410.93090399999994</v>
          </cell>
          <cell r="AM77">
            <v>88.680149999999998</v>
          </cell>
          <cell r="AN77">
            <v>83.381207000000003</v>
          </cell>
          <cell r="AO77">
            <v>83.286265999999998</v>
          </cell>
          <cell r="AP77">
            <v>84.231520000000003</v>
          </cell>
          <cell r="AQ77">
            <v>339.57914299999999</v>
          </cell>
          <cell r="AR77">
            <v>70.063919999999996</v>
          </cell>
          <cell r="AS77">
            <v>81.888351999999998</v>
          </cell>
          <cell r="AT77">
            <v>93.547899999999998</v>
          </cell>
          <cell r="AU77">
            <v>100.188</v>
          </cell>
          <cell r="AV77">
            <v>345.68817200000001</v>
          </cell>
          <cell r="AW77">
            <v>404.59337500000004</v>
          </cell>
        </row>
        <row r="78">
          <cell r="A78" t="str">
            <v xml:space="preserve">  US Oil Sales</v>
          </cell>
          <cell r="C78">
            <v>107.01872999999999</v>
          </cell>
          <cell r="D78">
            <v>24.330200000000001</v>
          </cell>
          <cell r="E78">
            <v>21.228870000000001</v>
          </cell>
          <cell r="F78">
            <v>22.528499999999998</v>
          </cell>
          <cell r="G78">
            <v>21.649169999999998</v>
          </cell>
          <cell r="H78">
            <v>89.709722499999984</v>
          </cell>
          <cell r="I78">
            <v>18.207000000000001</v>
          </cell>
          <cell r="J78">
            <v>20.983440000000002</v>
          </cell>
          <cell r="K78">
            <v>19.95</v>
          </cell>
          <cell r="L78">
            <v>21.041619999999995</v>
          </cell>
          <cell r="M78">
            <v>80.164140000000003</v>
          </cell>
          <cell r="N78">
            <v>34.120770000000014</v>
          </cell>
          <cell r="O78">
            <v>33.759219999999999</v>
          </cell>
          <cell r="P78">
            <v>31.240560000000006</v>
          </cell>
          <cell r="Q78">
            <v>30.323999999999998</v>
          </cell>
          <cell r="R78">
            <v>129.4076</v>
          </cell>
          <cell r="S78">
            <v>26.400959999999998</v>
          </cell>
          <cell r="T78">
            <v>33.183540000000008</v>
          </cell>
          <cell r="U78">
            <v>34.192299999999996</v>
          </cell>
          <cell r="V78">
            <v>30.939019999999996</v>
          </cell>
          <cell r="W78">
            <v>124.71106000000002</v>
          </cell>
          <cell r="X78">
            <v>30.290240000000001</v>
          </cell>
          <cell r="Y78">
            <v>33.763840000000002</v>
          </cell>
          <cell r="Z78">
            <v>29.329600000000003</v>
          </cell>
          <cell r="AA78">
            <v>29.805790000000002</v>
          </cell>
          <cell r="AB78">
            <v>123.15660000000001</v>
          </cell>
          <cell r="AC78">
            <v>30.005639999999996</v>
          </cell>
          <cell r="AD78">
            <v>33.116099999999996</v>
          </cell>
          <cell r="AE78">
            <v>33.299370000000003</v>
          </cell>
          <cell r="AF78">
            <v>39.015779999999992</v>
          </cell>
          <cell r="AG78">
            <v>135.4454647967182</v>
          </cell>
          <cell r="AH78">
            <v>41.201159999999987</v>
          </cell>
          <cell r="AI78">
            <v>39.312520000000006</v>
          </cell>
          <cell r="AJ78">
            <v>40.807519999999997</v>
          </cell>
          <cell r="AK78">
            <v>41.620799999999996</v>
          </cell>
          <cell r="AL78">
            <v>163.71361222222225</v>
          </cell>
          <cell r="AM78">
            <v>29.295000000000002</v>
          </cell>
          <cell r="AN78">
            <v>25.429950000000002</v>
          </cell>
          <cell r="AO78">
            <v>27.643515999999995</v>
          </cell>
          <cell r="AP78">
            <v>26.330399999999997</v>
          </cell>
          <cell r="AQ78">
            <v>108.9782325</v>
          </cell>
          <cell r="AR78">
            <v>23.212800000000001</v>
          </cell>
          <cell r="AS78">
            <v>31.995600000000003</v>
          </cell>
          <cell r="AT78">
            <v>34.776000000000003</v>
          </cell>
          <cell r="AU78">
            <v>37.191000000000003</v>
          </cell>
          <cell r="AV78">
            <v>126.99901249999999</v>
          </cell>
          <cell r="AW78">
            <v>210.78749999999999</v>
          </cell>
        </row>
        <row r="79">
          <cell r="A79" t="str">
            <v xml:space="preserve">  Algerian Oil Sales</v>
          </cell>
          <cell r="AN79">
            <v>5.239325</v>
          </cell>
          <cell r="AO79">
            <v>6.0637199999999991</v>
          </cell>
          <cell r="AP79">
            <v>8.3683199999999989</v>
          </cell>
          <cell r="AQ79">
            <v>26.391016777777772</v>
          </cell>
          <cell r="AR79">
            <v>18.743399999999998</v>
          </cell>
          <cell r="AS79">
            <v>25.192440000000001</v>
          </cell>
          <cell r="AT79">
            <v>17.388000000000002</v>
          </cell>
          <cell r="AU79">
            <v>29.324999999999999</v>
          </cell>
          <cell r="AV79">
            <v>90.597562499999981</v>
          </cell>
          <cell r="AW79">
            <v>119.13599999999998</v>
          </cell>
        </row>
        <row r="80">
          <cell r="A80" t="str">
            <v xml:space="preserve">Total Oil Sales </v>
          </cell>
          <cell r="C80">
            <v>107.01872999999999</v>
          </cell>
          <cell r="D80">
            <v>24.330200000000001</v>
          </cell>
          <cell r="E80">
            <v>21.228870000000001</v>
          </cell>
          <cell r="F80">
            <v>22.528499999999998</v>
          </cell>
          <cell r="G80">
            <v>21.649169999999998</v>
          </cell>
          <cell r="H80">
            <v>89.709722499999984</v>
          </cell>
          <cell r="I80">
            <v>18.207000000000001</v>
          </cell>
          <cell r="J80">
            <v>20.983440000000002</v>
          </cell>
          <cell r="K80">
            <v>19.95</v>
          </cell>
          <cell r="L80">
            <v>21.041619999999995</v>
          </cell>
          <cell r="M80">
            <v>80.182059999999993</v>
          </cell>
          <cell r="N80">
            <v>34.120770000000014</v>
          </cell>
          <cell r="O80">
            <v>33.759219999999999</v>
          </cell>
          <cell r="P80">
            <v>31.240560000000006</v>
          </cell>
          <cell r="Q80">
            <v>30.323999999999998</v>
          </cell>
          <cell r="R80">
            <v>129.4076</v>
          </cell>
          <cell r="S80">
            <v>26.400959999999998</v>
          </cell>
          <cell r="T80">
            <v>33.183540000000008</v>
          </cell>
          <cell r="U80">
            <v>34.192299999999996</v>
          </cell>
          <cell r="V80">
            <v>30.939019999999996</v>
          </cell>
          <cell r="W80">
            <v>124.71106000000002</v>
          </cell>
          <cell r="X80">
            <v>30.290240000000001</v>
          </cell>
          <cell r="Y80">
            <v>33.763840000000002</v>
          </cell>
          <cell r="Z80">
            <v>29.329600000000003</v>
          </cell>
          <cell r="AA80">
            <v>29.805790000000002</v>
          </cell>
          <cell r="AB80">
            <v>123.15660000000001</v>
          </cell>
          <cell r="AC80">
            <v>30.005639999999996</v>
          </cell>
          <cell r="AD80">
            <v>33.116099999999996</v>
          </cell>
          <cell r="AE80">
            <v>33.299370000000003</v>
          </cell>
          <cell r="AF80">
            <v>39.015779999999992</v>
          </cell>
          <cell r="AG80">
            <v>135.4454647967182</v>
          </cell>
          <cell r="AH80">
            <v>41.201159999999987</v>
          </cell>
          <cell r="AI80">
            <v>39.312520000000006</v>
          </cell>
          <cell r="AJ80">
            <v>40.807519999999997</v>
          </cell>
          <cell r="AK80">
            <v>41.620799999999996</v>
          </cell>
          <cell r="AL80">
            <v>163.71361222222225</v>
          </cell>
          <cell r="AM80">
            <v>29.295000000000002</v>
          </cell>
          <cell r="AN80">
            <v>30.669275000000003</v>
          </cell>
          <cell r="AO80">
            <v>33.707235999999995</v>
          </cell>
          <cell r="AP80">
            <v>34.698719999999994</v>
          </cell>
          <cell r="AQ80">
            <v>135.36924927777778</v>
          </cell>
          <cell r="AR80">
            <v>41.956199999999995</v>
          </cell>
          <cell r="AS80">
            <v>57.188040000000001</v>
          </cell>
          <cell r="AT80">
            <v>52.164000000000001</v>
          </cell>
          <cell r="AU80">
            <v>66.516000000000005</v>
          </cell>
          <cell r="AV80">
            <v>217.59657499999997</v>
          </cell>
          <cell r="AW80">
            <v>329.92349999999999</v>
          </cell>
        </row>
        <row r="81">
          <cell r="A81" t="str">
            <v xml:space="preserve">Plant $ Plant Condensate </v>
          </cell>
          <cell r="C81">
            <v>6.2472000000000003</v>
          </cell>
          <cell r="D81">
            <v>2.9559600000000001</v>
          </cell>
          <cell r="E81">
            <v>0.94847999999999988</v>
          </cell>
          <cell r="F81">
            <v>1.2831600000000001</v>
          </cell>
          <cell r="G81">
            <v>2.5296000000000003</v>
          </cell>
          <cell r="H81">
            <v>7.6718175000000004</v>
          </cell>
          <cell r="I81">
            <v>1.41126</v>
          </cell>
          <cell r="J81">
            <v>0.46200000000000002</v>
          </cell>
          <cell r="K81">
            <v>0.51749999999999996</v>
          </cell>
          <cell r="L81">
            <v>1.3401399999999999</v>
          </cell>
          <cell r="M81">
            <v>3.7207149999999993</v>
          </cell>
          <cell r="N81" t="str">
            <v xml:space="preserve">  Consolidated W/Crude in 93</v>
          </cell>
        </row>
        <row r="82">
          <cell r="A82" t="str">
            <v>Natural Gas Liquids</v>
          </cell>
          <cell r="C82">
            <v>24.63552</v>
          </cell>
          <cell r="D82">
            <v>6.977879999999999</v>
          </cell>
          <cell r="E82">
            <v>4.4486400000000001</v>
          </cell>
          <cell r="F82">
            <v>6.5360399999999998</v>
          </cell>
          <cell r="G82">
            <v>9.3811199999999992</v>
          </cell>
          <cell r="H82">
            <v>27.534989999999997</v>
          </cell>
          <cell r="I82">
            <v>6.4327200000000015</v>
          </cell>
          <cell r="J82">
            <v>4.851</v>
          </cell>
          <cell r="K82">
            <v>3.52</v>
          </cell>
          <cell r="L82">
            <v>12.33792</v>
          </cell>
          <cell r="M82">
            <v>27.141640000000002</v>
          </cell>
          <cell r="N82">
            <v>11.523960000000002</v>
          </cell>
          <cell r="O82">
            <v>5.7548399999999997</v>
          </cell>
          <cell r="P82">
            <v>6.7183200000000003</v>
          </cell>
          <cell r="Q82">
            <v>9.7860000000000014</v>
          </cell>
          <cell r="R82">
            <v>33.783120000000004</v>
          </cell>
          <cell r="S82">
            <v>6.2693400000000006</v>
          </cell>
          <cell r="T82">
            <v>8.1143999999999998</v>
          </cell>
          <cell r="U82">
            <v>8.6763600000000007</v>
          </cell>
          <cell r="V82">
            <v>13.16658</v>
          </cell>
          <cell r="W82">
            <v>36.226680000000002</v>
          </cell>
          <cell r="X82">
            <v>13.20228</v>
          </cell>
          <cell r="Y82">
            <v>9.5003999999999991</v>
          </cell>
          <cell r="Z82">
            <v>8.30396</v>
          </cell>
          <cell r="AA82">
            <v>15.798259999999999</v>
          </cell>
          <cell r="AB82">
            <v>46.804900000000004</v>
          </cell>
          <cell r="AC82">
            <v>14.108640000000001</v>
          </cell>
          <cell r="AD82">
            <v>11.124120000000001</v>
          </cell>
          <cell r="AE82">
            <v>10.8772</v>
          </cell>
          <cell r="AF82">
            <v>23.227120000000003</v>
          </cell>
          <cell r="AG82">
            <v>59.33708</v>
          </cell>
          <cell r="AH82">
            <v>19.265150000000002</v>
          </cell>
          <cell r="AI82">
            <v>13.463449999999998</v>
          </cell>
          <cell r="AJ82">
            <v>21.564800000000002</v>
          </cell>
          <cell r="AK82">
            <v>25.555759999999999</v>
          </cell>
          <cell r="AL82">
            <v>79.849160000000012</v>
          </cell>
          <cell r="AM82">
            <v>18.367964999999998</v>
          </cell>
          <cell r="AN82">
            <v>16.862300000000001</v>
          </cell>
          <cell r="AO82">
            <v>15.656942589928052</v>
          </cell>
          <cell r="AP82">
            <v>14.294960000000001</v>
          </cell>
          <cell r="AQ82">
            <v>65.182167589928056</v>
          </cell>
          <cell r="AR82">
            <v>13.932</v>
          </cell>
          <cell r="AS82">
            <v>18.858294000000001</v>
          </cell>
          <cell r="AT82">
            <v>24.204096</v>
          </cell>
          <cell r="AU82">
            <v>23.483843333333329</v>
          </cell>
          <cell r="AV82">
            <v>80.306745894094647</v>
          </cell>
          <cell r="AW82">
            <v>75.844482758620686</v>
          </cell>
        </row>
        <row r="83">
          <cell r="A83" t="str">
            <v xml:space="preserve">Total Production Revenue </v>
          </cell>
          <cell r="C83">
            <v>376.72148999999996</v>
          </cell>
          <cell r="D83">
            <v>94.098079999999996</v>
          </cell>
          <cell r="E83">
            <v>64.22381</v>
          </cell>
          <cell r="F83">
            <v>61.878619999999998</v>
          </cell>
          <cell r="G83">
            <v>105.47828999999999</v>
          </cell>
          <cell r="H83">
            <v>325.94704987060038</v>
          </cell>
          <cell r="I83">
            <v>78.891720000000007</v>
          </cell>
          <cell r="J83">
            <v>67.204440000000005</v>
          </cell>
          <cell r="K83">
            <v>81.464500000000001</v>
          </cell>
          <cell r="L83">
            <v>134.96413000000001</v>
          </cell>
          <cell r="M83">
            <v>362.52479</v>
          </cell>
          <cell r="N83">
            <v>126.736125</v>
          </cell>
          <cell r="O83">
            <v>110.67287499999999</v>
          </cell>
          <cell r="P83">
            <v>107.05773000000001</v>
          </cell>
          <cell r="Q83">
            <v>131.54000000000002</v>
          </cell>
          <cell r="R83">
            <v>476.00673</v>
          </cell>
          <cell r="S83">
            <v>130.41990000000001</v>
          </cell>
          <cell r="T83">
            <v>115.87129200000001</v>
          </cell>
          <cell r="U83">
            <v>107.98145999999998</v>
          </cell>
          <cell r="V83">
            <v>108.2572</v>
          </cell>
          <cell r="W83">
            <v>462.52985200000001</v>
          </cell>
          <cell r="X83">
            <v>97.182519999999997</v>
          </cell>
          <cell r="Y83">
            <v>106.60024</v>
          </cell>
          <cell r="Z83">
            <v>90.842310000000012</v>
          </cell>
          <cell r="AA83">
            <v>118.53955000000001</v>
          </cell>
          <cell r="AB83">
            <v>413.16462000000001</v>
          </cell>
          <cell r="AC83">
            <v>129.59147999999999</v>
          </cell>
          <cell r="AD83">
            <v>126.53501999999997</v>
          </cell>
          <cell r="AE83">
            <v>121.66716999999998</v>
          </cell>
          <cell r="AF83">
            <v>167.1619</v>
          </cell>
          <cell r="AG83">
            <v>544.95556999999997</v>
          </cell>
          <cell r="AH83">
            <v>172.82356999999999</v>
          </cell>
          <cell r="AI83">
            <v>133.71836999999999</v>
          </cell>
          <cell r="AJ83">
            <v>154.13183199999997</v>
          </cell>
          <cell r="AK83">
            <v>193.04829199999998</v>
          </cell>
          <cell r="AL83">
            <v>654.49367622222212</v>
          </cell>
          <cell r="AM83">
            <v>136.34311500000001</v>
          </cell>
          <cell r="AN83">
            <v>130.91278199999999</v>
          </cell>
          <cell r="AO83">
            <v>132.65044458992804</v>
          </cell>
          <cell r="AP83">
            <v>133.2252</v>
          </cell>
          <cell r="AQ83">
            <v>540.13055986770587</v>
          </cell>
          <cell r="AR83">
            <v>125.95211999999999</v>
          </cell>
          <cell r="AS83">
            <v>157.934686</v>
          </cell>
          <cell r="AT83">
            <v>169.91599600000001</v>
          </cell>
          <cell r="AU83">
            <v>190.18784333333335</v>
          </cell>
          <cell r="AV83">
            <v>643.59149289409459</v>
          </cell>
          <cell r="AW83">
            <v>810.36135775862067</v>
          </cell>
        </row>
        <row r="86">
          <cell r="A86" t="str">
            <v>Variance: Calculated Production Revenues vs. Reported Revenues</v>
          </cell>
        </row>
        <row r="87">
          <cell r="A87" t="str">
            <v>Natural Gas ($ Millions)</v>
          </cell>
          <cell r="C87">
            <v>1.1102400000000046</v>
          </cell>
          <cell r="D87">
            <v>-0.73700000000000188</v>
          </cell>
          <cell r="E87">
            <v>-2.4076999999999984</v>
          </cell>
          <cell r="F87">
            <v>2.3100799999999957</v>
          </cell>
          <cell r="G87">
            <v>-2.8520000000000039</v>
          </cell>
          <cell r="H87">
            <v>-3.5826626293995503</v>
          </cell>
          <cell r="I87">
            <v>-2.847999999999999</v>
          </cell>
          <cell r="J87">
            <v>-1.3919999999999959</v>
          </cell>
          <cell r="K87">
            <v>0</v>
          </cell>
          <cell r="L87">
            <v>0</v>
          </cell>
          <cell r="M87">
            <v>-4.2399999999999807</v>
          </cell>
          <cell r="N87">
            <v>-2.0086050000000029</v>
          </cell>
          <cell r="O87">
            <v>-0.35518500000000586</v>
          </cell>
          <cell r="P87">
            <v>4.0248500000000007</v>
          </cell>
          <cell r="Q87">
            <v>0.53000000000000114</v>
          </cell>
          <cell r="R87">
            <v>2.1910599999999931</v>
          </cell>
          <cell r="S87">
            <v>-1.2503999999999991</v>
          </cell>
          <cell r="T87">
            <v>-2.8266480000000058</v>
          </cell>
          <cell r="U87">
            <v>-1.9872000000000014</v>
          </cell>
          <cell r="V87">
            <v>-5.848399999999998</v>
          </cell>
          <cell r="W87">
            <v>-11.91264799999999</v>
          </cell>
          <cell r="X87">
            <v>-4.8100000000000023</v>
          </cell>
          <cell r="Y87">
            <v>0</v>
          </cell>
          <cell r="Z87">
            <v>0</v>
          </cell>
          <cell r="AA87">
            <v>0</v>
          </cell>
          <cell r="AB87">
            <v>-4.8100000000000023</v>
          </cell>
          <cell r="AC87">
            <v>0</v>
          </cell>
          <cell r="AD87">
            <v>-5.8052000000000135</v>
          </cell>
          <cell r="AE87">
            <v>0</v>
          </cell>
          <cell r="AF87">
            <v>0</v>
          </cell>
          <cell r="AG87">
            <v>-5.8051999999999566</v>
          </cell>
          <cell r="AH87">
            <v>5.3572599999999966</v>
          </cell>
          <cell r="AI87">
            <v>-2.2576000000000107</v>
          </cell>
          <cell r="AJ87">
            <v>-3.0404879999999963</v>
          </cell>
          <cell r="AK87">
            <v>-7.1282680000000056</v>
          </cell>
          <cell r="AL87">
            <v>-7.0690960000000587</v>
          </cell>
          <cell r="AM87">
            <v>-4.8198500000000024</v>
          </cell>
          <cell r="AN87">
            <v>-4.3187929999999994</v>
          </cell>
          <cell r="AO87">
            <v>-3.0137339999999995</v>
          </cell>
          <cell r="AP87">
            <v>-1.4684799999999996</v>
          </cell>
          <cell r="AQ87">
            <v>-13.620857000000001</v>
          </cell>
          <cell r="AR87">
            <v>-7.7360800000000012</v>
          </cell>
          <cell r="AS87">
            <v>0</v>
          </cell>
          <cell r="AT87">
            <v>0</v>
          </cell>
          <cell r="AU87">
            <v>0</v>
          </cell>
          <cell r="AV87">
            <v>-7.7360800000000154</v>
          </cell>
          <cell r="AW87">
            <v>0</v>
          </cell>
        </row>
        <row r="88">
          <cell r="A88" t="str">
            <v>Oil &amp; Cond ($ Millions)</v>
          </cell>
          <cell r="C88">
            <v>-10.521470000000022</v>
          </cell>
          <cell r="D88">
            <v>-5.3757599999999996</v>
          </cell>
          <cell r="E88">
            <v>-0.51260999999999868</v>
          </cell>
          <cell r="F88">
            <v>-1.66066</v>
          </cell>
          <cell r="G88">
            <v>-3.5804300000000033</v>
          </cell>
          <cell r="H88">
            <v>-11.11109500000002</v>
          </cell>
          <cell r="I88">
            <v>-1.9042599999999972</v>
          </cell>
          <cell r="J88">
            <v>0.84543999999999997</v>
          </cell>
          <cell r="K88">
            <v>0</v>
          </cell>
          <cell r="L88">
            <v>0</v>
          </cell>
          <cell r="M88">
            <v>-1.0588199999999972</v>
          </cell>
          <cell r="N88">
            <v>0.82077000000001732</v>
          </cell>
          <cell r="O88">
            <v>0.61621999999999844</v>
          </cell>
          <cell r="P88">
            <v>0.54956000000000671</v>
          </cell>
          <cell r="Q88">
            <v>0.42399999999999949</v>
          </cell>
          <cell r="R88">
            <v>2.410550000000022</v>
          </cell>
          <cell r="S88">
            <v>0.40095999999999776</v>
          </cell>
          <cell r="T88">
            <v>-1.6459999999995034E-2</v>
          </cell>
          <cell r="U88">
            <v>-0.60770000000000124</v>
          </cell>
          <cell r="V88">
            <v>-0.76098000000000354</v>
          </cell>
          <cell r="W88">
            <v>-0.98418000000000205</v>
          </cell>
          <cell r="X88">
            <v>-0.70975999999999928</v>
          </cell>
          <cell r="Y88">
            <v>0</v>
          </cell>
          <cell r="Z88">
            <v>0</v>
          </cell>
          <cell r="AA88">
            <v>0</v>
          </cell>
          <cell r="AB88">
            <v>-0.70975999999999928</v>
          </cell>
          <cell r="AC88">
            <v>0</v>
          </cell>
          <cell r="AD88">
            <v>-1.7839000000000027</v>
          </cell>
          <cell r="AE88">
            <v>0</v>
          </cell>
          <cell r="AF88">
            <v>0</v>
          </cell>
          <cell r="AG88">
            <v>-1.7839000000000027</v>
          </cell>
          <cell r="AH88">
            <v>-1.3988400000000141</v>
          </cell>
          <cell r="AI88">
            <v>-0.58747999999999223</v>
          </cell>
          <cell r="AJ88">
            <v>-1.1924800000000033</v>
          </cell>
          <cell r="AK88">
            <v>-2.3792000000000044</v>
          </cell>
          <cell r="AL88">
            <v>-4.7863877777777475</v>
          </cell>
          <cell r="AM88">
            <v>-2.1049999999999969</v>
          </cell>
          <cell r="AN88">
            <v>-0.93072499999999891</v>
          </cell>
          <cell r="AO88">
            <v>-1.2927640000000054</v>
          </cell>
          <cell r="AP88">
            <v>-0.40128000000000696</v>
          </cell>
          <cell r="AQ88">
            <v>2.2692492777777886</v>
          </cell>
          <cell r="AR88">
            <v>-1.6438000000000059</v>
          </cell>
          <cell r="AS88">
            <v>0</v>
          </cell>
          <cell r="AT88">
            <v>0</v>
          </cell>
          <cell r="AU88">
            <v>0</v>
          </cell>
          <cell r="AV88">
            <v>-1.8714650000000574</v>
          </cell>
          <cell r="AW88">
            <v>0</v>
          </cell>
        </row>
        <row r="89">
          <cell r="A89" t="str">
            <v>Natural Gas Liquids ($ Millions)</v>
          </cell>
          <cell r="C89">
            <v>-8.5644800000000032</v>
          </cell>
          <cell r="D89">
            <v>-0.86412000000000067</v>
          </cell>
          <cell r="E89">
            <v>-0.82035999999999998</v>
          </cell>
          <cell r="F89">
            <v>-0.88895999999999997</v>
          </cell>
          <cell r="G89">
            <v>-1.2188800000000004</v>
          </cell>
          <cell r="H89">
            <v>-3.6010100000000058</v>
          </cell>
          <cell r="I89">
            <v>-1.1672799999999981</v>
          </cell>
          <cell r="J89">
            <v>-1.8490000000000002</v>
          </cell>
          <cell r="K89">
            <v>0</v>
          </cell>
          <cell r="L89">
            <v>0</v>
          </cell>
          <cell r="M89">
            <v>-3.0162799999999983</v>
          </cell>
          <cell r="N89">
            <v>-1.3760399999999979</v>
          </cell>
          <cell r="O89">
            <v>-2.0591600000000003</v>
          </cell>
          <cell r="P89">
            <v>-0.78767999999999994</v>
          </cell>
          <cell r="Q89">
            <v>-0.61399999999999899</v>
          </cell>
          <cell r="R89">
            <v>-4.8368799999999936</v>
          </cell>
          <cell r="S89">
            <v>-0.73065999999999942</v>
          </cell>
          <cell r="T89">
            <v>-0.78560000000000052</v>
          </cell>
          <cell r="U89">
            <v>-0.82363999999999926</v>
          </cell>
          <cell r="V89">
            <v>-0.43341999999999992</v>
          </cell>
          <cell r="W89">
            <v>-2.7733199999999982</v>
          </cell>
          <cell r="X89">
            <v>-9.7720000000000695E-2</v>
          </cell>
          <cell r="Y89">
            <v>0</v>
          </cell>
          <cell r="Z89">
            <v>0</v>
          </cell>
          <cell r="AA89">
            <v>0</v>
          </cell>
          <cell r="AB89">
            <v>-9.7719999999995366E-2</v>
          </cell>
          <cell r="AC89">
            <v>0</v>
          </cell>
          <cell r="AD89">
            <v>-0.9758799999999983</v>
          </cell>
          <cell r="AE89">
            <v>0</v>
          </cell>
          <cell r="AF89">
            <v>0</v>
          </cell>
          <cell r="AG89">
            <v>-0.97588000000000363</v>
          </cell>
          <cell r="AH89">
            <v>-1.6348499999999966</v>
          </cell>
          <cell r="AI89">
            <v>-2.3365500000000026</v>
          </cell>
          <cell r="AJ89">
            <v>6.4800000000001745E-2</v>
          </cell>
          <cell r="AK89">
            <v>-2.9442400000000006</v>
          </cell>
          <cell r="AL89">
            <v>-6.8508399999999909</v>
          </cell>
          <cell r="AM89">
            <v>-3.1320350000000019</v>
          </cell>
          <cell r="AN89">
            <v>-1.4376999999999995</v>
          </cell>
          <cell r="AO89">
            <v>-3.2430574100719465</v>
          </cell>
          <cell r="AP89">
            <v>-0.40503999999999785</v>
          </cell>
          <cell r="AQ89">
            <v>-8.2178324100719351</v>
          </cell>
          <cell r="AR89">
            <v>-1.0679999999999996</v>
          </cell>
          <cell r="AS89">
            <v>0</v>
          </cell>
          <cell r="AT89">
            <v>0</v>
          </cell>
          <cell r="AU89">
            <v>0</v>
          </cell>
          <cell r="AV89">
            <v>-1.2394874392386868</v>
          </cell>
          <cell r="AW89">
            <v>0</v>
          </cell>
        </row>
        <row r="90">
          <cell r="A90" t="str">
            <v>Total Variance</v>
          </cell>
          <cell r="C90">
            <v>-11.728510000000028</v>
          </cell>
          <cell r="D90">
            <v>-4.0209200000000038</v>
          </cell>
          <cell r="E90">
            <v>-2.7921900000000051</v>
          </cell>
          <cell r="F90">
            <v>1.0436200000000042</v>
          </cell>
          <cell r="G90">
            <v>-5.1217100000000073</v>
          </cell>
          <cell r="H90">
            <v>-10.622950129399612</v>
          </cell>
          <cell r="I90">
            <v>-4.508279999999985</v>
          </cell>
          <cell r="J90">
            <v>-2.395559999999989</v>
          </cell>
          <cell r="K90">
            <v>0</v>
          </cell>
          <cell r="L90">
            <v>2.8421709430404007E-14</v>
          </cell>
          <cell r="M90">
            <v>-6.9038400000000024</v>
          </cell>
          <cell r="N90">
            <v>-2.5638749999999817</v>
          </cell>
          <cell r="O90">
            <v>-1.7981250000000131</v>
          </cell>
          <cell r="P90">
            <v>3.7867300000000057</v>
          </cell>
          <cell r="Q90">
            <v>0.34000000000000341</v>
          </cell>
          <cell r="R90">
            <v>-0.23526999999995724</v>
          </cell>
          <cell r="S90">
            <v>-1.5800999999999874</v>
          </cell>
          <cell r="T90">
            <v>-3.6287080000000032</v>
          </cell>
          <cell r="U90">
            <v>-3.4185400000000072</v>
          </cell>
          <cell r="V90">
            <v>-7.0427999999999997</v>
          </cell>
          <cell r="W90">
            <v>-15.670147999999983</v>
          </cell>
          <cell r="X90">
            <v>-5.6174800000000005</v>
          </cell>
          <cell r="Y90">
            <v>0</v>
          </cell>
          <cell r="Z90">
            <v>0</v>
          </cell>
          <cell r="AA90">
            <v>0</v>
          </cell>
          <cell r="AB90">
            <v>-5.6174800000000005</v>
          </cell>
          <cell r="AC90">
            <v>0</v>
          </cell>
          <cell r="AD90">
            <v>-8.5649800000000198</v>
          </cell>
          <cell r="AE90">
            <v>0</v>
          </cell>
          <cell r="AF90">
            <v>0</v>
          </cell>
          <cell r="AG90">
            <v>-8.5649799999999914</v>
          </cell>
          <cell r="AH90">
            <v>2.3235699999999895</v>
          </cell>
          <cell r="AI90">
            <v>-5.1816300000000055</v>
          </cell>
          <cell r="AJ90">
            <v>-4.1681679999999979</v>
          </cell>
          <cell r="AK90">
            <v>-12.451708000000011</v>
          </cell>
          <cell r="AL90">
            <v>-18.706323777777925</v>
          </cell>
          <cell r="AM90">
            <v>-10.056884999999994</v>
          </cell>
          <cell r="AN90">
            <v>-6.6872179999999979</v>
          </cell>
          <cell r="AO90">
            <v>-7.5495554100719513</v>
          </cell>
          <cell r="AP90">
            <v>-2.2748000000000044</v>
          </cell>
          <cell r="AQ90">
            <v>-19.569440132294062</v>
          </cell>
          <cell r="AR90">
            <v>-10.447880000000012</v>
          </cell>
          <cell r="AS90">
            <v>0</v>
          </cell>
          <cell r="AT90">
            <v>0</v>
          </cell>
          <cell r="AU90">
            <v>0</v>
          </cell>
          <cell r="AV90">
            <v>-10.847032439238774</v>
          </cell>
          <cell r="AW90">
            <v>0</v>
          </cell>
        </row>
        <row r="92">
          <cell r="A92" t="str">
            <v>Reported Segment Revenue</v>
          </cell>
        </row>
        <row r="93">
          <cell r="A93" t="str">
            <v>Natural Gas ($ Millions)</v>
          </cell>
          <cell r="C93">
            <v>243.95699999999999</v>
          </cell>
          <cell r="D93">
            <v>63.527000000000001</v>
          </cell>
          <cell r="E93">
            <v>40.954000000000001</v>
          </cell>
          <cell r="F93">
            <v>30.504000000000001</v>
          </cell>
          <cell r="G93">
            <v>77.3</v>
          </cell>
          <cell r="H93">
            <v>212.28499999999997</v>
          </cell>
          <cell r="I93">
            <v>57.1</v>
          </cell>
          <cell r="J93">
            <v>42.3</v>
          </cell>
          <cell r="K93">
            <v>57.477000000000011</v>
          </cell>
          <cell r="L93">
            <v>100.24445</v>
          </cell>
          <cell r="M93">
            <v>257.12144999999998</v>
          </cell>
          <cell r="N93">
            <v>83.1</v>
          </cell>
          <cell r="O93">
            <v>71.513999999999996</v>
          </cell>
          <cell r="P93">
            <v>65.073999999999998</v>
          </cell>
          <cell r="Q93">
            <v>90.9</v>
          </cell>
          <cell r="R93">
            <v>310.58799999999997</v>
          </cell>
          <cell r="S93">
            <v>99</v>
          </cell>
          <cell r="T93">
            <v>77.400000000000006</v>
          </cell>
          <cell r="U93">
            <v>67.099999999999994</v>
          </cell>
          <cell r="V93">
            <v>70</v>
          </cell>
          <cell r="W93">
            <v>313.5</v>
          </cell>
          <cell r="X93">
            <v>58.5</v>
          </cell>
          <cell r="Y93">
            <v>63.336000000000006</v>
          </cell>
          <cell r="Z93">
            <v>53.208750000000002</v>
          </cell>
          <cell r="AA93">
            <v>72.935500000000005</v>
          </cell>
          <cell r="AB93">
            <v>247.98025000000001</v>
          </cell>
          <cell r="AC93">
            <v>85.477199999999996</v>
          </cell>
          <cell r="AD93">
            <v>88.1</v>
          </cell>
          <cell r="AE93">
            <v>77.490599999999986</v>
          </cell>
          <cell r="AF93">
            <v>104.919</v>
          </cell>
          <cell r="AG93">
            <v>355.98679999999996</v>
          </cell>
          <cell r="AH93">
            <v>107</v>
          </cell>
          <cell r="AI93">
            <v>83.2</v>
          </cell>
          <cell r="AJ93">
            <v>94.8</v>
          </cell>
          <cell r="AK93">
            <v>133</v>
          </cell>
          <cell r="AL93">
            <v>418</v>
          </cell>
          <cell r="AM93">
            <v>93.5</v>
          </cell>
          <cell r="AN93">
            <v>87.7</v>
          </cell>
          <cell r="AO93">
            <v>86.3</v>
          </cell>
          <cell r="AP93">
            <v>85.7</v>
          </cell>
          <cell r="AQ93">
            <v>353.2</v>
          </cell>
          <cell r="AR93">
            <v>77.8</v>
          </cell>
          <cell r="AS93">
            <v>81.888351999999998</v>
          </cell>
          <cell r="AT93">
            <v>93.547899999999998</v>
          </cell>
          <cell r="AU93">
            <v>100.188</v>
          </cell>
          <cell r="AV93">
            <v>353.42425200000002</v>
          </cell>
          <cell r="AW93">
            <v>404.59337500000004</v>
          </cell>
        </row>
        <row r="94">
          <cell r="A94" t="str">
            <v>Oil &amp; Cond ($ Millions)</v>
          </cell>
          <cell r="C94">
            <v>111.29300000000001</v>
          </cell>
          <cell r="D94">
            <v>26.75</v>
          </cell>
          <cell r="E94">
            <v>20.792999999999999</v>
          </cell>
          <cell r="F94">
            <v>22.905999999999999</v>
          </cell>
          <cell r="G94">
            <v>22.7</v>
          </cell>
          <cell r="H94">
            <v>93.149000000000001</v>
          </cell>
          <cell r="I94">
            <v>18.7</v>
          </cell>
          <cell r="J94">
            <v>20.6</v>
          </cell>
          <cell r="K94">
            <v>20.467499999999998</v>
          </cell>
          <cell r="L94">
            <v>22.381759999999993</v>
          </cell>
          <cell r="M94">
            <v>82.149259999999998</v>
          </cell>
          <cell r="N94">
            <v>33.299999999999997</v>
          </cell>
          <cell r="O94">
            <v>33.143000000000001</v>
          </cell>
          <cell r="P94">
            <v>30.690999999999999</v>
          </cell>
          <cell r="Q94">
            <v>29.9</v>
          </cell>
          <cell r="R94">
            <v>127.03399999999999</v>
          </cell>
          <cell r="S94">
            <v>26</v>
          </cell>
          <cell r="T94">
            <v>33.200000000000003</v>
          </cell>
          <cell r="U94">
            <v>34.799999999999997</v>
          </cell>
          <cell r="V94">
            <v>31.7</v>
          </cell>
          <cell r="W94">
            <v>125.7</v>
          </cell>
          <cell r="X94">
            <v>31</v>
          </cell>
          <cell r="Y94">
            <v>33.763840000000002</v>
          </cell>
          <cell r="Z94">
            <v>29.329600000000003</v>
          </cell>
          <cell r="AA94">
            <v>29.805790000000002</v>
          </cell>
          <cell r="AB94">
            <v>123.89923</v>
          </cell>
          <cell r="AC94">
            <v>30.005639999999996</v>
          </cell>
          <cell r="AD94">
            <v>34.9</v>
          </cell>
          <cell r="AE94">
            <v>33.299370000000003</v>
          </cell>
          <cell r="AF94">
            <v>39.015779999999992</v>
          </cell>
          <cell r="AG94">
            <v>137.22078999999997</v>
          </cell>
          <cell r="AH94">
            <v>42.6</v>
          </cell>
          <cell r="AI94">
            <v>39.9</v>
          </cell>
          <cell r="AJ94">
            <v>42</v>
          </cell>
          <cell r="AK94">
            <v>44</v>
          </cell>
          <cell r="AL94">
            <v>168.5</v>
          </cell>
          <cell r="AM94">
            <v>31.4</v>
          </cell>
          <cell r="AN94">
            <v>31.6</v>
          </cell>
          <cell r="AO94">
            <v>35</v>
          </cell>
          <cell r="AP94">
            <v>35.1</v>
          </cell>
          <cell r="AQ94">
            <v>133.1</v>
          </cell>
          <cell r="AR94">
            <v>43.6</v>
          </cell>
          <cell r="AS94">
            <v>57.188040000000001</v>
          </cell>
          <cell r="AT94">
            <v>52.164000000000001</v>
          </cell>
          <cell r="AU94">
            <v>66.516000000000005</v>
          </cell>
          <cell r="AV94">
            <v>219.46804000000003</v>
          </cell>
          <cell r="AW94">
            <v>329.92349999999999</v>
          </cell>
        </row>
        <row r="95">
          <cell r="A95" t="str">
            <v>Natural Gas Liquids ($ Millions)</v>
          </cell>
          <cell r="C95">
            <v>33.200000000000003</v>
          </cell>
          <cell r="D95">
            <v>7.8419999999999996</v>
          </cell>
          <cell r="E95">
            <v>5.2690000000000001</v>
          </cell>
          <cell r="F95">
            <v>7.4249999999999998</v>
          </cell>
          <cell r="G95">
            <v>10.6</v>
          </cell>
          <cell r="H95">
            <v>31.136000000000003</v>
          </cell>
          <cell r="I95">
            <v>7.6</v>
          </cell>
          <cell r="J95">
            <v>6.7</v>
          </cell>
          <cell r="K95">
            <v>3.52</v>
          </cell>
          <cell r="L95">
            <v>12.33792</v>
          </cell>
          <cell r="M95">
            <v>30.157920000000001</v>
          </cell>
          <cell r="N95">
            <v>12.9</v>
          </cell>
          <cell r="O95">
            <v>7.8140000000000001</v>
          </cell>
          <cell r="P95">
            <v>7.5060000000000002</v>
          </cell>
          <cell r="Q95">
            <v>10.4</v>
          </cell>
          <cell r="R95">
            <v>38.619999999999997</v>
          </cell>
          <cell r="S95">
            <v>7</v>
          </cell>
          <cell r="T95">
            <v>8.9</v>
          </cell>
          <cell r="U95">
            <v>9.5</v>
          </cell>
          <cell r="V95">
            <v>13.6</v>
          </cell>
          <cell r="W95">
            <v>39</v>
          </cell>
          <cell r="X95">
            <v>13.3</v>
          </cell>
          <cell r="Y95">
            <v>9.5003999999999991</v>
          </cell>
          <cell r="Z95">
            <v>8.30396</v>
          </cell>
          <cell r="AA95">
            <v>15.798259999999999</v>
          </cell>
          <cell r="AB95">
            <v>46.902619999999999</v>
          </cell>
          <cell r="AC95">
            <v>14.108640000000001</v>
          </cell>
          <cell r="AD95">
            <v>12.1</v>
          </cell>
          <cell r="AE95">
            <v>10.8772</v>
          </cell>
          <cell r="AF95">
            <v>23.227120000000003</v>
          </cell>
          <cell r="AG95">
            <v>60.312960000000004</v>
          </cell>
          <cell r="AH95">
            <v>20.9</v>
          </cell>
          <cell r="AI95">
            <v>15.8</v>
          </cell>
          <cell r="AJ95">
            <v>21.5</v>
          </cell>
          <cell r="AK95">
            <v>28.5</v>
          </cell>
          <cell r="AL95">
            <v>86.7</v>
          </cell>
          <cell r="AM95">
            <v>21.5</v>
          </cell>
          <cell r="AN95">
            <v>18.3</v>
          </cell>
          <cell r="AO95">
            <v>18.899999999999999</v>
          </cell>
          <cell r="AP95">
            <v>14.7</v>
          </cell>
          <cell r="AQ95">
            <v>73.399999999999991</v>
          </cell>
          <cell r="AR95">
            <v>15</v>
          </cell>
          <cell r="AS95">
            <v>18.858294000000001</v>
          </cell>
          <cell r="AT95">
            <v>24.204096</v>
          </cell>
          <cell r="AU95">
            <v>23.483843333333329</v>
          </cell>
          <cell r="AV95">
            <v>81.546233333333333</v>
          </cell>
          <cell r="AW95">
            <v>75.844482758620686</v>
          </cell>
        </row>
        <row r="96">
          <cell r="A96" t="str">
            <v>Total Reported Revenue</v>
          </cell>
          <cell r="C96">
            <v>388.45</v>
          </cell>
          <cell r="D96">
            <v>98.119</v>
          </cell>
          <cell r="E96">
            <v>67.016000000000005</v>
          </cell>
          <cell r="F96">
            <v>60.834999999999994</v>
          </cell>
          <cell r="G96">
            <v>110.6</v>
          </cell>
          <cell r="H96">
            <v>336.57</v>
          </cell>
          <cell r="I96">
            <v>83.399999999999991</v>
          </cell>
          <cell r="J96">
            <v>69.599999999999994</v>
          </cell>
          <cell r="K96">
            <v>81.464500000000001</v>
          </cell>
          <cell r="L96">
            <v>134.96412999999998</v>
          </cell>
          <cell r="M96">
            <v>369.42863</v>
          </cell>
          <cell r="N96">
            <v>129.29999999999998</v>
          </cell>
          <cell r="O96">
            <v>112.471</v>
          </cell>
          <cell r="P96">
            <v>103.271</v>
          </cell>
          <cell r="Q96">
            <v>131.20000000000002</v>
          </cell>
          <cell r="R96">
            <v>476.24199999999996</v>
          </cell>
          <cell r="S96">
            <v>132</v>
          </cell>
          <cell r="T96">
            <v>119.50000000000001</v>
          </cell>
          <cell r="U96">
            <v>111.39999999999999</v>
          </cell>
          <cell r="V96">
            <v>115.3</v>
          </cell>
          <cell r="W96">
            <v>478.2</v>
          </cell>
          <cell r="X96">
            <v>102.8</v>
          </cell>
          <cell r="Y96">
            <v>106.60024</v>
          </cell>
          <cell r="Z96">
            <v>90.842310000000012</v>
          </cell>
          <cell r="AA96">
            <v>118.53955000000001</v>
          </cell>
          <cell r="AB96">
            <v>418.78210000000001</v>
          </cell>
          <cell r="AC96">
            <v>129.59147999999999</v>
          </cell>
          <cell r="AD96">
            <v>135.1</v>
          </cell>
          <cell r="AE96">
            <v>121.66716999999998</v>
          </cell>
          <cell r="AF96">
            <v>167.1619</v>
          </cell>
          <cell r="AG96">
            <v>553.52054999999996</v>
          </cell>
          <cell r="AH96">
            <v>170.5</v>
          </cell>
          <cell r="AI96">
            <v>138.9</v>
          </cell>
          <cell r="AJ96">
            <v>158.30000000000001</v>
          </cell>
          <cell r="AK96">
            <v>205.5</v>
          </cell>
          <cell r="AL96">
            <v>673.2</v>
          </cell>
          <cell r="AM96">
            <v>146.4</v>
          </cell>
          <cell r="AN96">
            <v>137.60000000000002</v>
          </cell>
          <cell r="AO96">
            <v>140.19999999999999</v>
          </cell>
          <cell r="AP96">
            <v>135.5</v>
          </cell>
          <cell r="AQ96">
            <v>559.69999999999993</v>
          </cell>
          <cell r="AR96">
            <v>136.4</v>
          </cell>
          <cell r="AS96">
            <v>157.934686</v>
          </cell>
          <cell r="AT96">
            <v>169.91599600000001</v>
          </cell>
          <cell r="AU96">
            <v>190.18784333333335</v>
          </cell>
          <cell r="AV96">
            <v>654.43852533333336</v>
          </cell>
          <cell r="AW96">
            <v>810.36135775862067</v>
          </cell>
        </row>
        <row r="98">
          <cell r="A98" t="str">
            <v>Expenses/Energy Equivalence</v>
          </cell>
        </row>
        <row r="99">
          <cell r="A99" t="str">
            <v>Production (LOE)</v>
          </cell>
        </row>
        <row r="100">
          <cell r="A100" t="str">
            <v>Mcfe</v>
          </cell>
          <cell r="C100">
            <v>0.36754672588991655</v>
          </cell>
          <cell r="D100">
            <v>0.38978807872509702</v>
          </cell>
          <cell r="E100">
            <v>0.47337683558048088</v>
          </cell>
          <cell r="F100">
            <v>0.51763014092608572</v>
          </cell>
          <cell r="G100">
            <v>0.39920772620491646</v>
          </cell>
          <cell r="H100">
            <v>0.43622573468934223</v>
          </cell>
          <cell r="I100">
            <v>0.3771842679121305</v>
          </cell>
          <cell r="J100">
            <v>0.45227535620110632</v>
          </cell>
          <cell r="K100">
            <v>0.48921224284997494</v>
          </cell>
          <cell r="L100">
            <v>0.39069129377156764</v>
          </cell>
          <cell r="M100">
            <v>0.42110833066925357</v>
          </cell>
          <cell r="N100">
            <v>0.39364710553120313</v>
          </cell>
          <cell r="O100">
            <v>0.501299852042565</v>
          </cell>
          <cell r="P100">
            <v>0.4595895555537608</v>
          </cell>
          <cell r="Q100">
            <v>0.45603013420785748</v>
          </cell>
          <cell r="R100">
            <v>0.4492377672505426</v>
          </cell>
          <cell r="S100">
            <v>0.39779654769368417</v>
          </cell>
          <cell r="T100">
            <v>0.46973237299159293</v>
          </cell>
          <cell r="U100">
            <v>0.43466703068533702</v>
          </cell>
          <cell r="V100">
            <v>0.48911386637811183</v>
          </cell>
          <cell r="W100">
            <v>0.44710623483489814</v>
          </cell>
          <cell r="X100">
            <v>0.48770763173445919</v>
          </cell>
          <cell r="Y100">
            <v>0.42600015177333339</v>
          </cell>
          <cell r="Z100">
            <v>0.46992819641198125</v>
          </cell>
          <cell r="AA100">
            <v>0.45885949221774303</v>
          </cell>
          <cell r="AB100">
            <v>0.46029769110845947</v>
          </cell>
          <cell r="AC100">
            <v>0.45958751586877644</v>
          </cell>
          <cell r="AD100">
            <v>0.52266570750952601</v>
          </cell>
          <cell r="AE100">
            <v>0.52718349819799104</v>
          </cell>
          <cell r="AF100">
            <v>0.60458178869323442</v>
          </cell>
          <cell r="AG100">
            <v>0.52779544304789949</v>
          </cell>
          <cell r="AH100">
            <v>0.55772353864566415</v>
          </cell>
          <cell r="AI100">
            <v>0.5483012481627817</v>
          </cell>
          <cell r="AJ100">
            <v>0.60097624232340785</v>
          </cell>
          <cell r="AK100">
            <v>0.71857622187287362</v>
          </cell>
          <cell r="AL100">
            <v>0.60984359305495761</v>
          </cell>
          <cell r="AM100">
            <v>0.62960879890013743</v>
          </cell>
          <cell r="AN100">
            <v>0.60614983648050924</v>
          </cell>
          <cell r="AO100">
            <v>0.6000209002495398</v>
          </cell>
          <cell r="AP100">
            <v>0.5680261234928754</v>
          </cell>
          <cell r="AQ100">
            <v>0.60018302966413961</v>
          </cell>
          <cell r="AR100">
            <v>0.46127208289370453</v>
          </cell>
          <cell r="AS100">
            <v>0.48482169836423405</v>
          </cell>
          <cell r="AT100">
            <v>0.59764364836912487</v>
          </cell>
          <cell r="AU100">
            <v>0.57729102065052451</v>
          </cell>
          <cell r="AV100">
            <v>0.52697807945637387</v>
          </cell>
          <cell r="AW100">
            <v>0.48834239062382606</v>
          </cell>
        </row>
        <row r="101">
          <cell r="A101" t="str">
            <v>BOE</v>
          </cell>
          <cell r="C101">
            <v>2.201724694059171</v>
          </cell>
          <cell r="D101">
            <v>2.3305307009570702</v>
          </cell>
          <cell r="E101">
            <v>2.8360918290387049</v>
          </cell>
          <cell r="F101">
            <v>3.099401978556644</v>
          </cell>
          <cell r="G101">
            <v>2.388405211316448</v>
          </cell>
          <cell r="H101">
            <v>2.6106008793523587</v>
          </cell>
          <cell r="I101">
            <v>2.2588102858567618</v>
          </cell>
          <cell r="J101">
            <v>2.7118101798614949</v>
          </cell>
          <cell r="K101">
            <v>2.9330953431470856</v>
          </cell>
          <cell r="L101">
            <v>2.341187670733671</v>
          </cell>
          <cell r="M101">
            <v>2.5236154027743036</v>
          </cell>
          <cell r="N101">
            <v>2.3625030638421709</v>
          </cell>
          <cell r="O101">
            <v>3.0083548691588868</v>
          </cell>
          <cell r="P101">
            <v>2.758112046736763</v>
          </cell>
          <cell r="Q101">
            <v>2.7370207249448972</v>
          </cell>
          <cell r="R101">
            <v>2.6960889040894087</v>
          </cell>
          <cell r="S101">
            <v>2.3872674030025891</v>
          </cell>
          <cell r="T101">
            <v>2.8190189813944744</v>
          </cell>
          <cell r="U101">
            <v>2.6085887965782217</v>
          </cell>
          <cell r="V101">
            <v>2.9357463649193054</v>
          </cell>
          <cell r="W101">
            <v>2.6833168013844628</v>
          </cell>
          <cell r="X101">
            <v>2.9273024729651858</v>
          </cell>
          <cell r="Y101">
            <v>2.5566658592985005</v>
          </cell>
          <cell r="Z101">
            <v>2.8202374186075159</v>
          </cell>
          <cell r="AA101">
            <v>2.75421762525681</v>
          </cell>
          <cell r="AB101">
            <v>2.7626475415834642</v>
          </cell>
          <cell r="AC101">
            <v>2.7584704125422621</v>
          </cell>
          <cell r="AD101">
            <v>3.1369098102825435</v>
          </cell>
          <cell r="AE101">
            <v>3.1639622778994356</v>
          </cell>
          <cell r="AF101">
            <v>3.628851761767693</v>
          </cell>
          <cell r="AG101">
            <v>3.1677914867325194</v>
          </cell>
          <cell r="AH101">
            <v>3.3477384449602292</v>
          </cell>
          <cell r="AI101">
            <v>3.2908858180503615</v>
          </cell>
          <cell r="AJ101">
            <v>3.6074815311632547</v>
          </cell>
          <cell r="AK101">
            <v>4.3136688722132819</v>
          </cell>
          <cell r="AL101">
            <v>3.6606350716761971</v>
          </cell>
          <cell r="AM101">
            <v>3.7796723033491832</v>
          </cell>
          <cell r="AN101">
            <v>3.6386623387165273</v>
          </cell>
          <cell r="AO101">
            <v>3.6018377989611543</v>
          </cell>
          <cell r="AP101">
            <v>3.4096789190461121</v>
          </cell>
          <cell r="AQ101">
            <v>3.6028423419970799</v>
          </cell>
          <cell r="AR101">
            <v>2.7688460164344408</v>
          </cell>
          <cell r="AS101">
            <v>2.9102290773282271</v>
          </cell>
          <cell r="AT101">
            <v>3.587668390677702</v>
          </cell>
          <cell r="AU101">
            <v>3.4652280120031902</v>
          </cell>
          <cell r="AV101">
            <v>3.1633009847145077</v>
          </cell>
          <cell r="AW101">
            <v>2.931059048627084</v>
          </cell>
        </row>
        <row r="102">
          <cell r="A102" t="str">
            <v>Production taxes</v>
          </cell>
        </row>
        <row r="103">
          <cell r="A103" t="str">
            <v>Mcfe</v>
          </cell>
          <cell r="C103">
            <v>0.14834645601181581</v>
          </cell>
          <cell r="D103">
            <v>0.1515876013597679</v>
          </cell>
          <cell r="E103">
            <v>0.14985083437872254</v>
          </cell>
          <cell r="F103">
            <v>0.15777969513948803</v>
          </cell>
          <cell r="G103">
            <v>0.17465338021465093</v>
          </cell>
          <cell r="H103">
            <v>0.15932683738203848</v>
          </cell>
          <cell r="I103">
            <v>0.16282818122982681</v>
          </cell>
          <cell r="J103">
            <v>0.17542801695073215</v>
          </cell>
          <cell r="K103">
            <v>0.18393891118916209</v>
          </cell>
          <cell r="L103">
            <v>0.16794422130452002</v>
          </cell>
          <cell r="M103">
            <v>0.17159505804019268</v>
          </cell>
          <cell r="N103">
            <v>0.18083718145222966</v>
          </cell>
          <cell r="O103">
            <v>0.20815518707838399</v>
          </cell>
          <cell r="P103">
            <v>0.20594910230420699</v>
          </cell>
          <cell r="Q103">
            <v>0.16792445375162982</v>
          </cell>
          <cell r="R103">
            <v>0.18888251746754919</v>
          </cell>
          <cell r="S103">
            <v>0.17064625989647492</v>
          </cell>
          <cell r="T103">
            <v>0.18754882291605726</v>
          </cell>
          <cell r="U103">
            <v>0.18320676499960484</v>
          </cell>
          <cell r="V103">
            <v>0.15075427388366461</v>
          </cell>
          <cell r="W103">
            <v>0.17273130077012341</v>
          </cell>
          <cell r="X103">
            <v>0.18155539575516363</v>
          </cell>
          <cell r="Y103">
            <v>0.17246969707422405</v>
          </cell>
          <cell r="Z103">
            <v>0.15304174978934254</v>
          </cell>
          <cell r="AA103">
            <v>0.13682355767947246</v>
          </cell>
          <cell r="AB103">
            <v>0.16069049008422095</v>
          </cell>
          <cell r="AC103">
            <v>0.17689783629666112</v>
          </cell>
          <cell r="AD103">
            <v>0.19295544040674259</v>
          </cell>
          <cell r="AE103">
            <v>0.17636684303350972</v>
          </cell>
          <cell r="AF103">
            <v>0.13756950880444857</v>
          </cell>
          <cell r="AG103">
            <v>0.1707438857388261</v>
          </cell>
          <cell r="AH103">
            <v>0.21868187381547322</v>
          </cell>
          <cell r="AI103">
            <v>0.17349233523956673</v>
          </cell>
          <cell r="AJ103">
            <v>0.16362457488194565</v>
          </cell>
          <cell r="AK103">
            <v>0.12465097726366176</v>
          </cell>
          <cell r="AL103">
            <v>0.16832786957625528</v>
          </cell>
          <cell r="AM103">
            <v>0.17029121359830024</v>
          </cell>
          <cell r="AN103">
            <v>0.13313368501509892</v>
          </cell>
          <cell r="AO103">
            <v>0.13062655962370365</v>
          </cell>
          <cell r="AP103">
            <v>0.13130252100840334</v>
          </cell>
          <cell r="AQ103">
            <v>0.14088978965341262</v>
          </cell>
          <cell r="AR103">
            <v>0.12580147715282852</v>
          </cell>
          <cell r="AS103">
            <v>0.12120542459105851</v>
          </cell>
          <cell r="AT103">
            <v>0.18706434483157774</v>
          </cell>
          <cell r="AU103">
            <v>0.19962497126040377</v>
          </cell>
          <cell r="AV103">
            <v>0.15666610826373345</v>
          </cell>
          <cell r="AW103">
            <v>0.17757286019353211</v>
          </cell>
        </row>
        <row r="104">
          <cell r="A104" t="str">
            <v>BOE</v>
          </cell>
          <cell r="C104">
            <v>0.88864362670231589</v>
          </cell>
          <cell r="D104">
            <v>0.90633751552606012</v>
          </cell>
          <cell r="E104">
            <v>0.89778522101737424</v>
          </cell>
          <cell r="F104">
            <v>0.94473381788875133</v>
          </cell>
          <cell r="G104">
            <v>1.0449272799509459</v>
          </cell>
          <cell r="H104">
            <v>0.95349436930902376</v>
          </cell>
          <cell r="I104">
            <v>0.97511482285619766</v>
          </cell>
          <cell r="J104">
            <v>1.0518536455220344</v>
          </cell>
          <cell r="K104">
            <v>1.1028145180698727</v>
          </cell>
          <cell r="L104">
            <v>1.0063928901343835</v>
          </cell>
          <cell r="M104">
            <v>1.0283338038503413</v>
          </cell>
          <cell r="N104">
            <v>1.0853081077808411</v>
          </cell>
          <cell r="O104">
            <v>1.2491618899076893</v>
          </cell>
          <cell r="P104">
            <v>1.2359521516876804</v>
          </cell>
          <cell r="Q104">
            <v>1.0078560070194205</v>
          </cell>
          <cell r="R104">
            <v>1.1335735698212674</v>
          </cell>
          <cell r="S104">
            <v>1.0240869511237098</v>
          </cell>
          <cell r="T104">
            <v>1.1255423771868047</v>
          </cell>
          <cell r="U104">
            <v>1.0994878398800769</v>
          </cell>
          <cell r="V104">
            <v>0.90485333165321058</v>
          </cell>
          <cell r="W104">
            <v>1.0366502754152334</v>
          </cell>
          <cell r="X104">
            <v>1.0897257381111276</v>
          </cell>
          <cell r="Y104">
            <v>1.0350873924285426</v>
          </cell>
          <cell r="Z104">
            <v>0.91846812483386531</v>
          </cell>
          <cell r="AA104">
            <v>0.82125761916748508</v>
          </cell>
          <cell r="AB104">
            <v>0.96444365453576009</v>
          </cell>
          <cell r="AC104">
            <v>1.0617508757709837</v>
          </cell>
          <cell r="AD104">
            <v>1.1580706468068171</v>
          </cell>
          <cell r="AE104">
            <v>1.0584891984245384</v>
          </cell>
          <cell r="AF104">
            <v>0.8257267481866607</v>
          </cell>
          <cell r="AG104">
            <v>1.0247929094113004</v>
          </cell>
          <cell r="AH104">
            <v>1.312639086321792</v>
          </cell>
          <cell r="AI104">
            <v>1.0412952140696665</v>
          </cell>
          <cell r="AJ104">
            <v>0.98218962807752741</v>
          </cell>
          <cell r="AK104">
            <v>0.74828949824107949</v>
          </cell>
          <cell r="AL104">
            <v>1.0104015356210321</v>
          </cell>
          <cell r="AM104">
            <v>1.0222935014021366</v>
          </cell>
          <cell r="AN104">
            <v>0.79918940256047744</v>
          </cell>
          <cell r="AO104">
            <v>0.78413215240541878</v>
          </cell>
          <cell r="AP104">
            <v>0.78816698631216664</v>
          </cell>
          <cell r="AQ104">
            <v>0.84574817119109547</v>
          </cell>
          <cell r="AR104">
            <v>0.75513982266393853</v>
          </cell>
          <cell r="AS104">
            <v>0.72755726933205678</v>
          </cell>
          <cell r="AT104">
            <v>1.122951509325798</v>
          </cell>
          <cell r="AU104">
            <v>1.1982622586566198</v>
          </cell>
          <cell r="AV104">
            <v>0.94042252203980858</v>
          </cell>
          <cell r="AW104">
            <v>1.0658024956546759</v>
          </cell>
        </row>
        <row r="105">
          <cell r="A105" t="str">
            <v>SG&amp;A</v>
          </cell>
        </row>
        <row r="106">
          <cell r="A106" t="str">
            <v>Mcfe</v>
          </cell>
          <cell r="C106">
            <v>0.23187783690972272</v>
          </cell>
          <cell r="D106">
            <v>0.18477815370520678</v>
          </cell>
          <cell r="E106">
            <v>0.28367822392764147</v>
          </cell>
          <cell r="F106">
            <v>0.23416738567730799</v>
          </cell>
          <cell r="G106">
            <v>0.19960386310245823</v>
          </cell>
          <cell r="H106">
            <v>0.22053281157999166</v>
          </cell>
          <cell r="I106">
            <v>0.19168380828321385</v>
          </cell>
          <cell r="J106">
            <v>0.2713652137206638</v>
          </cell>
          <cell r="K106">
            <v>0.25087807325639738</v>
          </cell>
          <cell r="L106">
            <v>0.30937093398201054</v>
          </cell>
          <cell r="M106">
            <v>0.25740522306615371</v>
          </cell>
          <cell r="N106">
            <v>0.21056451009297317</v>
          </cell>
          <cell r="O106">
            <v>0.31764873065895394</v>
          </cell>
          <cell r="P106">
            <v>0.28354345526058616</v>
          </cell>
          <cell r="Q106">
            <v>0.25188668062744479</v>
          </cell>
          <cell r="R106">
            <v>0.26179236045771304</v>
          </cell>
          <cell r="S106">
            <v>0.22650443746436005</v>
          </cell>
          <cell r="T106">
            <v>0.26669786744943919</v>
          </cell>
          <cell r="U106">
            <v>0.2748101474994073</v>
          </cell>
          <cell r="V106">
            <v>0.26633255052780747</v>
          </cell>
          <cell r="W106">
            <v>0.25774448781517034</v>
          </cell>
          <cell r="X106">
            <v>0.25097363530860856</v>
          </cell>
          <cell r="Y106">
            <v>0.25525515166985163</v>
          </cell>
          <cell r="Z106">
            <v>0.23586434379298674</v>
          </cell>
          <cell r="AA106">
            <v>0.29033291507595377</v>
          </cell>
          <cell r="AB106">
            <v>0.25867249623313621</v>
          </cell>
          <cell r="AC106">
            <v>0.25147241434329276</v>
          </cell>
          <cell r="AD106">
            <v>0.36530398911956119</v>
          </cell>
          <cell r="AE106">
            <v>0.34889962426194315</v>
          </cell>
          <cell r="AF106">
            <v>0.26789851714550511</v>
          </cell>
          <cell r="AG106">
            <v>0.30669813256035788</v>
          </cell>
          <cell r="AH106">
            <v>0.28818541510566237</v>
          </cell>
          <cell r="AI106">
            <v>0.28151586472835355</v>
          </cell>
          <cell r="AJ106">
            <v>0.29819431871008789</v>
          </cell>
          <cell r="AK106">
            <v>0.29182993500551396</v>
          </cell>
          <cell r="AL106">
            <v>0.29013890400029008</v>
          </cell>
          <cell r="AM106">
            <v>0.33120859892513438</v>
          </cell>
          <cell r="AN106">
            <v>0.33988246645031134</v>
          </cell>
          <cell r="AO106">
            <v>0.31580047381554727</v>
          </cell>
          <cell r="AP106">
            <v>0.42816039459261968</v>
          </cell>
          <cell r="AQ106">
            <v>0.35465360843790072</v>
          </cell>
          <cell r="AR106">
            <v>0.33005978951924897</v>
          </cell>
          <cell r="AS106">
            <v>0.32697277331541369</v>
          </cell>
          <cell r="AT106">
            <v>0.37745914633839467</v>
          </cell>
          <cell r="AU106">
            <v>0.35986972715876853</v>
          </cell>
          <cell r="AV106">
            <v>0.34744209928296094</v>
          </cell>
          <cell r="AW106">
            <v>0.30677919410983945</v>
          </cell>
        </row>
        <row r="107">
          <cell r="A107" t="str">
            <v>BOE</v>
          </cell>
          <cell r="C107">
            <v>1.389023826271466</v>
          </cell>
          <cell r="D107">
            <v>1.1047827873151987</v>
          </cell>
          <cell r="E107">
            <v>1.6995708967694363</v>
          </cell>
          <cell r="F107">
            <v>1.4021186192581505</v>
          </cell>
          <cell r="G107">
            <v>1.194202605658224</v>
          </cell>
          <cell r="H107">
            <v>1.3197826401662776</v>
          </cell>
          <cell r="I107">
            <v>1.1479199813370429</v>
          </cell>
          <cell r="J107">
            <v>1.627086107916897</v>
          </cell>
          <cell r="K107">
            <v>1.5041514580241466</v>
          </cell>
          <cell r="L107">
            <v>1.8538816397212325</v>
          </cell>
          <cell r="M107">
            <v>1.5425764307534029</v>
          </cell>
          <cell r="N107">
            <v>1.2637189331286542</v>
          </cell>
          <cell r="O107">
            <v>1.9062445394036633</v>
          </cell>
          <cell r="P107">
            <v>1.7016153006029506</v>
          </cell>
          <cell r="Q107">
            <v>1.5117840105291309</v>
          </cell>
          <cell r="R107">
            <v>1.5711401170146442</v>
          </cell>
          <cell r="S107">
            <v>1.3593045573901805</v>
          </cell>
          <cell r="T107">
            <v>1.6005419125133462</v>
          </cell>
          <cell r="U107">
            <v>1.6492317598201154</v>
          </cell>
          <cell r="V107">
            <v>1.5985742192540053</v>
          </cell>
          <cell r="W107">
            <v>1.5468585779710022</v>
          </cell>
          <cell r="X107">
            <v>1.5063855791536176</v>
          </cell>
          <cell r="Y107">
            <v>1.5319293407942431</v>
          </cell>
          <cell r="Z107">
            <v>1.4155214629792512</v>
          </cell>
          <cell r="AA107">
            <v>1.7426686065261268</v>
          </cell>
          <cell r="AB107">
            <v>1.552519053642931</v>
          </cell>
          <cell r="AC107">
            <v>1.5093517351646339</v>
          </cell>
          <cell r="AD107">
            <v>2.1924638458964014</v>
          </cell>
          <cell r="AE107">
            <v>2.0939677621007173</v>
          </cell>
          <cell r="AF107">
            <v>1.6079941938371813</v>
          </cell>
          <cell r="AG107">
            <v>1.8407808292374568</v>
          </cell>
          <cell r="AH107">
            <v>1.7298344548426716</v>
          </cell>
          <cell r="AI107">
            <v>1.6896488379243646</v>
          </cell>
          <cell r="AJ107">
            <v>1.7899717521039051</v>
          </cell>
          <cell r="AK107">
            <v>1.751877766470292</v>
          </cell>
          <cell r="AL107">
            <v>1.7415820379791087</v>
          </cell>
          <cell r="AM107">
            <v>1.9883139660298434</v>
          </cell>
          <cell r="AN107">
            <v>2.0402835335955718</v>
          </cell>
          <cell r="AO107">
            <v>1.8957041047163972</v>
          </cell>
          <cell r="AP107">
            <v>2.5701097379744566</v>
          </cell>
          <cell r="AQ107">
            <v>2.1289522929982749</v>
          </cell>
          <cell r="AR107">
            <v>1.9812270616129135</v>
          </cell>
          <cell r="AS107">
            <v>1.9627126335469438</v>
          </cell>
          <cell r="AT107">
            <v>2.2658958256911803</v>
          </cell>
          <cell r="AU107">
            <v>2.1601421373526382</v>
          </cell>
          <cell r="AV107">
            <v>2.0855970630255647</v>
          </cell>
          <cell r="AW107">
            <v>1.8413063254195785</v>
          </cell>
        </row>
        <row r="108">
          <cell r="A108" t="str">
            <v>DD&amp;A</v>
          </cell>
        </row>
        <row r="109">
          <cell r="A109" t="str">
            <v>Mcfe</v>
          </cell>
          <cell r="C109">
            <v>0.71110068312894237</v>
          </cell>
          <cell r="D109">
            <v>0.70935764628354214</v>
          </cell>
          <cell r="E109">
            <v>0.71565237558111339</v>
          </cell>
          <cell r="F109">
            <v>0.65881507046304277</v>
          </cell>
          <cell r="G109">
            <v>0.68517864545747686</v>
          </cell>
          <cell r="H109">
            <v>0.69344432810892687</v>
          </cell>
          <cell r="I109">
            <v>0.70696286280798215</v>
          </cell>
          <cell r="J109">
            <v>0.72638163268662526</v>
          </cell>
          <cell r="K109">
            <v>0.70245860511791269</v>
          </cell>
          <cell r="L109">
            <v>0.73718673983141947</v>
          </cell>
          <cell r="M109">
            <v>0.71930153340756009</v>
          </cell>
          <cell r="N109">
            <v>0.74157237555037059</v>
          </cell>
          <cell r="O109">
            <v>0.79203203236673381</v>
          </cell>
          <cell r="P109">
            <v>0.75538900151029342</v>
          </cell>
          <cell r="Q109">
            <v>0.77047690544865455</v>
          </cell>
          <cell r="R109">
            <v>0.76368097801880497</v>
          </cell>
          <cell r="S109">
            <v>0.75147049094076757</v>
          </cell>
          <cell r="T109">
            <v>0.73987150324683137</v>
          </cell>
          <cell r="U109">
            <v>0.73282705999841935</v>
          </cell>
          <cell r="V109">
            <v>0.6934696598648572</v>
          </cell>
          <cell r="W109">
            <v>0.72963392762949675</v>
          </cell>
          <cell r="X109">
            <v>0.65324343374652027</v>
          </cell>
          <cell r="Y109">
            <v>0.72609742468248328</v>
          </cell>
          <cell r="Z109">
            <v>0.72919892546686738</v>
          </cell>
          <cell r="AA109">
            <v>0.72082654777478183</v>
          </cell>
          <cell r="AB109">
            <v>0.70764782218660993</v>
          </cell>
          <cell r="AC109">
            <v>0.74401148795360417</v>
          </cell>
          <cell r="AD109">
            <v>0.7549615775137597</v>
          </cell>
          <cell r="AE109">
            <v>0.78023157733302673</v>
          </cell>
          <cell r="AF109">
            <v>0.78378417516218724</v>
          </cell>
          <cell r="AG109">
            <v>0.7653720561804751</v>
          </cell>
          <cell r="AH109">
            <v>0.7679293708403826</v>
          </cell>
          <cell r="AI109">
            <v>0.78398894886558923</v>
          </cell>
          <cell r="AJ109">
            <v>0.78142203518387132</v>
          </cell>
          <cell r="AK109">
            <v>0.79923273657289007</v>
          </cell>
          <cell r="AL109">
            <v>0.78369040917469668</v>
          </cell>
          <cell r="AM109">
            <v>0.80146231721034866</v>
          </cell>
          <cell r="AN109">
            <v>0.75807886526244561</v>
          </cell>
          <cell r="AO109">
            <v>0.74069565676737459</v>
          </cell>
          <cell r="AP109">
            <v>0.75927109974424556</v>
          </cell>
          <cell r="AQ109">
            <v>0.76424302345153527</v>
          </cell>
          <cell r="AR109">
            <v>0.76427779130481832</v>
          </cell>
          <cell r="AS109">
            <v>0.75964795179744815</v>
          </cell>
          <cell r="AT109">
            <v>0.78637322153832223</v>
          </cell>
          <cell r="AU109">
            <v>0.76472317021238312</v>
          </cell>
          <cell r="AV109">
            <v>0.76829769653156843</v>
          </cell>
          <cell r="AW109">
            <v>0.76068718539480595</v>
          </cell>
        </row>
        <row r="110">
          <cell r="A110" t="str">
            <v>BOE</v>
          </cell>
          <cell r="C110">
            <v>4.2597248831874053</v>
          </cell>
          <cell r="D110">
            <v>4.2412271253384501</v>
          </cell>
          <cell r="E110">
            <v>4.2876112692097781</v>
          </cell>
          <cell r="F110">
            <v>3.9447717036780219</v>
          </cell>
          <cell r="G110">
            <v>4.0993300982690961</v>
          </cell>
          <cell r="H110">
            <v>4.1499302512087644</v>
          </cell>
          <cell r="I110">
            <v>4.2337263827807057</v>
          </cell>
          <cell r="J110">
            <v>4.3553315009896743</v>
          </cell>
          <cell r="K110">
            <v>4.2116240824676101</v>
          </cell>
          <cell r="L110">
            <v>4.4175351072214513</v>
          </cell>
          <cell r="M110">
            <v>4.3106257861524426</v>
          </cell>
          <cell r="N110">
            <v>4.4506030520262376</v>
          </cell>
          <cell r="O110">
            <v>4.7530702660130819</v>
          </cell>
          <cell r="P110">
            <v>4.5332786175430888</v>
          </cell>
          <cell r="Q110">
            <v>4.6242805027949885</v>
          </cell>
          <cell r="R110">
            <v>4.5832117448672962</v>
          </cell>
          <cell r="S110">
            <v>4.5097450386187186</v>
          </cell>
          <cell r="T110">
            <v>4.4402130476176698</v>
          </cell>
          <cell r="U110">
            <v>4.3979513595203077</v>
          </cell>
          <cell r="V110">
            <v>4.1623253256047681</v>
          </cell>
          <cell r="W110">
            <v>4.3789122681130364</v>
          </cell>
          <cell r="X110">
            <v>3.9208759400665087</v>
          </cell>
          <cell r="Y110">
            <v>4.3577179221241646</v>
          </cell>
          <cell r="Z110">
            <v>4.3762304771495932</v>
          </cell>
          <cell r="AA110">
            <v>4.3266255058579706</v>
          </cell>
          <cell r="AB110">
            <v>4.2472112157740112</v>
          </cell>
          <cell r="AC110">
            <v>4.4655992716250204</v>
          </cell>
          <cell r="AD110">
            <v>4.531091948185896</v>
          </cell>
          <cell r="AE110">
            <v>4.6826641712911652</v>
          </cell>
          <cell r="AF110">
            <v>4.7044694995371588</v>
          </cell>
          <cell r="AG110">
            <v>4.5937097708731756</v>
          </cell>
          <cell r="AH110">
            <v>4.6095000473160601</v>
          </cell>
          <cell r="AI110">
            <v>4.7054755428242485</v>
          </cell>
          <cell r="AJ110">
            <v>4.6906439247440801</v>
          </cell>
          <cell r="AK110">
            <v>4.7978561946045684</v>
          </cell>
          <cell r="AL110">
            <v>4.7041645264979186</v>
          </cell>
          <cell r="AM110">
            <v>4.8113446442137251</v>
          </cell>
          <cell r="AN110">
            <v>4.5506784804620128</v>
          </cell>
          <cell r="AO110">
            <v>4.4462878092439135</v>
          </cell>
          <cell r="AP110">
            <v>4.5576612686747033</v>
          </cell>
          <cell r="AQ110">
            <v>4.5876790718455966</v>
          </cell>
          <cell r="AR110">
            <v>4.5876774172594112</v>
          </cell>
          <cell r="AS110">
            <v>4.5599228856974259</v>
          </cell>
          <cell r="AT110">
            <v>4.7206163035232924</v>
          </cell>
          <cell r="AU110">
            <v>4.5903020418743559</v>
          </cell>
          <cell r="AV110">
            <v>4.6118746770251509</v>
          </cell>
          <cell r="AW110">
            <v>4.5656881334383428</v>
          </cell>
        </row>
        <row r="111">
          <cell r="A111" t="str">
            <v>Net Interest Expense</v>
          </cell>
        </row>
        <row r="112">
          <cell r="A112" t="str">
            <v>Mcfe</v>
          </cell>
          <cell r="C112">
            <v>0.19032569183294371</v>
          </cell>
          <cell r="D112">
            <v>0.14636390668070368</v>
          </cell>
          <cell r="E112">
            <v>0.18326815024087875</v>
          </cell>
          <cell r="F112">
            <v>0.16534368708656885</v>
          </cell>
          <cell r="G112">
            <v>0.13818728984016337</v>
          </cell>
          <cell r="H112">
            <v>0.1557241275027092</v>
          </cell>
          <cell r="I112">
            <v>0.14427813526693514</v>
          </cell>
          <cell r="J112">
            <v>0.18365120524529771</v>
          </cell>
          <cell r="K112">
            <v>0.1630707476166583</v>
          </cell>
          <cell r="L112">
            <v>0.11490920405046107</v>
          </cell>
          <cell r="M112">
            <v>0.14716744016844333</v>
          </cell>
          <cell r="N112">
            <v>0.13615669735399116</v>
          </cell>
          <cell r="O112">
            <v>0.16509374817143002</v>
          </cell>
          <cell r="P112">
            <v>0.12292334655176591</v>
          </cell>
          <cell r="Q112">
            <v>0.11524227218249107</v>
          </cell>
          <cell r="R112">
            <v>0.13369244543867206</v>
          </cell>
          <cell r="S112">
            <v>0.11048766425864258</v>
          </cell>
          <cell r="T112">
            <v>0.11528230399427372</v>
          </cell>
          <cell r="U112">
            <v>0.12752627759776416</v>
          </cell>
          <cell r="V112">
            <v>8.8777516842602489E-2</v>
          </cell>
          <cell r="W112">
            <v>0.11019727819390231</v>
          </cell>
          <cell r="X112">
            <v>0.14239638882757935</v>
          </cell>
          <cell r="Y112">
            <v>0.15522272736680165</v>
          </cell>
          <cell r="Z112">
            <v>0.17104666152926518</v>
          </cell>
          <cell r="AA112">
            <v>0.16852657714178926</v>
          </cell>
          <cell r="AB112">
            <v>0.15938406333556876</v>
          </cell>
          <cell r="AC112">
            <v>0.15608632614411277</v>
          </cell>
          <cell r="AD112">
            <v>0.1798419638742455</v>
          </cell>
          <cell r="AE112">
            <v>0.18595199754620045</v>
          </cell>
          <cell r="AF112">
            <v>0.18463276181649674</v>
          </cell>
          <cell r="AG112">
            <v>0.17623698662050416</v>
          </cell>
          <cell r="AH112">
            <v>0.15595916582188785</v>
          </cell>
          <cell r="AI112">
            <v>0.1309376115015598</v>
          </cell>
          <cell r="AJ112">
            <v>0.17432898632282059</v>
          </cell>
          <cell r="AK112">
            <v>0.18037729651094583</v>
          </cell>
          <cell r="AL112">
            <v>0.16123208116320473</v>
          </cell>
          <cell r="AM112">
            <v>0.19372578427696541</v>
          </cell>
          <cell r="AN112">
            <v>0.21614645331863119</v>
          </cell>
          <cell r="AO112">
            <v>0.21531850487423679</v>
          </cell>
          <cell r="AP112">
            <v>0.23691541834124957</v>
          </cell>
          <cell r="AQ112">
            <v>0.21600609660390582</v>
          </cell>
          <cell r="AR112">
            <v>0.25160295430565704</v>
          </cell>
          <cell r="AS112">
            <v>0.26073259941099797</v>
          </cell>
          <cell r="AT112">
            <v>0.26736689532302954</v>
          </cell>
          <cell r="AU112">
            <v>0.26990229536907639</v>
          </cell>
          <cell r="AV112">
            <v>0.26203530709520378</v>
          </cell>
          <cell r="AW112">
            <v>0.25043199519170567</v>
          </cell>
        </row>
        <row r="113">
          <cell r="A113" t="str">
            <v>BOE</v>
          </cell>
          <cell r="C113">
            <v>1.1401129328737256</v>
          </cell>
          <cell r="D113">
            <v>0.87510520882801168</v>
          </cell>
          <cell r="E113">
            <v>1.0979947989720049</v>
          </cell>
          <cell r="F113">
            <v>0.99002455687977242</v>
          </cell>
          <cell r="G113">
            <v>0.82675565007107821</v>
          </cell>
          <cell r="H113">
            <v>0.93193388621252238</v>
          </cell>
          <cell r="I113">
            <v>0.86402579240422572</v>
          </cell>
          <cell r="J113">
            <v>1.1011592851558798</v>
          </cell>
          <cell r="K113">
            <v>0.97769844771569525</v>
          </cell>
          <cell r="L113">
            <v>0.68858460903931495</v>
          </cell>
          <cell r="M113">
            <v>0.88194412636222386</v>
          </cell>
          <cell r="N113">
            <v>0.8171547818886159</v>
          </cell>
          <cell r="O113">
            <v>0.99074551719006199</v>
          </cell>
          <cell r="P113">
            <v>0.73769379406613711</v>
          </cell>
          <cell r="Q113">
            <v>0.69166588717019062</v>
          </cell>
          <cell r="R113">
            <v>0.80235177223369814</v>
          </cell>
          <cell r="S113">
            <v>0.66306155960322177</v>
          </cell>
          <cell r="T113">
            <v>0.6918471492799626</v>
          </cell>
          <cell r="U113">
            <v>0.76532977089691623</v>
          </cell>
          <cell r="V113">
            <v>0.53285807308466837</v>
          </cell>
          <cell r="W113">
            <v>0.66135111748939501</v>
          </cell>
          <cell r="X113">
            <v>0.85468685342049233</v>
          </cell>
          <cell r="Y113">
            <v>0.93157865318568844</v>
          </cell>
          <cell r="Z113">
            <v>1.0265231983437317</v>
          </cell>
          <cell r="AA113">
            <v>1.0115490187306828</v>
          </cell>
          <cell r="AB113">
            <v>0.95660264921433125</v>
          </cell>
          <cell r="AC113">
            <v>0.93683900803322107</v>
          </cell>
          <cell r="AD113">
            <v>1.0793668164413053</v>
          </cell>
          <cell r="AE113">
            <v>1.1160157852954373</v>
          </cell>
          <cell r="AF113">
            <v>1.1082122146715709</v>
          </cell>
          <cell r="AG113">
            <v>1.0577621182931656</v>
          </cell>
          <cell r="AH113">
            <v>0.9361457049736811</v>
          </cell>
          <cell r="AI113">
            <v>0.7858831804299371</v>
          </cell>
          <cell r="AJ113">
            <v>1.0464450243068986</v>
          </cell>
          <cell r="AK113">
            <v>1.0828189209841503</v>
          </cell>
          <cell r="AL113">
            <v>0.96780849664871682</v>
          </cell>
          <cell r="AM113">
            <v>1.1629760933382103</v>
          </cell>
          <cell r="AN113">
            <v>1.2975075006275989</v>
          </cell>
          <cell r="AO113">
            <v>1.2925255259429982</v>
          </cell>
          <cell r="AP113">
            <v>1.4221273883458661</v>
          </cell>
          <cell r="AQ113">
            <v>1.2966643049030588</v>
          </cell>
          <cell r="AR113">
            <v>1.5102796453278771</v>
          </cell>
          <cell r="AS113">
            <v>1.5650941258887268</v>
          </cell>
          <cell r="AT113">
            <v>1.6050095431979194</v>
          </cell>
          <cell r="AU113">
            <v>1.6201066030144784</v>
          </cell>
          <cell r="AV113">
            <v>1.5729241448132136</v>
          </cell>
          <cell r="AW113">
            <v>1.5031072044241456</v>
          </cell>
        </row>
      </sheetData>
      <sheetData sheetId="3" refreshError="1">
        <row r="3">
          <cell r="B3" t="str">
            <v>ANADARKO PETROLEUM CORP.</v>
          </cell>
          <cell r="F3" t="str">
            <v>APC</v>
          </cell>
        </row>
        <row r="5">
          <cell r="D5">
            <v>1980</v>
          </cell>
          <cell r="E5">
            <v>1981</v>
          </cell>
          <cell r="F5">
            <v>1982</v>
          </cell>
          <cell r="G5">
            <v>1983</v>
          </cell>
          <cell r="H5">
            <v>1984</v>
          </cell>
          <cell r="I5">
            <v>1985</v>
          </cell>
          <cell r="J5">
            <v>1986</v>
          </cell>
          <cell r="K5">
            <v>1987</v>
          </cell>
          <cell r="L5">
            <v>1988</v>
          </cell>
          <cell r="M5">
            <v>1989</v>
          </cell>
          <cell r="N5">
            <v>1990</v>
          </cell>
          <cell r="O5">
            <v>1991</v>
          </cell>
          <cell r="P5">
            <v>1992</v>
          </cell>
          <cell r="Q5">
            <v>1993</v>
          </cell>
          <cell r="R5" t="str">
            <v>1994</v>
          </cell>
          <cell r="S5">
            <v>1995</v>
          </cell>
          <cell r="T5" t="str">
            <v>1996</v>
          </cell>
          <cell r="U5" t="str">
            <v>1997</v>
          </cell>
          <cell r="V5" t="str">
            <v>1998</v>
          </cell>
          <cell r="W5" t="str">
            <v>1999E</v>
          </cell>
        </row>
        <row r="6">
          <cell r="B6" t="str">
            <v>SHARE PRICE RANGE:</v>
          </cell>
          <cell r="C6" t="str">
            <v>HIGH</v>
          </cell>
          <cell r="J6">
            <v>11.5</v>
          </cell>
          <cell r="K6">
            <v>17.4375</v>
          </cell>
          <cell r="L6">
            <v>14</v>
          </cell>
          <cell r="M6">
            <v>19.25</v>
          </cell>
          <cell r="N6">
            <v>19.9375</v>
          </cell>
          <cell r="O6">
            <v>16.5625</v>
          </cell>
          <cell r="P6">
            <v>16.4375</v>
          </cell>
          <cell r="Q6">
            <v>25.875</v>
          </cell>
          <cell r="R6">
            <v>29.25</v>
          </cell>
          <cell r="S6">
            <v>27.0625</v>
          </cell>
          <cell r="T6">
            <v>34.4375</v>
          </cell>
          <cell r="U6">
            <v>38.375</v>
          </cell>
          <cell r="V6">
            <v>44.88</v>
          </cell>
          <cell r="W6">
            <v>44.875</v>
          </cell>
        </row>
        <row r="7">
          <cell r="C7" t="str">
            <v xml:space="preserve">LOW </v>
          </cell>
          <cell r="J7">
            <v>9.1875</v>
          </cell>
          <cell r="K7">
            <v>9.625</v>
          </cell>
          <cell r="L7">
            <v>11</v>
          </cell>
          <cell r="M7">
            <v>12.25</v>
          </cell>
          <cell r="N7">
            <v>14.3125</v>
          </cell>
          <cell r="O7">
            <v>10.75</v>
          </cell>
          <cell r="P7">
            <v>9.25</v>
          </cell>
          <cell r="Q7">
            <v>12.815</v>
          </cell>
          <cell r="R7">
            <v>18.5</v>
          </cell>
          <cell r="S7">
            <v>17.6875</v>
          </cell>
          <cell r="T7">
            <v>23.375</v>
          </cell>
          <cell r="U7">
            <v>25.375</v>
          </cell>
          <cell r="V7">
            <v>24.75</v>
          </cell>
          <cell r="W7">
            <v>24.75</v>
          </cell>
        </row>
        <row r="9">
          <cell r="B9" t="str">
            <v>US CRUDE WELLHEAD</v>
          </cell>
          <cell r="D9">
            <v>21.59</v>
          </cell>
          <cell r="E9">
            <v>31.77</v>
          </cell>
          <cell r="F9">
            <v>28.52</v>
          </cell>
          <cell r="G9">
            <v>26.19</v>
          </cell>
          <cell r="H9">
            <v>25.88</v>
          </cell>
          <cell r="I9">
            <v>24.09</v>
          </cell>
          <cell r="J9">
            <v>15.1</v>
          </cell>
          <cell r="K9">
            <v>19.2</v>
          </cell>
          <cell r="L9">
            <v>15.98</v>
          </cell>
          <cell r="M9">
            <v>19.78</v>
          </cell>
          <cell r="N9">
            <v>24.47</v>
          </cell>
          <cell r="O9">
            <v>21.6</v>
          </cell>
          <cell r="P9">
            <v>20.54</v>
          </cell>
          <cell r="Q9">
            <v>18.489999999999998</v>
          </cell>
          <cell r="R9">
            <v>17.28</v>
          </cell>
          <cell r="S9">
            <v>18.5</v>
          </cell>
          <cell r="T9">
            <v>20.5</v>
          </cell>
          <cell r="U9">
            <v>20.5</v>
          </cell>
        </row>
        <row r="10">
          <cell r="B10" t="str">
            <v>US NAT. GAS AT WELLHEAD</v>
          </cell>
          <cell r="D10">
            <v>1.59</v>
          </cell>
          <cell r="E10">
            <v>1.98</v>
          </cell>
          <cell r="F10">
            <v>2.46</v>
          </cell>
          <cell r="G10">
            <v>2.59</v>
          </cell>
          <cell r="H10">
            <v>2.66</v>
          </cell>
          <cell r="I10">
            <v>2.5099999999999998</v>
          </cell>
          <cell r="J10">
            <v>1.63</v>
          </cell>
          <cell r="K10">
            <v>1.46</v>
          </cell>
          <cell r="L10">
            <v>1.59</v>
          </cell>
          <cell r="M10">
            <v>1.58</v>
          </cell>
          <cell r="N10">
            <v>1.59</v>
          </cell>
          <cell r="O10">
            <v>1.37</v>
          </cell>
          <cell r="P10">
            <v>1.62</v>
          </cell>
          <cell r="Q10">
            <v>1.96</v>
          </cell>
          <cell r="R10">
            <v>1.75</v>
          </cell>
          <cell r="S10">
            <v>1.65</v>
          </cell>
          <cell r="T10">
            <v>1.95</v>
          </cell>
          <cell r="U10">
            <v>1.95</v>
          </cell>
        </row>
        <row r="12">
          <cell r="B12" t="str">
            <v>COMMODITY PRICE</v>
          </cell>
        </row>
        <row r="13">
          <cell r="B13" t="str">
            <v>OIL ( $/Bbl)</v>
          </cell>
          <cell r="J13">
            <v>14.35</v>
          </cell>
          <cell r="K13">
            <v>17.25</v>
          </cell>
          <cell r="L13">
            <v>14.51</v>
          </cell>
          <cell r="M13">
            <v>17.89</v>
          </cell>
          <cell r="N13">
            <v>23.27</v>
          </cell>
          <cell r="O13">
            <v>19.68</v>
          </cell>
          <cell r="P13">
            <v>18.34</v>
          </cell>
          <cell r="Q13">
            <v>16.350000000000001</v>
          </cell>
          <cell r="R13">
            <v>15.02</v>
          </cell>
          <cell r="S13">
            <v>16.52</v>
          </cell>
          <cell r="T13">
            <v>20.212499999999999</v>
          </cell>
          <cell r="U13">
            <v>18.130000000000003</v>
          </cell>
          <cell r="V13">
            <v>11.690910651115548</v>
          </cell>
          <cell r="W13">
            <v>15.688289473684209</v>
          </cell>
        </row>
        <row r="14">
          <cell r="B14" t="str">
            <v>NGL ($/Bbl)</v>
          </cell>
          <cell r="J14">
            <v>11.34</v>
          </cell>
          <cell r="K14">
            <v>12.18</v>
          </cell>
          <cell r="L14">
            <v>9.66</v>
          </cell>
          <cell r="M14">
            <v>10.5</v>
          </cell>
          <cell r="N14">
            <v>16.38</v>
          </cell>
          <cell r="O14">
            <v>14.07</v>
          </cell>
          <cell r="P14">
            <v>13.16</v>
          </cell>
          <cell r="Q14">
            <v>13.76</v>
          </cell>
          <cell r="R14">
            <v>12.074999999999999</v>
          </cell>
          <cell r="S14">
            <v>13.07031843575419</v>
          </cell>
          <cell r="T14">
            <v>16.575000000000003</v>
          </cell>
          <cell r="U14">
            <v>14.504000000000003</v>
          </cell>
          <cell r="V14">
            <v>10.059043869252424</v>
          </cell>
          <cell r="W14">
            <v>12.889914592484137</v>
          </cell>
        </row>
        <row r="15">
          <cell r="B15" t="str">
            <v>GAS ($/Mcf)</v>
          </cell>
          <cell r="J15">
            <v>1.58</v>
          </cell>
          <cell r="K15">
            <v>1.54</v>
          </cell>
          <cell r="L15">
            <v>1.74</v>
          </cell>
          <cell r="M15">
            <v>1.65</v>
          </cell>
          <cell r="N15">
            <v>1.62</v>
          </cell>
          <cell r="O15">
            <v>1.51</v>
          </cell>
          <cell r="P15">
            <v>1.73</v>
          </cell>
          <cell r="Q15">
            <v>1.92</v>
          </cell>
          <cell r="R15">
            <v>1.7161918421226738</v>
          </cell>
          <cell r="S15">
            <v>1.4195577933450088</v>
          </cell>
          <cell r="T15">
            <v>2.1236751967173104</v>
          </cell>
          <cell r="U15">
            <v>2.2989356047239022</v>
          </cell>
          <cell r="V15">
            <v>1.9220855601655054</v>
          </cell>
          <cell r="W15">
            <v>2.0539876293070156</v>
          </cell>
        </row>
        <row r="17">
          <cell r="B17" t="str">
            <v>PRODUCTION VOLUME</v>
          </cell>
        </row>
        <row r="18">
          <cell r="B18" t="str">
            <v>OIL (MMBbls)</v>
          </cell>
          <cell r="J18">
            <v>4.641</v>
          </cell>
          <cell r="K18">
            <v>3.9140000000000001</v>
          </cell>
          <cell r="L18">
            <v>4.0039999999999996</v>
          </cell>
          <cell r="M18">
            <v>4.0549999999999997</v>
          </cell>
          <cell r="N18">
            <v>4.5990000000000002</v>
          </cell>
          <cell r="O18">
            <v>4.5590000000000002</v>
          </cell>
          <cell r="P18">
            <v>4.4000000000000004</v>
          </cell>
          <cell r="Q18">
            <v>7.9</v>
          </cell>
          <cell r="R18">
            <v>8.3030000000000008</v>
          </cell>
          <cell r="S18">
            <v>7.4550000000000001</v>
          </cell>
          <cell r="T18">
            <v>6.7010743251313896</v>
          </cell>
          <cell r="U18">
            <v>9.0349999999999984</v>
          </cell>
          <cell r="V18">
            <v>11.050239999999999</v>
          </cell>
          <cell r="W18">
            <v>13.863</v>
          </cell>
        </row>
        <row r="19">
          <cell r="B19" t="str">
            <v>NGL (MMBbls)</v>
          </cell>
          <cell r="J19">
            <v>0.747</v>
          </cell>
          <cell r="K19">
            <v>0.82899999999999996</v>
          </cell>
          <cell r="L19">
            <v>0.85899999999999999</v>
          </cell>
          <cell r="M19">
            <v>0.876</v>
          </cell>
          <cell r="N19">
            <v>1.504</v>
          </cell>
          <cell r="O19">
            <v>1.9570000000000001</v>
          </cell>
          <cell r="P19">
            <v>2.2000000000000002</v>
          </cell>
          <cell r="Q19">
            <v>2.2999999999999998</v>
          </cell>
          <cell r="R19">
            <v>3</v>
          </cell>
          <cell r="S19">
            <v>3.58</v>
          </cell>
          <cell r="T19">
            <v>3.5129999999999999</v>
          </cell>
          <cell r="U19">
            <v>5.452</v>
          </cell>
          <cell r="V19">
            <v>6.4769999999999994</v>
          </cell>
          <cell r="W19">
            <v>6.2302</v>
          </cell>
        </row>
        <row r="20">
          <cell r="B20" t="str">
            <v>GAS (Bcf)</v>
          </cell>
          <cell r="J20">
            <v>78.745999999999995</v>
          </cell>
          <cell r="K20">
            <v>95.906999999999996</v>
          </cell>
          <cell r="L20">
            <v>130.81899999999999</v>
          </cell>
          <cell r="M20">
            <v>143.89699999999999</v>
          </cell>
          <cell r="N20">
            <v>150.34800000000001</v>
          </cell>
          <cell r="O20">
            <v>137.80000000000001</v>
          </cell>
          <cell r="P20">
            <v>145.9</v>
          </cell>
          <cell r="Q20">
            <v>162</v>
          </cell>
          <cell r="R20">
            <v>175.75700000000001</v>
          </cell>
          <cell r="S20">
            <v>171.3</v>
          </cell>
          <cell r="T20">
            <v>164.89999999999998</v>
          </cell>
          <cell r="U20">
            <v>178.744</v>
          </cell>
          <cell r="V20">
            <v>176.67099999999999</v>
          </cell>
          <cell r="W20">
            <v>168.30099999999999</v>
          </cell>
        </row>
        <row r="21">
          <cell r="B21" t="str">
            <v>MCFE Commodity Price</v>
          </cell>
          <cell r="J21">
            <v>1.7959919513117382</v>
          </cell>
          <cell r="K21">
            <v>1.811687371848993</v>
          </cell>
          <cell r="L21">
            <v>1.8376659562366795</v>
          </cell>
          <cell r="M21">
            <v>1.8397883366093506</v>
          </cell>
          <cell r="N21">
            <v>2.0068783094252431</v>
          </cell>
          <cell r="O21">
            <v>1.8391264358719248</v>
          </cell>
          <cell r="P21">
            <v>1.95177897574124</v>
          </cell>
          <cell r="Q21">
            <v>2.1140367383512544</v>
          </cell>
          <cell r="R21">
            <v>1.8990815543301027</v>
          </cell>
          <cell r="S21">
            <v>1.7393734579596649</v>
          </cell>
          <cell r="T21">
            <v>2.4045308573239987</v>
          </cell>
          <cell r="U21">
            <v>2.4609897530386622</v>
          </cell>
          <cell r="V21">
            <v>1.894433390236236</v>
          </cell>
          <cell r="W21">
            <v>2.2276577904044199</v>
          </cell>
        </row>
        <row r="24">
          <cell r="B24" t="str">
            <v>SHARES OUTSTANDING</v>
          </cell>
          <cell r="E24">
            <v>40.1</v>
          </cell>
          <cell r="F24">
            <v>41</v>
          </cell>
          <cell r="G24">
            <v>41.9</v>
          </cell>
          <cell r="H24">
            <v>43</v>
          </cell>
          <cell r="I24">
            <v>44.1</v>
          </cell>
          <cell r="J24">
            <v>97.8</v>
          </cell>
          <cell r="K24">
            <v>103.4</v>
          </cell>
          <cell r="L24">
            <v>104</v>
          </cell>
          <cell r="M24">
            <v>104.4</v>
          </cell>
          <cell r="N24">
            <v>106</v>
          </cell>
          <cell r="O24">
            <v>110</v>
          </cell>
          <cell r="P24">
            <v>110.2</v>
          </cell>
          <cell r="Q24">
            <v>114.4</v>
          </cell>
          <cell r="R24">
            <v>114.8</v>
          </cell>
          <cell r="S24">
            <v>117.45</v>
          </cell>
          <cell r="T24">
            <v>118.55000000000001</v>
          </cell>
          <cell r="U24">
            <v>119.25</v>
          </cell>
          <cell r="V24">
            <v>120.02500000000001</v>
          </cell>
          <cell r="W24">
            <v>124.825</v>
          </cell>
        </row>
        <row r="26">
          <cell r="B26" t="str">
            <v>RESERVES (proven)</v>
          </cell>
        </row>
        <row r="27">
          <cell r="B27" t="str">
            <v>OIL (MMBbls)</v>
          </cell>
          <cell r="E27">
            <v>17.538</v>
          </cell>
          <cell r="F27">
            <v>19.393000000000001</v>
          </cell>
          <cell r="G27">
            <v>20.742000000000001</v>
          </cell>
          <cell r="H27">
            <v>22.707000000000001</v>
          </cell>
          <cell r="I27">
            <v>21.954000000000001</v>
          </cell>
          <cell r="J27">
            <v>20.076000000000001</v>
          </cell>
          <cell r="K27">
            <v>19.452000000000002</v>
          </cell>
          <cell r="L27">
            <v>21.773</v>
          </cell>
          <cell r="M27">
            <v>28.353999999999999</v>
          </cell>
          <cell r="N27">
            <v>32.594999999999999</v>
          </cell>
          <cell r="O27">
            <v>45.756</v>
          </cell>
          <cell r="P27">
            <v>80.322000000000003</v>
          </cell>
          <cell r="Q27">
            <v>78.5</v>
          </cell>
          <cell r="R27">
            <v>157.4</v>
          </cell>
          <cell r="S27">
            <v>219</v>
          </cell>
          <cell r="T27">
            <v>298</v>
          </cell>
          <cell r="U27">
            <v>419.7</v>
          </cell>
          <cell r="V27">
            <v>494</v>
          </cell>
          <cell r="W27">
            <v>508.82</v>
          </cell>
        </row>
        <row r="28">
          <cell r="B28" t="str">
            <v>GAS (Bcf)</v>
          </cell>
          <cell r="E28">
            <v>1328.6</v>
          </cell>
          <cell r="F28">
            <v>1370.366</v>
          </cell>
          <cell r="G28">
            <v>1376.7570000000001</v>
          </cell>
          <cell r="H28">
            <v>1402.383</v>
          </cell>
          <cell r="I28">
            <v>1514.1220000000001</v>
          </cell>
          <cell r="J28">
            <v>1756.712</v>
          </cell>
          <cell r="K28">
            <v>1771.9860000000001</v>
          </cell>
          <cell r="L28">
            <v>1761.771</v>
          </cell>
          <cell r="M28">
            <v>1729.029</v>
          </cell>
          <cell r="N28">
            <v>1704.2639999999999</v>
          </cell>
          <cell r="O28">
            <v>1744.173</v>
          </cell>
          <cell r="P28">
            <v>1726</v>
          </cell>
          <cell r="Q28">
            <v>1880</v>
          </cell>
          <cell r="R28">
            <v>1910</v>
          </cell>
          <cell r="S28">
            <v>1843</v>
          </cell>
          <cell r="T28">
            <v>1821</v>
          </cell>
          <cell r="U28">
            <v>1730</v>
          </cell>
          <cell r="V28">
            <v>2647</v>
          </cell>
          <cell r="W28">
            <v>2726.41</v>
          </cell>
        </row>
        <row r="29">
          <cell r="J29">
            <v>1877.1679999999999</v>
          </cell>
          <cell r="K29">
            <v>1888.6980000000001</v>
          </cell>
          <cell r="L29">
            <v>1892.4089999999999</v>
          </cell>
          <cell r="M29">
            <v>1899.153</v>
          </cell>
          <cell r="N29">
            <v>1899.8339999999998</v>
          </cell>
          <cell r="O29">
            <v>2018.7090000000001</v>
          </cell>
          <cell r="P29">
            <v>2207.9319999999998</v>
          </cell>
          <cell r="Q29">
            <v>2351</v>
          </cell>
          <cell r="R29">
            <v>2854.4</v>
          </cell>
          <cell r="S29">
            <v>3157</v>
          </cell>
          <cell r="T29">
            <v>3609</v>
          </cell>
          <cell r="U29">
            <v>4248.2</v>
          </cell>
          <cell r="V29">
            <v>5611</v>
          </cell>
        </row>
        <row r="31">
          <cell r="B31" t="str">
            <v>HIGH MARKET MCFe VALUE ($/MCFe)</v>
          </cell>
          <cell r="J31">
            <v>0.85208782591648702</v>
          </cell>
          <cell r="K31">
            <v>1.2312754606612595</v>
          </cell>
          <cell r="L31">
            <v>1.026537075230566</v>
          </cell>
          <cell r="M31">
            <v>1.3125682870205824</v>
          </cell>
          <cell r="N31">
            <v>1.3304941379088913</v>
          </cell>
          <cell r="O31">
            <v>1.1128498461145218</v>
          </cell>
          <cell r="P31">
            <v>1.106801069960488</v>
          </cell>
          <cell r="Q31">
            <v>1.5108566567418122</v>
          </cell>
          <cell r="R31">
            <v>1.3945666339686098</v>
          </cell>
          <cell r="S31">
            <v>1.2148877494456762</v>
          </cell>
          <cell r="T31">
            <v>1.3297350027708508</v>
          </cell>
          <cell r="U31">
            <v>1.3001534179181771</v>
          </cell>
          <cell r="V31">
            <v>1.2481224380680807</v>
          </cell>
          <cell r="W31">
            <v>1.2723580198742761</v>
          </cell>
        </row>
        <row r="32">
          <cell r="B32" t="str">
            <v>LOW MARKET MCFe VALUE ($/MCFe)</v>
          </cell>
          <cell r="J32">
            <v>0.73160713372484509</v>
          </cell>
          <cell r="K32">
            <v>0.80356679575029988</v>
          </cell>
          <cell r="L32">
            <v>0.86166785298526916</v>
          </cell>
          <cell r="M32">
            <v>0.92776516689282018</v>
          </cell>
          <cell r="N32">
            <v>1.0166509284495384</v>
          </cell>
          <cell r="O32">
            <v>0.79612514730949335</v>
          </cell>
          <cell r="P32">
            <v>0.74806606362877126</v>
          </cell>
          <cell r="Q32">
            <v>0.87535516801361124</v>
          </cell>
          <cell r="R32">
            <v>0.96221657791479798</v>
          </cell>
          <cell r="S32">
            <v>0.86610924136838763</v>
          </cell>
          <cell r="T32">
            <v>0.96634919645331119</v>
          </cell>
          <cell r="U32">
            <v>0.93523415799632781</v>
          </cell>
          <cell r="V32">
            <v>0.81752125289609701</v>
          </cell>
          <cell r="W32">
            <v>0.83768771639619133</v>
          </cell>
        </row>
        <row r="34">
          <cell r="B34" t="str">
            <v>BALANCE SHEET ITEMS</v>
          </cell>
        </row>
        <row r="35">
          <cell r="B35" t="str">
            <v>CASH &amp; EQUIVALENTS</v>
          </cell>
          <cell r="E35">
            <v>4.4000000000000004</v>
          </cell>
          <cell r="F35">
            <v>17.600000000000001</v>
          </cell>
          <cell r="G35">
            <v>3.8</v>
          </cell>
          <cell r="H35">
            <v>4.3</v>
          </cell>
          <cell r="I35">
            <v>2.9</v>
          </cell>
          <cell r="J35">
            <v>10.343</v>
          </cell>
          <cell r="K35">
            <v>7.2240000000000002</v>
          </cell>
          <cell r="L35">
            <v>6.2720000000000002</v>
          </cell>
          <cell r="M35">
            <v>9.452</v>
          </cell>
          <cell r="N35">
            <v>13.007999999999999</v>
          </cell>
          <cell r="O35">
            <v>14.983000000000001</v>
          </cell>
          <cell r="P35">
            <v>14.833</v>
          </cell>
          <cell r="Q35">
            <v>17.798999999999999</v>
          </cell>
          <cell r="R35">
            <v>6.53</v>
          </cell>
          <cell r="S35">
            <v>17.09</v>
          </cell>
          <cell r="T35">
            <v>14.601000000000001</v>
          </cell>
          <cell r="U35">
            <v>8.907</v>
          </cell>
          <cell r="V35">
            <v>8.907</v>
          </cell>
          <cell r="W35">
            <v>8.907</v>
          </cell>
        </row>
        <row r="36">
          <cell r="B36" t="str">
            <v>CURRENT PORTION OF LTD</v>
          </cell>
          <cell r="E36">
            <v>2.6</v>
          </cell>
          <cell r="F36">
            <v>6</v>
          </cell>
          <cell r="G36">
            <v>7.2</v>
          </cell>
          <cell r="H36">
            <v>7.6</v>
          </cell>
          <cell r="I36">
            <v>7.6</v>
          </cell>
          <cell r="J36">
            <v>0</v>
          </cell>
          <cell r="K36">
            <v>0</v>
          </cell>
          <cell r="L36">
            <v>0</v>
          </cell>
          <cell r="M36">
            <v>0.22</v>
          </cell>
          <cell r="N36">
            <v>0.23799999999999999</v>
          </cell>
          <cell r="O36">
            <v>0</v>
          </cell>
          <cell r="P36">
            <v>0</v>
          </cell>
          <cell r="Q36">
            <v>0</v>
          </cell>
          <cell r="R36">
            <v>0</v>
          </cell>
          <cell r="S36">
            <v>0</v>
          </cell>
          <cell r="T36">
            <v>0</v>
          </cell>
          <cell r="U36">
            <v>0</v>
          </cell>
          <cell r="V36">
            <v>0</v>
          </cell>
          <cell r="W36">
            <v>0</v>
          </cell>
        </row>
        <row r="37">
          <cell r="B37" t="str">
            <v>NOTES PAYABLE</v>
          </cell>
          <cell r="E37">
            <v>11.5</v>
          </cell>
          <cell r="F37">
            <v>2.4</v>
          </cell>
          <cell r="G37">
            <v>0.8</v>
          </cell>
          <cell r="H37">
            <v>4.4000000000000004</v>
          </cell>
          <cell r="I37">
            <v>0</v>
          </cell>
          <cell r="J37">
            <v>0</v>
          </cell>
          <cell r="K37">
            <v>9.75</v>
          </cell>
          <cell r="L37">
            <v>0</v>
          </cell>
          <cell r="M37">
            <v>0</v>
          </cell>
          <cell r="N37">
            <v>0</v>
          </cell>
          <cell r="O37">
            <v>0</v>
          </cell>
          <cell r="P37">
            <v>0</v>
          </cell>
          <cell r="Q37">
            <v>0</v>
          </cell>
          <cell r="R37">
            <v>0</v>
          </cell>
          <cell r="S37">
            <v>0</v>
          </cell>
          <cell r="T37">
            <v>0</v>
          </cell>
          <cell r="U37">
            <v>0</v>
          </cell>
          <cell r="V37">
            <v>0</v>
          </cell>
          <cell r="W37">
            <v>0</v>
          </cell>
        </row>
        <row r="38">
          <cell r="B38" t="str">
            <v>PREFERRED STOCK</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200</v>
          </cell>
          <cell r="W38">
            <v>200</v>
          </cell>
        </row>
        <row r="39">
          <cell r="B39" t="str">
            <v>TOTAL LONG-TERM DEBT</v>
          </cell>
          <cell r="E39">
            <v>300</v>
          </cell>
          <cell r="F39">
            <v>362.2</v>
          </cell>
          <cell r="G39">
            <v>372.8</v>
          </cell>
          <cell r="H39">
            <v>387.5</v>
          </cell>
          <cell r="I39">
            <v>416.9</v>
          </cell>
          <cell r="J39">
            <v>485.15499999999997</v>
          </cell>
          <cell r="K39">
            <v>519.94399999999996</v>
          </cell>
          <cell r="L39">
            <v>492.9</v>
          </cell>
          <cell r="M39">
            <v>492.3</v>
          </cell>
          <cell r="N39">
            <v>427.113</v>
          </cell>
          <cell r="O39">
            <v>439.62799999999999</v>
          </cell>
          <cell r="P39">
            <v>647.16200000000003</v>
          </cell>
          <cell r="Q39">
            <v>609.72299999999996</v>
          </cell>
          <cell r="R39">
            <v>629.28099999999995</v>
          </cell>
          <cell r="S39">
            <v>674</v>
          </cell>
          <cell r="T39">
            <v>731.04899999999998</v>
          </cell>
          <cell r="U39">
            <v>956</v>
          </cell>
          <cell r="V39">
            <v>1425.4</v>
          </cell>
          <cell r="W39">
            <v>1560.7619999999999</v>
          </cell>
        </row>
        <row r="41">
          <cell r="B41" t="str">
            <v>HIGH MARKET CAP*</v>
          </cell>
          <cell r="E41">
            <v>309.70000000000005</v>
          </cell>
          <cell r="F41">
            <v>352.99999999999994</v>
          </cell>
          <cell r="G41">
            <v>377</v>
          </cell>
          <cell r="H41">
            <v>395.2</v>
          </cell>
          <cell r="I41">
            <v>421.6</v>
          </cell>
          <cell r="J41">
            <v>1599.5119999999999</v>
          </cell>
          <cell r="K41">
            <v>2325.5075000000002</v>
          </cell>
          <cell r="L41">
            <v>1942.6279999999999</v>
          </cell>
          <cell r="M41">
            <v>2492.768</v>
          </cell>
          <cell r="N41">
            <v>2527.7179999999998</v>
          </cell>
          <cell r="O41">
            <v>2246.52</v>
          </cell>
          <cell r="P41">
            <v>2443.7415000000001</v>
          </cell>
          <cell r="Q41">
            <v>3552.0240000000003</v>
          </cell>
          <cell r="R41">
            <v>3980.6509999999998</v>
          </cell>
          <cell r="S41">
            <v>3835.4006249999998</v>
          </cell>
          <cell r="T41">
            <v>4799.0136250000005</v>
          </cell>
          <cell r="U41">
            <v>5523.3117499999998</v>
          </cell>
          <cell r="V41">
            <v>7003.2150000000011</v>
          </cell>
          <cell r="W41">
            <v>7353.3768749999999</v>
          </cell>
        </row>
        <row r="42">
          <cell r="B42" t="str">
            <v>LOW MARKET CAP*</v>
          </cell>
          <cell r="E42">
            <v>309.70000000000005</v>
          </cell>
          <cell r="F42">
            <v>352.99999999999994</v>
          </cell>
          <cell r="G42">
            <v>377</v>
          </cell>
          <cell r="H42">
            <v>395.2</v>
          </cell>
          <cell r="I42">
            <v>421.6</v>
          </cell>
          <cell r="J42">
            <v>1373.3495</v>
          </cell>
          <cell r="K42">
            <v>1517.6949999999999</v>
          </cell>
          <cell r="L42">
            <v>1630.6279999999999</v>
          </cell>
          <cell r="M42">
            <v>1761.9680000000001</v>
          </cell>
          <cell r="N42">
            <v>1931.4680000000001</v>
          </cell>
          <cell r="O42">
            <v>1607.145</v>
          </cell>
          <cell r="P42">
            <v>1651.6790000000001</v>
          </cell>
          <cell r="Q42">
            <v>2057.96</v>
          </cell>
          <cell r="R42">
            <v>2746.5509999999995</v>
          </cell>
          <cell r="S42">
            <v>2734.3068749999998</v>
          </cell>
          <cell r="T42">
            <v>3487.5542500000001</v>
          </cell>
          <cell r="U42">
            <v>3973.0617499999998</v>
          </cell>
          <cell r="V42">
            <v>4587.11175</v>
          </cell>
          <cell r="W42">
            <v>4841.2737500000003</v>
          </cell>
        </row>
        <row r="44">
          <cell r="B44" t="str">
            <v>EBITD,EPS,CASHFLOW STATISTICS</v>
          </cell>
        </row>
        <row r="45">
          <cell r="B45" t="str">
            <v>EBITD</v>
          </cell>
          <cell r="E45">
            <v>59.9</v>
          </cell>
          <cell r="F45">
            <v>193.1</v>
          </cell>
          <cell r="G45">
            <v>175.2</v>
          </cell>
          <cell r="H45">
            <v>206.8</v>
          </cell>
          <cell r="I45">
            <v>193.2</v>
          </cell>
          <cell r="J45">
            <v>124.67100000000001</v>
          </cell>
          <cell r="K45">
            <v>141.19999999999999</v>
          </cell>
          <cell r="L45">
            <v>232.8</v>
          </cell>
          <cell r="M45">
            <v>248.4</v>
          </cell>
          <cell r="N45">
            <v>250.1</v>
          </cell>
          <cell r="O45">
            <v>194.1</v>
          </cell>
          <cell r="P45">
            <v>211.5</v>
          </cell>
          <cell r="Q45">
            <v>278.40517125000002</v>
          </cell>
          <cell r="R45">
            <v>258.32235199999997</v>
          </cell>
          <cell r="S45">
            <v>211.95894000000001</v>
          </cell>
          <cell r="T45">
            <v>325.35556999999994</v>
          </cell>
          <cell r="U45">
            <v>382.72206399999993</v>
          </cell>
          <cell r="V45">
            <v>239.931541589928</v>
          </cell>
          <cell r="W45">
            <v>359.88422414076126</v>
          </cell>
        </row>
        <row r="46">
          <cell r="B46" t="str">
            <v>NET INCOME</v>
          </cell>
          <cell r="E46">
            <v>60.3</v>
          </cell>
          <cell r="F46">
            <v>54.2</v>
          </cell>
          <cell r="G46">
            <v>41.4</v>
          </cell>
          <cell r="H46">
            <v>55.7</v>
          </cell>
          <cell r="I46">
            <v>51.088000000000001</v>
          </cell>
          <cell r="J46">
            <v>10.090999999999999</v>
          </cell>
          <cell r="K46">
            <v>9.5</v>
          </cell>
          <cell r="L46">
            <v>39.774000000000001</v>
          </cell>
          <cell r="M46">
            <v>48.3</v>
          </cell>
          <cell r="N46">
            <v>55.222000000000001</v>
          </cell>
          <cell r="O46">
            <v>32.299999999999997</v>
          </cell>
          <cell r="P46">
            <v>26.5</v>
          </cell>
          <cell r="Q46">
            <v>51.003171250000001</v>
          </cell>
          <cell r="R46">
            <v>46.614351999999975</v>
          </cell>
          <cell r="S46">
            <v>21.258939999999996</v>
          </cell>
          <cell r="T46">
            <v>90.525768799999952</v>
          </cell>
          <cell r="U46">
            <v>107.23183199999994</v>
          </cell>
          <cell r="V46">
            <v>-4.7761000000000102</v>
          </cell>
          <cell r="W46">
            <v>21.333818850761272</v>
          </cell>
        </row>
        <row r="47">
          <cell r="B47" t="str">
            <v>DD&amp;A, Explor Exp &amp; Other Non Cash Exp</v>
          </cell>
          <cell r="E47">
            <v>66.7</v>
          </cell>
          <cell r="F47">
            <v>64.400000000000006</v>
          </cell>
          <cell r="G47">
            <v>60.2</v>
          </cell>
          <cell r="H47">
            <v>72.3</v>
          </cell>
          <cell r="I47">
            <v>76.436999999999998</v>
          </cell>
          <cell r="J47">
            <v>75.059999999999988</v>
          </cell>
          <cell r="K47">
            <v>87.9</v>
          </cell>
          <cell r="L47">
            <v>144.4</v>
          </cell>
          <cell r="M47">
            <v>152.69999999999999</v>
          </cell>
          <cell r="N47">
            <v>147.30000000000001</v>
          </cell>
          <cell r="O47">
            <v>130.80000000000001</v>
          </cell>
          <cell r="P47">
            <v>161.5</v>
          </cell>
          <cell r="Q47">
            <v>209.71099999999998</v>
          </cell>
          <cell r="R47">
            <v>194.06899999999999</v>
          </cell>
          <cell r="S47">
            <v>170.32</v>
          </cell>
          <cell r="T47">
            <v>206.31975401999998</v>
          </cell>
          <cell r="U47">
            <v>225.97499999999999</v>
          </cell>
          <cell r="V47">
            <v>180.40199999999999</v>
          </cell>
          <cell r="W47">
            <v>245.6846757038</v>
          </cell>
        </row>
        <row r="48">
          <cell r="B48" t="str">
            <v>AFTER-TAX CASHFLOW/SHARE</v>
          </cell>
          <cell r="E48">
            <v>3.3236907730673315</v>
          </cell>
          <cell r="F48">
            <v>2.8926829268292686</v>
          </cell>
          <cell r="G48">
            <v>2.424821002386635</v>
          </cell>
          <cell r="H48">
            <v>2.9767441860465116</v>
          </cell>
          <cell r="I48">
            <v>2.8917233560090705</v>
          </cell>
          <cell r="J48">
            <v>0.8706646216768914</v>
          </cell>
          <cell r="K48">
            <v>0.64197292069632494</v>
          </cell>
          <cell r="L48">
            <v>1.4709038461538462</v>
          </cell>
          <cell r="M48">
            <v>1.6252873563218388</v>
          </cell>
          <cell r="N48">
            <v>1.6105849056603776</v>
          </cell>
          <cell r="O48">
            <v>1.1827272727272728</v>
          </cell>
          <cell r="P48">
            <v>1.405989110707804</v>
          </cell>
          <cell r="Q48">
            <v>1.9789700284090908</v>
          </cell>
          <cell r="R48">
            <v>1.79654487804878</v>
          </cell>
          <cell r="S48">
            <v>1.3311531715623668</v>
          </cell>
          <cell r="T48">
            <v>2.2039689820328969</v>
          </cell>
          <cell r="U48">
            <v>2.4941872704402512</v>
          </cell>
          <cell r="V48">
            <v>1.29</v>
          </cell>
          <cell r="W48">
            <v>1.9391427562953034</v>
          </cell>
        </row>
        <row r="49">
          <cell r="B49" t="str">
            <v>EBITD/SHARE</v>
          </cell>
          <cell r="E49">
            <v>1.4937655860349126</v>
          </cell>
          <cell r="F49">
            <v>4.7097560975609758</v>
          </cell>
          <cell r="G49">
            <v>4.1813842482100236</v>
          </cell>
          <cell r="H49">
            <v>4.8093023255813954</v>
          </cell>
          <cell r="I49">
            <v>4.3809523809523805</v>
          </cell>
          <cell r="J49">
            <v>1.2747546012269939</v>
          </cell>
          <cell r="K49">
            <v>1.3655705996131526</v>
          </cell>
          <cell r="L49">
            <v>2.2384615384615385</v>
          </cell>
          <cell r="M49">
            <v>2.3793103448275863</v>
          </cell>
          <cell r="N49">
            <v>2.3594339622641507</v>
          </cell>
          <cell r="O49">
            <v>1.7645454545454544</v>
          </cell>
          <cell r="P49">
            <v>1.9192377495462793</v>
          </cell>
          <cell r="Q49">
            <v>2.4336116368006993</v>
          </cell>
          <cell r="R49">
            <v>2.2501947038327526</v>
          </cell>
          <cell r="S49">
            <v>1.8046738186462326</v>
          </cell>
          <cell r="T49">
            <v>2.7444586250527196</v>
          </cell>
          <cell r="U49">
            <v>3.209409341719077</v>
          </cell>
          <cell r="V49">
            <v>1.999013052196859</v>
          </cell>
          <cell r="W49">
            <v>2.8831101473323555</v>
          </cell>
        </row>
        <row r="50">
          <cell r="B50" t="str">
            <v>EARNINGS PER SHARE</v>
          </cell>
          <cell r="E50">
            <v>1.5037406483790523</v>
          </cell>
          <cell r="F50">
            <v>1.3219512195121952</v>
          </cell>
          <cell r="G50">
            <v>0.9880668257756563</v>
          </cell>
          <cell r="H50">
            <v>1.2953488372093025</v>
          </cell>
          <cell r="I50">
            <v>1.1584580498866213</v>
          </cell>
          <cell r="J50">
            <v>0.1031799591002045</v>
          </cell>
          <cell r="K50">
            <v>9.187620889748549E-2</v>
          </cell>
          <cell r="L50">
            <v>0.38244230769230769</v>
          </cell>
          <cell r="M50">
            <v>0.4626436781609195</v>
          </cell>
          <cell r="N50">
            <v>0.52096226415094338</v>
          </cell>
          <cell r="O50">
            <v>0.29363636363636358</v>
          </cell>
          <cell r="P50">
            <v>0.24047186932849365</v>
          </cell>
          <cell r="Q50">
            <v>0.44583191652097903</v>
          </cell>
          <cell r="R50">
            <v>0.40604836236933778</v>
          </cell>
          <cell r="S50">
            <v>0.36200834397616</v>
          </cell>
          <cell r="T50">
            <v>0.76360834078447859</v>
          </cell>
          <cell r="U50">
            <v>0.89921871698113154</v>
          </cell>
          <cell r="V50">
            <v>-3.9792543220162548E-2</v>
          </cell>
          <cell r="W50">
            <v>0.17090982456047485</v>
          </cell>
        </row>
        <row r="52">
          <cell r="B52" t="str">
            <v>EBITD,EPS,CASHFLOW MULTIPLES</v>
          </cell>
        </row>
        <row r="53">
          <cell r="B53" t="str">
            <v>HIGH PRICE/AT-CASHFLOW</v>
          </cell>
          <cell r="J53">
            <v>13.208300548437485</v>
          </cell>
          <cell r="K53">
            <v>27.162360650798433</v>
          </cell>
          <cell r="L53">
            <v>9.5179572999333217</v>
          </cell>
          <cell r="M53">
            <v>11.844059405940596</v>
          </cell>
          <cell r="N53">
            <v>12.379043122737547</v>
          </cell>
          <cell r="O53">
            <v>14.003651037663335</v>
          </cell>
          <cell r="P53">
            <v>11.69105782883697</v>
          </cell>
          <cell r="Q53">
            <v>13.074983263289294</v>
          </cell>
          <cell r="R53">
            <v>16.281252061884647</v>
          </cell>
          <cell r="S53">
            <v>18.271236574036177</v>
          </cell>
          <cell r="T53">
            <v>15.625219901341596</v>
          </cell>
          <cell r="U53">
            <v>15.385773335787411</v>
          </cell>
          <cell r="V53">
            <v>34.790697674418603</v>
          </cell>
          <cell r="W53">
            <v>23.141669098015694</v>
          </cell>
        </row>
        <row r="54">
          <cell r="B54" t="str">
            <v>LOW PRICE/AT-CASHFLOW</v>
          </cell>
          <cell r="J54">
            <v>10.552283590327773</v>
          </cell>
          <cell r="K54">
            <v>14.992844230189815</v>
          </cell>
          <cell r="L54">
            <v>7.4783950213761816</v>
          </cell>
          <cell r="M54">
            <v>7.5371287128712883</v>
          </cell>
          <cell r="N54">
            <v>8.8865231194573617</v>
          </cell>
          <cell r="O54">
            <v>9.0891621829362013</v>
          </cell>
          <cell r="P54">
            <v>6.5789983219310706</v>
          </cell>
          <cell r="Q54">
            <v>6.4755907446976728</v>
          </cell>
          <cell r="R54">
            <v>10.297544039140716</v>
          </cell>
          <cell r="S54">
            <v>11.941708892499395</v>
          </cell>
          <cell r="T54">
            <v>10.605866139930594</v>
          </cell>
          <cell r="U54">
            <v>10.173654681318711</v>
          </cell>
          <cell r="V54">
            <v>19.186046511627907</v>
          </cell>
          <cell r="W54">
            <v>12.763371814504477</v>
          </cell>
        </row>
        <row r="55">
          <cell r="B55" t="str">
            <v>HIGH MARKET CAP/EBITD</v>
          </cell>
          <cell r="J55">
            <v>12.829864202581193</v>
          </cell>
          <cell r="K55">
            <v>16.469599858356943</v>
          </cell>
          <cell r="L55">
            <v>8.3446219931271468</v>
          </cell>
          <cell r="M55">
            <v>10.035297906602255</v>
          </cell>
          <cell r="N55">
            <v>10.106829268292683</v>
          </cell>
          <cell r="O55">
            <v>11.574034003091191</v>
          </cell>
          <cell r="P55">
            <v>11.554333333333334</v>
          </cell>
          <cell r="Q55">
            <v>12.758469909347994</v>
          </cell>
          <cell r="R55">
            <v>15.409626651277934</v>
          </cell>
          <cell r="S55">
            <v>18.095017011313605</v>
          </cell>
          <cell r="T55">
            <v>14.750058297757132</v>
          </cell>
          <cell r="U55">
            <v>14.431652286448792</v>
          </cell>
          <cell r="V55">
            <v>29.188388294396667</v>
          </cell>
          <cell r="W55">
            <v>20.432617996958594</v>
          </cell>
        </row>
        <row r="56">
          <cell r="B56" t="str">
            <v>LOW MARKET CAP/EBITD</v>
          </cell>
          <cell r="J56">
            <v>11.015789558116964</v>
          </cell>
          <cell r="K56">
            <v>10.748548158640228</v>
          </cell>
          <cell r="L56">
            <v>7.0044158075601368</v>
          </cell>
          <cell r="M56">
            <v>7.0932689210950084</v>
          </cell>
          <cell r="N56">
            <v>7.7227828868452626</v>
          </cell>
          <cell r="O56">
            <v>8.2799845440494604</v>
          </cell>
          <cell r="P56">
            <v>7.8093569739952731</v>
          </cell>
          <cell r="Q56">
            <v>7.3919603962816121</v>
          </cell>
          <cell r="R56">
            <v>10.632262282901479</v>
          </cell>
          <cell r="S56">
            <v>12.900172434340346</v>
          </cell>
          <cell r="T56">
            <v>10.719208679906727</v>
          </cell>
          <cell r="U56">
            <v>10.381062718140026</v>
          </cell>
          <cell r="V56">
            <v>19.118419027373768</v>
          </cell>
          <cell r="W56">
            <v>13.452308896169997</v>
          </cell>
        </row>
        <row r="57">
          <cell r="B57" t="str">
            <v>HIGH PRICE/EARNINGS</v>
          </cell>
          <cell r="J57">
            <v>111.45575265087702</v>
          </cell>
          <cell r="K57">
            <v>189.79342105263157</v>
          </cell>
          <cell r="L57">
            <v>36.606828581485395</v>
          </cell>
          <cell r="M57">
            <v>41.608695652173914</v>
          </cell>
          <cell r="N57">
            <v>38.270526239542214</v>
          </cell>
          <cell r="O57">
            <v>56.404798761609918</v>
          </cell>
          <cell r="P57">
            <v>68.355188679245288</v>
          </cell>
          <cell r="Q57">
            <v>58.037567614974527</v>
          </cell>
          <cell r="R57">
            <v>72.035754138553756</v>
          </cell>
          <cell r="S57">
            <v>149.51312835917503</v>
          </cell>
          <cell r="T57">
            <v>45.098381147357934</v>
          </cell>
          <cell r="U57">
            <v>42.675935537499747</v>
          </cell>
          <cell r="V57" t="str">
            <v>NM</v>
          </cell>
          <cell r="W57">
            <v>262.56536226284288</v>
          </cell>
        </row>
        <row r="58">
          <cell r="B58" t="str">
            <v>LOW PRICE/EARNINGS</v>
          </cell>
          <cell r="J58">
            <v>89.043454563472395</v>
          </cell>
          <cell r="K58">
            <v>104.76052631578948</v>
          </cell>
          <cell r="L58">
            <v>28.762508171167095</v>
          </cell>
          <cell r="M58">
            <v>26.478260869565219</v>
          </cell>
          <cell r="N58">
            <v>27.473199087320271</v>
          </cell>
          <cell r="O58">
            <v>36.609907120743038</v>
          </cell>
          <cell r="P58">
            <v>38.466037735849056</v>
          </cell>
          <cell r="Q58">
            <v>28.744016579165162</v>
          </cell>
          <cell r="R58">
            <v>45.56107526711947</v>
          </cell>
          <cell r="S58">
            <v>97.718742091562433</v>
          </cell>
          <cell r="T58">
            <v>30.611242375883606</v>
          </cell>
          <cell r="U58">
            <v>28.218941088314168</v>
          </cell>
          <cell r="V58" t="str">
            <v>NM</v>
          </cell>
          <cell r="W58">
            <v>144.81320815610832</v>
          </cell>
        </row>
        <row r="60">
          <cell r="B60" t="str">
            <v>BOOK VALUE/MULTIPLES</v>
          </cell>
        </row>
        <row r="61">
          <cell r="B61" t="str">
            <v>EQUITY VALUE</v>
          </cell>
          <cell r="F61">
            <v>337.5</v>
          </cell>
          <cell r="G61">
            <v>370.03199999999998</v>
          </cell>
          <cell r="H61">
            <v>416.34699999999998</v>
          </cell>
          <cell r="I61">
            <v>444.24099999999999</v>
          </cell>
          <cell r="J61">
            <v>431.80900000000003</v>
          </cell>
          <cell r="K61">
            <v>427.12299999999999</v>
          </cell>
          <cell r="L61">
            <v>455.238</v>
          </cell>
          <cell r="M61">
            <v>495.26100000000002</v>
          </cell>
          <cell r="N61">
            <v>617.96900000000005</v>
          </cell>
          <cell r="O61">
            <v>640.51599999999996</v>
          </cell>
          <cell r="P61">
            <v>667.01599999999996</v>
          </cell>
          <cell r="Q61">
            <v>852</v>
          </cell>
          <cell r="R61">
            <v>900</v>
          </cell>
          <cell r="S61">
            <v>921.25893999999994</v>
          </cell>
          <cell r="T61">
            <v>990.52576879999992</v>
          </cell>
          <cell r="U61">
            <v>1028.4907719999999</v>
          </cell>
          <cell r="V61">
            <v>985.74966879999988</v>
          </cell>
          <cell r="W61">
            <v>1049.8245908507611</v>
          </cell>
        </row>
        <row r="62">
          <cell r="B62" t="str">
            <v>EQUITY VALUE/SHARE</v>
          </cell>
          <cell r="F62">
            <v>8.2317073170731714</v>
          </cell>
          <cell r="G62">
            <v>8.8313126491646781</v>
          </cell>
          <cell r="H62">
            <v>9.6824883720930224</v>
          </cell>
          <cell r="I62">
            <v>10.073492063492063</v>
          </cell>
          <cell r="J62">
            <v>4.415224948875256</v>
          </cell>
          <cell r="K62">
            <v>4.1307833655705997</v>
          </cell>
          <cell r="L62">
            <v>4.3772884615384617</v>
          </cell>
          <cell r="M62">
            <v>4.7438793103448278</v>
          </cell>
          <cell r="N62">
            <v>5.8298962264150944</v>
          </cell>
          <cell r="O62">
            <v>5.8228727272727268</v>
          </cell>
          <cell r="P62">
            <v>6.0527767695099817</v>
          </cell>
          <cell r="Q62">
            <v>7.4475524475524475</v>
          </cell>
          <cell r="R62">
            <v>7.8397212543554007</v>
          </cell>
          <cell r="S62">
            <v>15.68767884206045</v>
          </cell>
          <cell r="T62">
            <v>8.3553417865879354</v>
          </cell>
          <cell r="U62">
            <v>8.6246605618448626</v>
          </cell>
          <cell r="V62">
            <v>8.2128695588419074</v>
          </cell>
          <cell r="W62">
            <v>8.4103712465512608</v>
          </cell>
        </row>
        <row r="63">
          <cell r="B63" t="str">
            <v>HIGH PRICE TO BOOK</v>
          </cell>
          <cell r="J63">
            <v>2.6046238035798233</v>
          </cell>
          <cell r="K63">
            <v>4.2213542703155769</v>
          </cell>
          <cell r="L63">
            <v>3.1983270289387087</v>
          </cell>
          <cell r="M63">
            <v>4.0578604008795365</v>
          </cell>
          <cell r="N63">
            <v>3.4198721942362802</v>
          </cell>
          <cell r="O63">
            <v>2.8443864009642228</v>
          </cell>
          <cell r="P63">
            <v>2.7156957254398697</v>
          </cell>
          <cell r="Q63">
            <v>3.4742957746478873</v>
          </cell>
          <cell r="R63">
            <v>3.7309999999999999</v>
          </cell>
          <cell r="S63">
            <v>3.4501598703617469</v>
          </cell>
          <cell r="T63">
            <v>4.1216147561167835</v>
          </cell>
          <cell r="U63">
            <v>4.4494504711025256</v>
          </cell>
          <cell r="V63">
            <v>5.4645942783399706</v>
          </cell>
          <cell r="W63">
            <v>5.3356740962417497</v>
          </cell>
        </row>
        <row r="64">
          <cell r="B64" t="str">
            <v>LOW PRICE/BOOK</v>
          </cell>
          <cell r="J64">
            <v>2.0808679300338806</v>
          </cell>
          <cell r="K64">
            <v>2.3300665147978452</v>
          </cell>
          <cell r="L64">
            <v>2.5129712370232711</v>
          </cell>
          <cell r="M64">
            <v>2.5822748005597047</v>
          </cell>
          <cell r="N64">
            <v>2.4550179701570789</v>
          </cell>
          <cell r="O64">
            <v>1.8461677772296088</v>
          </cell>
          <cell r="P64">
            <v>1.528224210513691</v>
          </cell>
          <cell r="Q64">
            <v>1.7206995305164319</v>
          </cell>
          <cell r="R64">
            <v>2.359777777777778</v>
          </cell>
          <cell r="S64">
            <v>2.2549543725458991</v>
          </cell>
          <cell r="T64">
            <v>2.7976114678542232</v>
          </cell>
          <cell r="U64">
            <v>2.9421447740515072</v>
          </cell>
          <cell r="V64">
            <v>3.0135630211433657</v>
          </cell>
          <cell r="W64">
            <v>2.9427951839996283</v>
          </cell>
        </row>
        <row r="66">
          <cell r="B66" t="str">
            <v>INTEREST COVERAGE</v>
          </cell>
        </row>
        <row r="67">
          <cell r="B67" t="str">
            <v>INTEREST</v>
          </cell>
          <cell r="E67">
            <v>26.9</v>
          </cell>
          <cell r="F67">
            <v>35.299999999999997</v>
          </cell>
          <cell r="G67">
            <v>23.2</v>
          </cell>
          <cell r="H67">
            <v>31.6</v>
          </cell>
          <cell r="I67">
            <v>31.6</v>
          </cell>
          <cell r="J67">
            <v>36.6</v>
          </cell>
          <cell r="K67">
            <v>44.5</v>
          </cell>
          <cell r="L67">
            <v>50.7</v>
          </cell>
          <cell r="M67">
            <v>43.7</v>
          </cell>
          <cell r="N67">
            <v>35.200000000000003</v>
          </cell>
          <cell r="O67">
            <v>27.2</v>
          </cell>
          <cell r="P67">
            <v>26.7</v>
          </cell>
          <cell r="Q67">
            <v>29.356000000000002</v>
          </cell>
          <cell r="R67">
            <v>26.114000000000001</v>
          </cell>
          <cell r="S67">
            <v>36.6</v>
          </cell>
          <cell r="T67">
            <v>38.5</v>
          </cell>
          <cell r="U67">
            <v>40.900000000000006</v>
          </cell>
          <cell r="V67">
            <v>57.800000000000004</v>
          </cell>
          <cell r="W67">
            <v>72.099999999999994</v>
          </cell>
        </row>
        <row r="68">
          <cell r="B68" t="str">
            <v>EBITD COVERAGE</v>
          </cell>
          <cell r="E68">
            <v>2.2267657992565058</v>
          </cell>
          <cell r="F68">
            <v>5.4702549575070822</v>
          </cell>
          <cell r="G68">
            <v>7.5517241379310338</v>
          </cell>
          <cell r="H68">
            <v>6.5443037974683547</v>
          </cell>
          <cell r="I68">
            <v>6.1139240506329111</v>
          </cell>
          <cell r="J68">
            <v>3.406311475409836</v>
          </cell>
          <cell r="K68">
            <v>3.1730337078651685</v>
          </cell>
          <cell r="L68">
            <v>4.5917159763313613</v>
          </cell>
          <cell r="M68">
            <v>5.6842105263157894</v>
          </cell>
          <cell r="N68">
            <v>7.1051136363636358</v>
          </cell>
          <cell r="O68">
            <v>7.1360294117647056</v>
          </cell>
          <cell r="P68">
            <v>7.9213483146067416</v>
          </cell>
          <cell r="Q68">
            <v>9.4837570258209567</v>
          </cell>
          <cell r="R68">
            <v>9.8921020142452303</v>
          </cell>
          <cell r="S68">
            <v>5.7912278688524594</v>
          </cell>
          <cell r="T68">
            <v>8.4507940259740248</v>
          </cell>
          <cell r="U68">
            <v>9.3575076772616104</v>
          </cell>
          <cell r="V68">
            <v>4.1510647333897577</v>
          </cell>
          <cell r="W68">
            <v>4.9914594194280344</v>
          </cell>
        </row>
        <row r="70">
          <cell r="B70" t="str">
            <v>CAPITALIZATION RATIO</v>
          </cell>
        </row>
        <row r="71">
          <cell r="B71" t="str">
            <v>TOTAL DEBT/CAP</v>
          </cell>
          <cell r="F71">
            <v>0.53671252715423601</v>
          </cell>
          <cell r="G71">
            <v>0.50975058632026482</v>
          </cell>
          <cell r="H71">
            <v>0.49226970218607174</v>
          </cell>
          <cell r="I71">
            <v>0.49027477331288305</v>
          </cell>
          <cell r="J71">
            <v>0.53512437942646374</v>
          </cell>
          <cell r="K71">
            <v>0.55781160981599487</v>
          </cell>
          <cell r="L71">
            <v>0.52332285059658168</v>
          </cell>
          <cell r="M71">
            <v>0.5034298277982151</v>
          </cell>
          <cell r="N71">
            <v>0.41397465107448128</v>
          </cell>
          <cell r="O71">
            <v>0.41273384962461068</v>
          </cell>
          <cell r="P71">
            <v>0.49806787265891661</v>
          </cell>
          <cell r="Q71">
            <v>0.42226806951058365</v>
          </cell>
          <cell r="R71">
            <v>0.4132527248381383</v>
          </cell>
          <cell r="S71">
            <v>0.42436405237548985</v>
          </cell>
          <cell r="T71">
            <v>0.42827195904359228</v>
          </cell>
          <cell r="U71">
            <v>0.48390759913571513</v>
          </cell>
          <cell r="V71">
            <v>0.5477582921416434</v>
          </cell>
          <cell r="W71">
            <v>0.55708083290354315</v>
          </cell>
        </row>
        <row r="72">
          <cell r="B72" t="str">
            <v>* MARKET CAP = MARKET EQUITY VALUE + ALL DEBT - CASH</v>
          </cell>
          <cell r="F72" t="str">
            <v>* Company Went Public in 1986</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mp;L"/>
      <sheetName val="QTR"/>
      <sheetName val="KEY"/>
      <sheetName val="SALES"/>
      <sheetName val="Changes"/>
      <sheetName val="QTR SUM"/>
      <sheetName val="QTR PRES Page"/>
      <sheetName val="BSCF"/>
      <sheetName val="P&amp;L2007"/>
      <sheetName val="P&amp;L2008"/>
      <sheetName val="Contribution"/>
      <sheetName val="MEDICARE"/>
      <sheetName val="PIPE"/>
      <sheetName val="EVENTS"/>
      <sheetName val="GUIDE"/>
      <sheetName val="ANN SUM"/>
      <sheetName val="PATENTS"/>
      <sheetName val="PR CTG"/>
      <sheetName val="Cialis P&amp;L"/>
      <sheetName val="GM"/>
      <sheetName val="FIGURES"/>
      <sheetName val="VAL ANALYSIS"/>
      <sheetName val="LEGAL"/>
      <sheetName val="Disclosures"/>
      <sheetName val="PrasugrelChart"/>
      <sheetName val="PrasugrelOut"/>
    </sheetNames>
    <sheetDataSet>
      <sheetData sheetId="0">
        <row r="1">
          <cell r="H1">
            <v>39197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blankaa"/>
      <sheetName val="NAV"/>
      <sheetName val="Inputs"/>
      <sheetName val="Upstream"/>
      <sheetName val="Oil Sands"/>
      <sheetName val="Financial"/>
      <sheetName val="APCCMP"/>
      <sheetName val="ADK"/>
      <sheetName val="iQ_US_CoreIndustrials"/>
      <sheetName val="BalanceSheet"/>
      <sheetName val="SLR"/>
      <sheetName val="Revenue"/>
      <sheetName val="SCIMED Old"/>
      <sheetName val="QuartRev"/>
      <sheetName val="Model"/>
      <sheetName val="PTWMAIN"/>
      <sheetName val="Cycle Multiples - EV-EBITDA"/>
      <sheetName val="Cycle Multiples - PRICE-FCF"/>
      <sheetName val="Scrubbed EV-EBITDA Cal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S"/>
      <sheetName val="Revenue"/>
      <sheetName val="BS"/>
      <sheetName val="CF"/>
      <sheetName val="ROIC"/>
      <sheetName val="Valuation"/>
      <sheetName val="Other"/>
      <sheetName val="Short Cash Flow"/>
      <sheetName val="EPS Quality"/>
      <sheetName val="Shr Repo"/>
      <sheetName val="ROIC terminal"/>
      <sheetName val="ROIC Calc"/>
      <sheetName val="ROIC His Data"/>
      <sheetName val="ESO"/>
      <sheetName val="Pension"/>
      <sheetName val="QtrComp"/>
      <sheetName val="Std Graphs"/>
      <sheetName val="Graphs"/>
      <sheetName val="Rev"/>
      <sheetName val="Deals"/>
      <sheetName val="Peer Comp"/>
      <sheetName val="XRAY_Model"/>
    </sheetNames>
    <sheetDataSet>
      <sheetData sheetId="0"/>
      <sheetData sheetId="1">
        <row r="5">
          <cell r="P5" t="str">
            <v>Historical results</v>
          </cell>
          <cell r="V5" t="str">
            <v>Historical results</v>
          </cell>
          <cell r="AB5" t="str">
            <v>Historical Results</v>
          </cell>
          <cell r="AH5" t="str">
            <v>Historical Results</v>
          </cell>
          <cell r="AN5" t="str">
            <v>Historical results</v>
          </cell>
        </row>
        <row r="6">
          <cell r="P6">
            <v>2002</v>
          </cell>
          <cell r="V6">
            <v>2003</v>
          </cell>
          <cell r="AB6">
            <v>2004</v>
          </cell>
          <cell r="AH6">
            <v>2005</v>
          </cell>
          <cell r="AN6">
            <v>2006</v>
          </cell>
        </row>
        <row r="7">
          <cell r="P7">
            <v>37346</v>
          </cell>
          <cell r="Q7">
            <v>37437</v>
          </cell>
          <cell r="R7">
            <v>37529</v>
          </cell>
          <cell r="S7">
            <v>37621</v>
          </cell>
          <cell r="T7" t="str">
            <v xml:space="preserve">Total </v>
          </cell>
          <cell r="V7">
            <v>37711</v>
          </cell>
          <cell r="W7">
            <v>37802</v>
          </cell>
          <cell r="X7">
            <v>37894</v>
          </cell>
          <cell r="Y7">
            <v>37986</v>
          </cell>
          <cell r="Z7" t="str">
            <v xml:space="preserve">Total </v>
          </cell>
          <cell r="AB7">
            <v>38077</v>
          </cell>
          <cell r="AC7">
            <v>38168</v>
          </cell>
          <cell r="AD7">
            <v>38260</v>
          </cell>
          <cell r="AE7">
            <v>38352</v>
          </cell>
          <cell r="AF7" t="str">
            <v xml:space="preserve">Total </v>
          </cell>
          <cell r="AH7">
            <v>38442</v>
          </cell>
          <cell r="AI7">
            <v>38533</v>
          </cell>
          <cell r="AJ7">
            <v>38625</v>
          </cell>
          <cell r="AK7">
            <v>38717</v>
          </cell>
          <cell r="AL7" t="str">
            <v xml:space="preserve">Total </v>
          </cell>
          <cell r="AN7">
            <v>38807</v>
          </cell>
          <cell r="AO7">
            <v>38898</v>
          </cell>
          <cell r="AP7">
            <v>38990</v>
          </cell>
          <cell r="AQ7">
            <v>39082</v>
          </cell>
          <cell r="AR7" t="str">
            <v xml:space="preserve">Total </v>
          </cell>
          <cell r="AX7" t="str">
            <v xml:space="preserve">Total </v>
          </cell>
          <cell r="BD7" t="str">
            <v xml:space="preserve">Total </v>
          </cell>
        </row>
        <row r="9">
          <cell r="B9" t="str">
            <v>Total sales</v>
          </cell>
          <cell r="D9">
            <v>213.95599999999999</v>
          </cell>
          <cell r="E9">
            <v>224.78800000000001</v>
          </cell>
          <cell r="F9">
            <v>216.69900000000001</v>
          </cell>
          <cell r="G9">
            <v>234.35300000000001</v>
          </cell>
          <cell r="H9">
            <v>889.79600000000005</v>
          </cell>
          <cell r="J9">
            <v>245.66900000000001</v>
          </cell>
          <cell r="K9">
            <v>254.63499999999999</v>
          </cell>
          <cell r="L9">
            <v>253.501</v>
          </cell>
          <cell r="M9">
            <v>379.06900000000002</v>
          </cell>
          <cell r="N9">
            <v>1132.874</v>
          </cell>
          <cell r="P9">
            <v>331.65</v>
          </cell>
          <cell r="Q9">
            <v>361.601</v>
          </cell>
          <cell r="R9">
            <v>340.30099999999999</v>
          </cell>
          <cell r="S9">
            <v>384.048</v>
          </cell>
          <cell r="T9">
            <v>1417.6</v>
          </cell>
          <cell r="V9">
            <v>371.23599999999999</v>
          </cell>
          <cell r="W9">
            <v>394.47800000000001</v>
          </cell>
          <cell r="X9">
            <v>375.50299999999999</v>
          </cell>
          <cell r="Y9">
            <v>429.70800000000003</v>
          </cell>
          <cell r="Z9">
            <v>1570.925</v>
          </cell>
          <cell r="AB9">
            <v>415.38099999999997</v>
          </cell>
          <cell r="AC9">
            <v>425.32499999999999</v>
          </cell>
          <cell r="AD9">
            <v>390.59199999999998</v>
          </cell>
          <cell r="AE9">
            <v>465.5</v>
          </cell>
          <cell r="AF9">
            <v>1696.7979999999998</v>
          </cell>
          <cell r="AH9">
            <v>406.97500000000002</v>
          </cell>
          <cell r="AI9">
            <v>444.834</v>
          </cell>
          <cell r="AJ9">
            <v>415.964</v>
          </cell>
          <cell r="AK9">
            <v>447.36200000000002</v>
          </cell>
          <cell r="AL9">
            <v>1715.135</v>
          </cell>
          <cell r="AN9">
            <v>430.99599999999998</v>
          </cell>
          <cell r="AO9">
            <v>472.44400000000002</v>
          </cell>
          <cell r="AP9">
            <v>435.72500000000002</v>
          </cell>
          <cell r="AQ9">
            <v>471.33199999999999</v>
          </cell>
          <cell r="AR9">
            <v>1810.4969999999998</v>
          </cell>
          <cell r="AT9">
            <v>472.86399999999998</v>
          </cell>
          <cell r="AU9">
            <v>507.36200000000002</v>
          </cell>
          <cell r="AV9">
            <v>488.10300000000001</v>
          </cell>
          <cell r="AW9">
            <v>541.50400000000002</v>
          </cell>
          <cell r="AX9">
            <v>2009.8330000000001</v>
          </cell>
          <cell r="AZ9">
            <v>560.78200000000004</v>
          </cell>
          <cell r="BA9">
            <v>594.84699999999998</v>
          </cell>
          <cell r="BB9">
            <v>531.75032357999999</v>
          </cell>
          <cell r="BC9">
            <v>579.12572287629393</v>
          </cell>
          <cell r="BD9">
            <v>2266.5050464562937</v>
          </cell>
          <cell r="BF9">
            <v>598.07035604856696</v>
          </cell>
          <cell r="BG9">
            <v>635.05530135683875</v>
          </cell>
          <cell r="BH9">
            <v>567.8150592407469</v>
          </cell>
          <cell r="BI9">
            <v>618.16022138707785</v>
          </cell>
          <cell r="BJ9">
            <v>2419.1009380332307</v>
          </cell>
          <cell r="BL9">
            <v>636.87206598178977</v>
          </cell>
          <cell r="BM9">
            <v>676.90116129196269</v>
          </cell>
          <cell r="BN9">
            <v>605.34963828234197</v>
          </cell>
          <cell r="BO9">
            <v>658.78352185483311</v>
          </cell>
          <cell r="BP9">
            <v>2577.9063874109274</v>
          </cell>
          <cell r="BR9">
            <v>677.14531435977528</v>
          </cell>
          <cell r="BS9">
            <v>720.33840174465774</v>
          </cell>
          <cell r="BT9">
            <v>644.3124429378629</v>
          </cell>
          <cell r="BU9">
            <v>700.95097596254891</v>
          </cell>
          <cell r="BV9">
            <v>2742.7471350048445</v>
          </cell>
          <cell r="BX9">
            <v>718.83676469341844</v>
          </cell>
          <cell r="BY9">
            <v>765.30824056262725</v>
          </cell>
          <cell r="BZ9">
            <v>684.65051724471039</v>
          </cell>
          <cell r="CA9">
            <v>744.60572944750709</v>
          </cell>
          <cell r="CB9">
            <v>2913.4012519482635</v>
          </cell>
          <cell r="CD9">
            <v>762.85048235596196</v>
          </cell>
          <cell r="CE9">
            <v>812.79807571615856</v>
          </cell>
          <cell r="CF9">
            <v>727.25179210604301</v>
          </cell>
          <cell r="CG9">
            <v>790.70426199545773</v>
          </cell>
          <cell r="CH9">
            <v>3093.6046121736213</v>
          </cell>
          <cell r="CJ9">
            <v>809.29389911670842</v>
          </cell>
          <cell r="CK9">
            <v>862.92477320406635</v>
          </cell>
          <cell r="CL9">
            <v>772.22127650792822</v>
          </cell>
          <cell r="CM9">
            <v>839.35985738705529</v>
          </cell>
          <cell r="CN9">
            <v>3283.7998062157581</v>
          </cell>
          <cell r="CP9">
            <v>858.27784192477998</v>
          </cell>
          <cell r="CQ9">
            <v>915.80889320485892</v>
          </cell>
          <cell r="CR9">
            <v>819.66729896478455</v>
          </cell>
          <cell r="CS9">
            <v>890.68938020688643</v>
          </cell>
          <cell r="CT9">
            <v>3484.4434143013095</v>
          </cell>
          <cell r="CV9">
            <v>909.91653466357207</v>
          </cell>
          <cell r="CW9">
            <v>971.57469151743044</v>
          </cell>
          <cell r="CX9">
            <v>869.70150872932413</v>
          </cell>
          <cell r="CY9">
            <v>944.81327731742044</v>
          </cell>
          <cell r="CZ9">
            <v>3696.0060122277473</v>
          </cell>
          <cell r="DB9">
            <v>964.32759161402623</v>
          </cell>
          <cell r="DC9">
            <v>1030.350111927323</v>
          </cell>
          <cell r="DD9">
            <v>922.43886883876644</v>
          </cell>
          <cell r="DE9">
            <v>1001.8555705458103</v>
          </cell>
          <cell r="DF9">
            <v>3918.9721429259262</v>
          </cell>
          <cell r="DH9">
            <v>1021.6320021089086</v>
          </cell>
          <cell r="DI9">
            <v>1092.2667689322893</v>
          </cell>
          <cell r="DJ9">
            <v>977.99764048797226</v>
          </cell>
          <cell r="DK9">
            <v>1061.9438400351235</v>
          </cell>
          <cell r="DL9">
            <v>4153.8402515642938</v>
          </cell>
        </row>
        <row r="10">
          <cell r="P10">
            <v>49.3</v>
          </cell>
          <cell r="Q10">
            <v>45.795000000000002</v>
          </cell>
          <cell r="R10">
            <v>41.966999999999985</v>
          </cell>
          <cell r="S10">
            <v>50.026999999999987</v>
          </cell>
          <cell r="T10">
            <v>187.08799999999999</v>
          </cell>
          <cell r="V10">
            <v>54.34899999999999</v>
          </cell>
          <cell r="W10">
            <v>46.281000000000006</v>
          </cell>
          <cell r="X10">
            <v>46.730999999999995</v>
          </cell>
          <cell r="Y10">
            <v>57.674000000000035</v>
          </cell>
          <cell r="Z10">
            <v>205.03500000000003</v>
          </cell>
          <cell r="AB10">
            <v>56.376999999999953</v>
          </cell>
          <cell r="AC10">
            <v>51.538000000000011</v>
          </cell>
          <cell r="AD10">
            <v>45.111999999999966</v>
          </cell>
          <cell r="AE10">
            <v>60.61099999999999</v>
          </cell>
          <cell r="AF10">
            <v>213.63799999999992</v>
          </cell>
          <cell r="AH10">
            <v>37.63900000000001</v>
          </cell>
          <cell r="AI10">
            <v>44.074999999999989</v>
          </cell>
          <cell r="AJ10">
            <v>42.485000000000014</v>
          </cell>
          <cell r="AK10">
            <v>47.020000000000039</v>
          </cell>
          <cell r="AL10">
            <v>171.21900000000005</v>
          </cell>
          <cell r="AN10">
            <v>47.234999999999957</v>
          </cell>
          <cell r="AO10">
            <v>48.920000000000016</v>
          </cell>
          <cell r="AP10">
            <v>40.879999999999995</v>
          </cell>
          <cell r="AQ10">
            <v>50.040999999999997</v>
          </cell>
          <cell r="AR10">
            <v>187.07599999999996</v>
          </cell>
          <cell r="AX10">
            <v>189.93400000000003</v>
          </cell>
          <cell r="BD10">
            <v>215.04346000000004</v>
          </cell>
        </row>
        <row r="11">
          <cell r="P11">
            <v>282.34999999999997</v>
          </cell>
          <cell r="Q11">
            <v>315.80599999999998</v>
          </cell>
          <cell r="R11">
            <v>298.334</v>
          </cell>
          <cell r="S11">
            <v>334.02100000000002</v>
          </cell>
          <cell r="T11">
            <v>1230.5119999999999</v>
          </cell>
          <cell r="V11">
            <v>316.887</v>
          </cell>
          <cell r="W11">
            <v>348.197</v>
          </cell>
          <cell r="X11">
            <v>328.77199999999999</v>
          </cell>
          <cell r="Y11">
            <v>372.03399999999999</v>
          </cell>
          <cell r="Z11">
            <v>1365.8899999999999</v>
          </cell>
          <cell r="AB11">
            <v>359.00400000000002</v>
          </cell>
          <cell r="AC11">
            <v>373.78699999999998</v>
          </cell>
          <cell r="AD11">
            <v>345.48</v>
          </cell>
          <cell r="AE11">
            <v>404.88900000000001</v>
          </cell>
          <cell r="AF11">
            <v>1483.1599999999999</v>
          </cell>
          <cell r="AH11">
            <v>369.33600000000001</v>
          </cell>
          <cell r="AI11">
            <v>400.75900000000001</v>
          </cell>
          <cell r="AJ11">
            <v>373.47899999999998</v>
          </cell>
          <cell r="AK11">
            <v>400.34199999999998</v>
          </cell>
          <cell r="AL11">
            <v>1543.9160000000002</v>
          </cell>
          <cell r="AN11">
            <v>383.76100000000002</v>
          </cell>
          <cell r="AO11">
            <v>423.524</v>
          </cell>
          <cell r="AP11">
            <v>394.84500000000003</v>
          </cell>
          <cell r="AQ11">
            <v>421.291</v>
          </cell>
          <cell r="AR11">
            <v>1623.421</v>
          </cell>
          <cell r="AX11">
            <v>1819.8990000000001</v>
          </cell>
          <cell r="BD11">
            <v>2051.4615864562938</v>
          </cell>
        </row>
        <row r="12">
          <cell r="P12">
            <v>111.40199999999996</v>
          </cell>
          <cell r="Q12">
            <v>128.09424999999999</v>
          </cell>
          <cell r="R12">
            <v>119.82599999999999</v>
          </cell>
          <cell r="S12">
            <v>133.88350000000003</v>
          </cell>
          <cell r="T12">
            <v>493.20675</v>
          </cell>
          <cell r="V12">
            <v>125.05000000000001</v>
          </cell>
          <cell r="W12">
            <v>140.52200000000002</v>
          </cell>
          <cell r="X12">
            <v>135.971</v>
          </cell>
          <cell r="Y12">
            <v>154.99600000000001</v>
          </cell>
          <cell r="Z12">
            <v>556.53899999999999</v>
          </cell>
          <cell r="AB12">
            <v>201.48075</v>
          </cell>
          <cell r="AC12">
            <v>204.19125</v>
          </cell>
          <cell r="AD12">
            <v>182.53375</v>
          </cell>
          <cell r="AE12">
            <v>223.91125</v>
          </cell>
          <cell r="AF12">
            <v>812.11700000000008</v>
          </cell>
          <cell r="AH12">
            <v>187.95999999999998</v>
          </cell>
          <cell r="AI12">
            <v>207.34275</v>
          </cell>
          <cell r="AJ12">
            <v>197.512</v>
          </cell>
          <cell r="AK12">
            <v>215.32474999999999</v>
          </cell>
          <cell r="AL12">
            <v>808.1395</v>
          </cell>
          <cell r="AN12">
            <v>201.78875000000002</v>
          </cell>
          <cell r="AO12">
            <v>221.8135</v>
          </cell>
          <cell r="AP12">
            <v>200.643</v>
          </cell>
          <cell r="AQ12">
            <v>221.66424999999998</v>
          </cell>
          <cell r="AR12">
            <v>845.90949999999998</v>
          </cell>
          <cell r="AX12">
            <v>929.59850000000006</v>
          </cell>
          <cell r="BD12">
            <v>1036.5535945825175</v>
          </cell>
        </row>
        <row r="13">
          <cell r="P13">
            <v>170.94800000000001</v>
          </cell>
          <cell r="Q13">
            <v>187.71174999999999</v>
          </cell>
          <cell r="R13">
            <v>178.50800000000001</v>
          </cell>
          <cell r="S13">
            <v>200.13749999999999</v>
          </cell>
          <cell r="T13">
            <v>737.30524999999989</v>
          </cell>
          <cell r="V13">
            <v>191.83699999999999</v>
          </cell>
          <cell r="W13">
            <v>207.67499999999998</v>
          </cell>
          <cell r="X13">
            <v>192.80099999999999</v>
          </cell>
          <cell r="Y13">
            <v>217.03799999999998</v>
          </cell>
          <cell r="Z13">
            <v>809.35099999999989</v>
          </cell>
          <cell r="AB13">
            <v>213.90024999999997</v>
          </cell>
          <cell r="AC13">
            <v>221.13374999999999</v>
          </cell>
          <cell r="AD13">
            <v>208.05824999999999</v>
          </cell>
          <cell r="AE13">
            <v>241.58875</v>
          </cell>
          <cell r="AF13">
            <v>884.6809999999997</v>
          </cell>
          <cell r="AH13">
            <v>219.01500000000004</v>
          </cell>
          <cell r="AI13">
            <v>237.49125000000001</v>
          </cell>
          <cell r="AJ13">
            <v>218.452</v>
          </cell>
          <cell r="AK13">
            <v>232.03725000000003</v>
          </cell>
          <cell r="AL13">
            <v>906.99549999999999</v>
          </cell>
          <cell r="AN13">
            <v>229.20724999999996</v>
          </cell>
          <cell r="AO13">
            <v>250.63050000000001</v>
          </cell>
          <cell r="AP13">
            <v>235.08200000000002</v>
          </cell>
          <cell r="AQ13">
            <v>249.66775000000001</v>
          </cell>
          <cell r="AR13">
            <v>964.58749999999986</v>
          </cell>
          <cell r="AX13">
            <v>1080.2345</v>
          </cell>
          <cell r="BD13">
            <v>1229.9514518737763</v>
          </cell>
        </row>
        <row r="14">
          <cell r="P14">
            <v>104.861</v>
          </cell>
          <cell r="Q14">
            <v>112.68975</v>
          </cell>
          <cell r="R14">
            <v>109.27700000000002</v>
          </cell>
          <cell r="S14">
            <v>117.16649999999998</v>
          </cell>
          <cell r="T14">
            <v>446.72624999999999</v>
          </cell>
          <cell r="V14">
            <v>119.21299999999999</v>
          </cell>
          <cell r="W14">
            <v>125.03499999999998</v>
          </cell>
          <cell r="X14">
            <v>117.01999999999998</v>
          </cell>
          <cell r="Y14">
            <v>131.89999999999998</v>
          </cell>
          <cell r="Z14">
            <v>493.16799999999995</v>
          </cell>
          <cell r="AB14">
            <v>130.77124999999998</v>
          </cell>
          <cell r="AC14">
            <v>132.25874999999999</v>
          </cell>
          <cell r="AD14">
            <v>125.82024999999999</v>
          </cell>
          <cell r="AE14">
            <v>145.56875000000002</v>
          </cell>
          <cell r="AF14">
            <v>534.41899999999998</v>
          </cell>
          <cell r="AH14">
            <v>139.15</v>
          </cell>
          <cell r="AI14">
            <v>146.93325000000002</v>
          </cell>
          <cell r="AJ14">
            <v>135.19400000000002</v>
          </cell>
          <cell r="AK14">
            <v>149.08425</v>
          </cell>
          <cell r="AL14">
            <v>570.36149999999998</v>
          </cell>
          <cell r="AN14">
            <v>142.40725</v>
          </cell>
          <cell r="AO14">
            <v>150.10049999999998</v>
          </cell>
          <cell r="AP14">
            <v>145.464</v>
          </cell>
          <cell r="AQ14">
            <v>156.57875000000001</v>
          </cell>
          <cell r="AR14">
            <v>594.55050000000006</v>
          </cell>
          <cell r="AX14">
            <v>662.21450000000004</v>
          </cell>
          <cell r="BD14">
            <v>752.87993558451979</v>
          </cell>
        </row>
        <row r="15">
          <cell r="P15">
            <v>66.087000000000003</v>
          </cell>
          <cell r="Q15">
            <v>75.021999999999991</v>
          </cell>
          <cell r="R15">
            <v>69.230999999999995</v>
          </cell>
          <cell r="S15">
            <v>82.971000000000004</v>
          </cell>
          <cell r="T15">
            <v>290.57899999999989</v>
          </cell>
          <cell r="V15">
            <v>72.623999999999995</v>
          </cell>
          <cell r="W15">
            <v>82.64</v>
          </cell>
          <cell r="X15">
            <v>75.781000000000006</v>
          </cell>
          <cell r="Y15">
            <v>85.137999999999991</v>
          </cell>
          <cell r="Z15">
            <v>316.18299999999999</v>
          </cell>
          <cell r="AB15">
            <v>83.128999999999991</v>
          </cell>
          <cell r="AC15">
            <v>88.875</v>
          </cell>
          <cell r="AD15">
            <v>82.238</v>
          </cell>
          <cell r="AE15">
            <v>96.019999999999982</v>
          </cell>
          <cell r="AF15">
            <v>350.26199999999972</v>
          </cell>
          <cell r="AH15">
            <v>79.865000000000038</v>
          </cell>
          <cell r="AI15">
            <v>90.557999999999993</v>
          </cell>
          <cell r="AJ15">
            <v>83.257999999999981</v>
          </cell>
          <cell r="AK15">
            <v>82.953000000000031</v>
          </cell>
          <cell r="AL15">
            <v>336.63400000000001</v>
          </cell>
          <cell r="AN15">
            <v>86.799999999999955</v>
          </cell>
          <cell r="AO15">
            <v>100.53000000000003</v>
          </cell>
          <cell r="AP15">
            <v>89.618000000000023</v>
          </cell>
          <cell r="AQ15">
            <v>93.088999999999999</v>
          </cell>
          <cell r="AR15">
            <v>370.03699999999981</v>
          </cell>
          <cell r="AX15">
            <v>418.02</v>
          </cell>
          <cell r="BD15">
            <v>477.07151628925646</v>
          </cell>
        </row>
        <row r="16">
          <cell r="P16">
            <v>10.372</v>
          </cell>
          <cell r="Q16">
            <v>12.076999999999998</v>
          </cell>
          <cell r="R16">
            <v>9.6920000000000002</v>
          </cell>
          <cell r="S16">
            <v>11.717999999999996</v>
          </cell>
          <cell r="T16">
            <v>43.858999999999995</v>
          </cell>
          <cell r="V16">
            <v>12.100000000000001</v>
          </cell>
          <cell r="W16">
            <v>12.8</v>
          </cell>
          <cell r="X16">
            <v>12</v>
          </cell>
          <cell r="Y16">
            <v>11.3</v>
          </cell>
          <cell r="Z16">
            <v>48.2</v>
          </cell>
          <cell r="AB16">
            <v>13.023</v>
          </cell>
          <cell r="AC16">
            <v>10.977</v>
          </cell>
          <cell r="AD16">
            <v>12.018999999999998</v>
          </cell>
          <cell r="AE16">
            <v>12.713000000000003</v>
          </cell>
          <cell r="AF16">
            <v>48.731999999999999</v>
          </cell>
          <cell r="AH16">
            <v>13.431999999999999</v>
          </cell>
          <cell r="AI16">
            <v>13.611000000000001</v>
          </cell>
          <cell r="AJ16">
            <v>12.6</v>
          </cell>
          <cell r="AK16">
            <v>10.995000000000001</v>
          </cell>
          <cell r="AL16">
            <v>50.638000000000005</v>
          </cell>
          <cell r="AN16">
            <v>12.095000000000001</v>
          </cell>
          <cell r="AO16">
            <v>11.301999999999998</v>
          </cell>
          <cell r="AP16">
            <v>12.228000000000002</v>
          </cell>
          <cell r="AQ16">
            <v>11.808999999999994</v>
          </cell>
          <cell r="AR16">
            <v>47.433999999999997</v>
          </cell>
          <cell r="AX16">
            <v>52.601999999999997</v>
          </cell>
          <cell r="BD16">
            <v>57.678361719547198</v>
          </cell>
        </row>
        <row r="17">
          <cell r="P17">
            <v>55.715000000000003</v>
          </cell>
          <cell r="Q17">
            <v>62.945</v>
          </cell>
          <cell r="R17">
            <v>59.539000000000001</v>
          </cell>
          <cell r="S17">
            <v>71.253</v>
          </cell>
          <cell r="T17">
            <v>249.452</v>
          </cell>
          <cell r="V17">
            <v>60.524000000000001</v>
          </cell>
          <cell r="W17">
            <v>69.84</v>
          </cell>
          <cell r="X17">
            <v>63.780999999999999</v>
          </cell>
          <cell r="Y17">
            <v>73.837999999999994</v>
          </cell>
          <cell r="Z17">
            <v>267.983</v>
          </cell>
          <cell r="AB17">
            <v>70.105999999999995</v>
          </cell>
          <cell r="AC17">
            <v>77.897999999999996</v>
          </cell>
          <cell r="AD17">
            <v>70.218999999999994</v>
          </cell>
          <cell r="AE17">
            <v>83.306999999999974</v>
          </cell>
          <cell r="AF17">
            <v>301.52999999999975</v>
          </cell>
          <cell r="AH17">
            <v>66.433000000000035</v>
          </cell>
          <cell r="AI17">
            <v>76.946999999999989</v>
          </cell>
          <cell r="AJ17">
            <v>70.657999999999987</v>
          </cell>
          <cell r="AK17">
            <v>71.958000000000027</v>
          </cell>
          <cell r="AL17">
            <v>285.99599999999998</v>
          </cell>
          <cell r="AN17">
            <v>74.704999999999956</v>
          </cell>
          <cell r="AO17">
            <v>89.228000000000037</v>
          </cell>
          <cell r="AP17">
            <v>77.390000000000015</v>
          </cell>
          <cell r="AQ17">
            <v>81.28</v>
          </cell>
          <cell r="AR17">
            <v>322.60299999999984</v>
          </cell>
          <cell r="AX17">
            <v>365.41800000000001</v>
          </cell>
          <cell r="BD17">
            <v>419.39315456970928</v>
          </cell>
        </row>
        <row r="18">
          <cell r="P18">
            <v>7.3709999999999996</v>
          </cell>
          <cell r="Q18">
            <v>9.0170000000000012</v>
          </cell>
          <cell r="R18">
            <v>9.9359999999999999</v>
          </cell>
          <cell r="S18">
            <v>10.725</v>
          </cell>
          <cell r="T18">
            <v>35.362000000000002</v>
          </cell>
          <cell r="V18">
            <v>5.29</v>
          </cell>
          <cell r="W18">
            <v>5.5419999999999998</v>
          </cell>
          <cell r="X18">
            <v>4.202</v>
          </cell>
          <cell r="Y18">
            <v>5.7949999999999999</v>
          </cell>
          <cell r="Z18">
            <v>22.576000000000001</v>
          </cell>
          <cell r="AB18">
            <v>5.4959999999999996</v>
          </cell>
          <cell r="AC18">
            <v>5.2140000000000004</v>
          </cell>
          <cell r="AD18">
            <v>5.5430000000000001</v>
          </cell>
          <cell r="AE18">
            <v>4.7220000000000004</v>
          </cell>
          <cell r="AF18">
            <v>20.975000000000001</v>
          </cell>
          <cell r="AH18">
            <v>-0.22500000000000001</v>
          </cell>
          <cell r="AI18">
            <v>0.68200000000000005</v>
          </cell>
          <cell r="AJ18">
            <v>2.8620000000000001</v>
          </cell>
          <cell r="AK18">
            <v>-1.4359999999999999</v>
          </cell>
          <cell r="AL18">
            <v>1.883</v>
          </cell>
          <cell r="AN18">
            <v>-1.2010000000000001</v>
          </cell>
          <cell r="AO18">
            <v>0.52600000000000002</v>
          </cell>
          <cell r="AP18">
            <v>5.3999999999999999E-2</v>
          </cell>
          <cell r="AQ18">
            <v>0.57899999999999996</v>
          </cell>
          <cell r="AR18">
            <v>-4.2000000000000037E-2</v>
          </cell>
          <cell r="AX18">
            <v>-3.2439999999999998</v>
          </cell>
          <cell r="BD18">
            <v>16.215368731512257</v>
          </cell>
        </row>
        <row r="19">
          <cell r="P19">
            <v>48.344000000000001</v>
          </cell>
          <cell r="Q19">
            <v>53.927999999999997</v>
          </cell>
          <cell r="R19">
            <v>49.603000000000002</v>
          </cell>
          <cell r="S19">
            <v>60.527999999999999</v>
          </cell>
          <cell r="T19">
            <v>214.09</v>
          </cell>
          <cell r="V19">
            <v>55.234000000000002</v>
          </cell>
          <cell r="W19">
            <v>64.298000000000002</v>
          </cell>
          <cell r="X19">
            <v>59.579000000000001</v>
          </cell>
          <cell r="Y19">
            <v>68.042999999999992</v>
          </cell>
          <cell r="Z19">
            <v>247.154</v>
          </cell>
          <cell r="AB19">
            <v>64.61</v>
          </cell>
          <cell r="AC19">
            <v>72.683999999999997</v>
          </cell>
          <cell r="AD19">
            <v>64.675999999999988</v>
          </cell>
          <cell r="AE19">
            <v>78.58499999999998</v>
          </cell>
          <cell r="AF19">
            <v>280.55499999999972</v>
          </cell>
          <cell r="AH19">
            <v>66.65800000000003</v>
          </cell>
          <cell r="AI19">
            <v>76.264999999999986</v>
          </cell>
          <cell r="AJ19">
            <v>67.795999999999992</v>
          </cell>
          <cell r="AK19">
            <v>73.394000000000034</v>
          </cell>
          <cell r="AL19">
            <v>284.113</v>
          </cell>
          <cell r="AN19">
            <v>75.905999999999949</v>
          </cell>
          <cell r="AO19">
            <v>88.702000000000041</v>
          </cell>
          <cell r="AP19">
            <v>77.336000000000013</v>
          </cell>
          <cell r="AQ19">
            <v>80.701000000000008</v>
          </cell>
          <cell r="AR19">
            <v>322.64499999999981</v>
          </cell>
          <cell r="AX19">
            <v>368.66200000000003</v>
          </cell>
          <cell r="BD19">
            <v>403.177785838197</v>
          </cell>
        </row>
        <row r="20">
          <cell r="P20">
            <v>16.195999999999998</v>
          </cell>
          <cell r="Q20">
            <v>18.117999999999995</v>
          </cell>
          <cell r="R20">
            <v>14.703000000000003</v>
          </cell>
          <cell r="S20">
            <v>19.744999999999997</v>
          </cell>
          <cell r="T20">
            <v>69.547439999999995</v>
          </cell>
          <cell r="V20">
            <v>17.795000000000002</v>
          </cell>
          <cell r="W20">
            <v>20.847999999999999</v>
          </cell>
          <cell r="X20">
            <v>19.292000000000002</v>
          </cell>
          <cell r="Y20">
            <v>19.365999999999993</v>
          </cell>
          <cell r="Z20">
            <v>77.300999999999988</v>
          </cell>
          <cell r="AB20">
            <v>18.841999999999999</v>
          </cell>
          <cell r="AC20">
            <v>23.235560000000003</v>
          </cell>
          <cell r="AD20">
            <v>16.899560000000001</v>
          </cell>
          <cell r="AE20">
            <v>22.2607</v>
          </cell>
          <cell r="AF20">
            <v>81.237819999999999</v>
          </cell>
          <cell r="AH20">
            <v>20.110999999999997</v>
          </cell>
          <cell r="AI20">
            <v>23.169999999999998</v>
          </cell>
          <cell r="AJ20">
            <v>19.815000000000008</v>
          </cell>
          <cell r="AK20">
            <v>17.735999999999994</v>
          </cell>
          <cell r="AL20">
            <v>80.831999999999994</v>
          </cell>
          <cell r="AN20">
            <v>22.983000000000001</v>
          </cell>
          <cell r="AO20">
            <v>26.965</v>
          </cell>
          <cell r="AP20">
            <v>25.157000000000004</v>
          </cell>
          <cell r="AQ20">
            <v>23.390900000000002</v>
          </cell>
          <cell r="AR20">
            <v>98.495900000000006</v>
          </cell>
          <cell r="AX20">
            <v>112.226</v>
          </cell>
          <cell r="BD20">
            <v>112.57030182053337</v>
          </cell>
        </row>
        <row r="21">
          <cell r="P21">
            <v>32.148000000000003</v>
          </cell>
          <cell r="Q21">
            <v>35.81</v>
          </cell>
          <cell r="R21">
            <v>34.9</v>
          </cell>
          <cell r="S21">
            <v>40.783000000000001</v>
          </cell>
          <cell r="T21">
            <v>144.54256000000001</v>
          </cell>
          <cell r="V21">
            <v>37.439</v>
          </cell>
          <cell r="W21">
            <v>43.45</v>
          </cell>
          <cell r="X21">
            <v>40.286999999999999</v>
          </cell>
          <cell r="Y21">
            <v>48.677</v>
          </cell>
          <cell r="Z21">
            <v>169.85300000000001</v>
          </cell>
          <cell r="AB21">
            <v>45.768000000000001</v>
          </cell>
          <cell r="AC21">
            <v>49.448439999999991</v>
          </cell>
          <cell r="AD21">
            <v>47.776439999999987</v>
          </cell>
          <cell r="AE21">
            <v>56.32429999999998</v>
          </cell>
          <cell r="AF21">
            <v>199.31717999999972</v>
          </cell>
          <cell r="AH21">
            <v>46.547000000000033</v>
          </cell>
          <cell r="AI21">
            <v>53.094999999999985</v>
          </cell>
          <cell r="AJ21">
            <v>47.98099999999998</v>
          </cell>
          <cell r="AK21">
            <v>55.658000000000044</v>
          </cell>
          <cell r="AL21">
            <v>203.28100000000001</v>
          </cell>
          <cell r="AN21">
            <v>52.922999999999945</v>
          </cell>
          <cell r="AO21">
            <v>61.737000000000037</v>
          </cell>
          <cell r="AP21">
            <v>52.179000000000009</v>
          </cell>
          <cell r="AQ21">
            <v>57.310100000000006</v>
          </cell>
          <cell r="AR21">
            <v>224.14909999999981</v>
          </cell>
          <cell r="AX21">
            <v>256.43600000000004</v>
          </cell>
          <cell r="BD21">
            <v>290.60748401766364</v>
          </cell>
        </row>
        <row r="22">
          <cell r="P22">
            <v>32.148000000000003</v>
          </cell>
          <cell r="Q22">
            <v>35.81</v>
          </cell>
          <cell r="R22">
            <v>34.9</v>
          </cell>
          <cell r="S22">
            <v>40.783000000000001</v>
          </cell>
          <cell r="T22">
            <v>144.54256000000001</v>
          </cell>
          <cell r="V22">
            <v>37.439</v>
          </cell>
          <cell r="W22">
            <v>43.45</v>
          </cell>
          <cell r="X22">
            <v>40.286999999999999</v>
          </cell>
          <cell r="Y22">
            <v>48.677</v>
          </cell>
          <cell r="Z22">
            <v>169.85300000000001</v>
          </cell>
          <cell r="AB22">
            <v>45.768000000000001</v>
          </cell>
          <cell r="AC22">
            <v>49.448439999999991</v>
          </cell>
          <cell r="AD22">
            <v>47.776439999999987</v>
          </cell>
          <cell r="AE22">
            <v>56.32429999999998</v>
          </cell>
          <cell r="AF22">
            <v>199.31717999999972</v>
          </cell>
          <cell r="AH22">
            <v>46.547000000000033</v>
          </cell>
          <cell r="AI22">
            <v>53.094999999999985</v>
          </cell>
          <cell r="AJ22">
            <v>47.98099999999998</v>
          </cell>
          <cell r="AK22">
            <v>55.658000000000044</v>
          </cell>
          <cell r="AL22">
            <v>203.28100000000001</v>
          </cell>
          <cell r="AN22">
            <v>52.922999999999945</v>
          </cell>
          <cell r="AO22">
            <v>61.737000000000037</v>
          </cell>
          <cell r="AP22">
            <v>52.179000000000009</v>
          </cell>
          <cell r="AQ22">
            <v>57.310100000000006</v>
          </cell>
          <cell r="AR22">
            <v>224.14909999999981</v>
          </cell>
          <cell r="AX22">
            <v>256.43600000000004</v>
          </cell>
          <cell r="BD22">
            <v>282.58364997549893</v>
          </cell>
        </row>
        <row r="23">
          <cell r="P23">
            <v>155.89400000000001</v>
          </cell>
          <cell r="Q23">
            <v>156.32599999999999</v>
          </cell>
          <cell r="R23">
            <v>156.494</v>
          </cell>
          <cell r="S23">
            <v>156.494</v>
          </cell>
          <cell r="T23">
            <v>156.36000000000001</v>
          </cell>
          <cell r="V23">
            <v>156.88399999999999</v>
          </cell>
          <cell r="W23">
            <v>157.376</v>
          </cell>
          <cell r="X23">
            <v>157.99799999999999</v>
          </cell>
          <cell r="Y23">
            <v>158.30600000000001</v>
          </cell>
          <cell r="Z23">
            <v>157.64099999999999</v>
          </cell>
          <cell r="AB23">
            <v>159.84399999999999</v>
          </cell>
          <cell r="AC23">
            <v>160.98599999999999</v>
          </cell>
          <cell r="AD23">
            <v>160.99</v>
          </cell>
          <cell r="AE23">
            <v>161.27199999999999</v>
          </cell>
          <cell r="AF23">
            <v>160.773</v>
          </cell>
          <cell r="AH23">
            <v>161.40600000000001</v>
          </cell>
          <cell r="AI23">
            <v>160.274</v>
          </cell>
          <cell r="AJ23">
            <v>157.79</v>
          </cell>
          <cell r="AK23">
            <v>157.35400000000001</v>
          </cell>
          <cell r="AL23">
            <v>159.20600000000002</v>
          </cell>
          <cell r="AN23">
            <v>157.99799999999999</v>
          </cell>
          <cell r="AO23">
            <v>156.81399999999999</v>
          </cell>
          <cell r="AP23">
            <v>153.96799999999999</v>
          </cell>
          <cell r="AQ23">
            <v>152.21100000000001</v>
          </cell>
          <cell r="AR23">
            <v>155.24775</v>
          </cell>
          <cell r="AX23">
            <v>151.709</v>
          </cell>
          <cell r="BD23">
            <v>149.6937125</v>
          </cell>
        </row>
        <row r="24">
          <cell r="B24" t="str">
            <v>Diluted shares outstanding</v>
          </cell>
          <cell r="D24">
            <v>157.608</v>
          </cell>
          <cell r="E24">
            <v>157.13400000000001</v>
          </cell>
          <cell r="F24">
            <v>156.96600000000001</v>
          </cell>
          <cell r="G24">
            <v>156.77199999999999</v>
          </cell>
          <cell r="H24">
            <v>157.12</v>
          </cell>
          <cell r="J24">
            <v>156.982</v>
          </cell>
          <cell r="K24">
            <v>157.85599999999999</v>
          </cell>
          <cell r="L24">
            <v>158.30000000000001</v>
          </cell>
          <cell r="M24">
            <v>158.66199999999995</v>
          </cell>
          <cell r="N24">
            <v>157.94999999999999</v>
          </cell>
          <cell r="P24">
            <v>159.24199999999999</v>
          </cell>
          <cell r="Q24">
            <v>160.15199999999999</v>
          </cell>
          <cell r="R24">
            <v>160.25399999999999</v>
          </cell>
          <cell r="S24">
            <v>160.25399999999999</v>
          </cell>
          <cell r="T24">
            <v>159.988</v>
          </cell>
          <cell r="V24">
            <v>160.01400000000001</v>
          </cell>
          <cell r="W24">
            <v>160.654</v>
          </cell>
          <cell r="X24">
            <v>162.01400000000001</v>
          </cell>
          <cell r="Y24">
            <v>162.346</v>
          </cell>
          <cell r="Z24">
            <v>161.25700000000001</v>
          </cell>
          <cell r="AB24">
            <v>163.00200000000001</v>
          </cell>
          <cell r="AC24">
            <v>164.178</v>
          </cell>
          <cell r="AD24">
            <v>164.22</v>
          </cell>
          <cell r="AE24">
            <v>164.61199999999999</v>
          </cell>
          <cell r="AF24">
            <v>164.00299999999999</v>
          </cell>
          <cell r="AH24">
            <v>164.578</v>
          </cell>
          <cell r="AI24">
            <v>163.21600000000001</v>
          </cell>
          <cell r="AJ24">
            <v>160.43799999999999</v>
          </cell>
          <cell r="AK24">
            <v>159.95200000000003</v>
          </cell>
          <cell r="AL24">
            <v>162.04599999999999</v>
          </cell>
          <cell r="AN24">
            <v>161.06</v>
          </cell>
          <cell r="AO24">
            <v>159.834</v>
          </cell>
          <cell r="AP24">
            <v>157.15299999999999</v>
          </cell>
          <cell r="AQ24">
            <v>155.03299999999999</v>
          </cell>
          <cell r="AR24">
            <v>158.27000000000001</v>
          </cell>
          <cell r="AT24">
            <v>154.56399999999999</v>
          </cell>
          <cell r="AU24">
            <v>154.87299999999999</v>
          </cell>
          <cell r="AV24">
            <v>154.73599999999999</v>
          </cell>
          <cell r="AW24">
            <v>154.53800000000001</v>
          </cell>
          <cell r="AX24">
            <v>154.67775</v>
          </cell>
          <cell r="AZ24">
            <v>152.983</v>
          </cell>
          <cell r="BA24">
            <v>151.79</v>
          </cell>
          <cell r="BB24">
            <v>152.54894999999999</v>
          </cell>
          <cell r="BC24">
            <v>153.30789999999999</v>
          </cell>
          <cell r="BD24">
            <v>152.65746250000001</v>
          </cell>
          <cell r="BF24">
            <v>154.07443949999998</v>
          </cell>
          <cell r="BG24">
            <v>154.84097899999998</v>
          </cell>
          <cell r="BH24">
            <v>155.60751849999997</v>
          </cell>
          <cell r="BI24">
            <v>156.37405799999996</v>
          </cell>
          <cell r="BJ24">
            <v>155.22424874999999</v>
          </cell>
          <cell r="BL24">
            <v>157.15592828999996</v>
          </cell>
          <cell r="BM24">
            <v>157.93779857999996</v>
          </cell>
          <cell r="BN24">
            <v>158.71966886999996</v>
          </cell>
          <cell r="BO24">
            <v>159.50153915999996</v>
          </cell>
          <cell r="BP24">
            <v>158.32873372499998</v>
          </cell>
          <cell r="BR24">
            <v>160.29904685579996</v>
          </cell>
          <cell r="BS24">
            <v>161.09655455159995</v>
          </cell>
          <cell r="BT24">
            <v>161.89406224739994</v>
          </cell>
          <cell r="BU24">
            <v>162.69156994319994</v>
          </cell>
          <cell r="BV24">
            <v>161.49530839949995</v>
          </cell>
          <cell r="BX24">
            <v>163.50502779291594</v>
          </cell>
          <cell r="BY24">
            <v>164.31848564263194</v>
          </cell>
          <cell r="BZ24">
            <v>165.13194349234794</v>
          </cell>
          <cell r="CA24">
            <v>165.94540134206395</v>
          </cell>
          <cell r="CB24">
            <v>164.72521456748993</v>
          </cell>
          <cell r="CD24">
            <v>166.77512834877427</v>
          </cell>
          <cell r="CE24">
            <v>167.6048553554846</v>
          </cell>
          <cell r="CF24">
            <v>168.43458236219493</v>
          </cell>
          <cell r="CG24">
            <v>169.26430936890526</v>
          </cell>
          <cell r="CH24">
            <v>168.01971885883975</v>
          </cell>
          <cell r="CJ24">
            <v>170.11063091574979</v>
          </cell>
          <cell r="CK24">
            <v>170.95695246259433</v>
          </cell>
          <cell r="CL24">
            <v>171.80327400943887</v>
          </cell>
          <cell r="CM24">
            <v>172.6495955562834</v>
          </cell>
          <cell r="CN24">
            <v>171.3801132360166</v>
          </cell>
          <cell r="CP24">
            <v>173.51284353406481</v>
          </cell>
          <cell r="CQ24">
            <v>174.37609151184623</v>
          </cell>
          <cell r="CR24">
            <v>175.23933948962764</v>
          </cell>
          <cell r="CS24">
            <v>176.10258746740905</v>
          </cell>
          <cell r="CT24">
            <v>174.80771550073692</v>
          </cell>
          <cell r="CV24">
            <v>176.9831004047461</v>
          </cell>
          <cell r="CW24">
            <v>177.86361334208314</v>
          </cell>
          <cell r="CX24">
            <v>178.74412627942019</v>
          </cell>
          <cell r="CY24">
            <v>179.62463921675723</v>
          </cell>
          <cell r="CZ24">
            <v>178.30386981075168</v>
          </cell>
          <cell r="DB24">
            <v>180.52276241284102</v>
          </cell>
          <cell r="DC24">
            <v>181.42088560892481</v>
          </cell>
          <cell r="DD24">
            <v>182.31900880500859</v>
          </cell>
          <cell r="DE24">
            <v>183.21713200109238</v>
          </cell>
          <cell r="DF24">
            <v>181.86994720696671</v>
          </cell>
          <cell r="DH24">
            <v>184.13321766109783</v>
          </cell>
          <cell r="DI24">
            <v>185.04930332110328</v>
          </cell>
          <cell r="DJ24">
            <v>185.96538898110873</v>
          </cell>
          <cell r="DK24">
            <v>186.88147464111418</v>
          </cell>
          <cell r="DL24">
            <v>185.50734615110602</v>
          </cell>
        </row>
        <row r="25">
          <cell r="P25">
            <v>159.24199999999999</v>
          </cell>
          <cell r="Q25">
            <v>160.15199999999999</v>
          </cell>
          <cell r="R25">
            <v>160.25399999999999</v>
          </cell>
          <cell r="S25">
            <v>160.25399999999999</v>
          </cell>
          <cell r="T25">
            <v>159.988</v>
          </cell>
          <cell r="V25">
            <v>160.01400000000001</v>
          </cell>
          <cell r="W25">
            <v>160.654</v>
          </cell>
          <cell r="X25">
            <v>162.01400000000001</v>
          </cell>
          <cell r="Y25">
            <v>162.346</v>
          </cell>
          <cell r="Z25">
            <v>161.25700000000001</v>
          </cell>
          <cell r="AB25">
            <v>163.00200000000001</v>
          </cell>
          <cell r="AC25">
            <v>164.178</v>
          </cell>
          <cell r="AD25">
            <v>164.22</v>
          </cell>
          <cell r="AE25">
            <v>164.61199999999999</v>
          </cell>
          <cell r="AF25">
            <v>164.00299999999999</v>
          </cell>
          <cell r="AH25">
            <v>164.578</v>
          </cell>
          <cell r="AI25">
            <v>163.21600000000001</v>
          </cell>
          <cell r="AJ25">
            <v>160.43799999999999</v>
          </cell>
          <cell r="AK25">
            <v>159.95200000000003</v>
          </cell>
          <cell r="AL25">
            <v>162.04599999999999</v>
          </cell>
          <cell r="AN25">
            <v>161.06</v>
          </cell>
          <cell r="AO25">
            <v>159.834</v>
          </cell>
          <cell r="AP25">
            <v>157.15299999999999</v>
          </cell>
          <cell r="AQ25">
            <v>155.03299999999999</v>
          </cell>
          <cell r="AR25">
            <v>158.27000000000001</v>
          </cell>
          <cell r="AX25">
            <v>154.67775</v>
          </cell>
          <cell r="BD25">
            <v>152.11675000000002</v>
          </cell>
        </row>
        <row r="26">
          <cell r="P26">
            <v>0.20621704491513465</v>
          </cell>
          <cell r="Q26">
            <v>0.22907257909752698</v>
          </cell>
          <cell r="R26">
            <v>0.22301174485922781</v>
          </cell>
          <cell r="S26">
            <v>0.26060424041816299</v>
          </cell>
          <cell r="T26">
            <v>0.92442159119979528</v>
          </cell>
          <cell r="V26">
            <v>0.23864128910532625</v>
          </cell>
          <cell r="W26">
            <v>0.27609038226921512</v>
          </cell>
          <cell r="X26">
            <v>0.25498424030683936</v>
          </cell>
          <cell r="Y26">
            <v>0.30748676613646986</v>
          </cell>
          <cell r="Z26">
            <v>1.0774671563869807</v>
          </cell>
          <cell r="AB26">
            <v>0.28632917094166815</v>
          </cell>
          <cell r="AC26">
            <v>0.30715987725640737</v>
          </cell>
          <cell r="AD26">
            <v>0.29676650723647424</v>
          </cell>
          <cell r="AE26">
            <v>0.34925033483803747</v>
          </cell>
          <cell r="AF26">
            <v>1.2397428672724882</v>
          </cell>
          <cell r="AH26">
            <v>0.28838457058597594</v>
          </cell>
          <cell r="AI26">
            <v>0.3312764390980445</v>
          </cell>
          <cell r="AJ26">
            <v>0.304081373978072</v>
          </cell>
          <cell r="AK26">
            <v>0.35371201240515043</v>
          </cell>
          <cell r="AL26">
            <v>1.2768425813097495</v>
          </cell>
          <cell r="AN26">
            <v>0.33495993620172376</v>
          </cell>
          <cell r="AO26">
            <v>0.39369571594372976</v>
          </cell>
          <cell r="AP26">
            <v>0.33889509508469301</v>
          </cell>
          <cell r="AQ26">
            <v>0.37651746588617119</v>
          </cell>
          <cell r="AR26">
            <v>1.4438154498213327</v>
          </cell>
          <cell r="AX26">
            <v>1.6903150109749587</v>
          </cell>
          <cell r="BD26">
            <v>1.9413472961842912</v>
          </cell>
        </row>
        <row r="27">
          <cell r="B27" t="str">
            <v>Diluted E.P.S.</v>
          </cell>
          <cell r="D27">
            <v>0.14081138013298805</v>
          </cell>
          <cell r="E27">
            <v>0.15672610638054141</v>
          </cell>
          <cell r="F27">
            <v>0.1486627677331398</v>
          </cell>
          <cell r="G27">
            <v>0.14292730844793722</v>
          </cell>
          <cell r="H27">
            <v>0.58911659877800449</v>
          </cell>
          <cell r="J27">
            <v>0.2536978761896268</v>
          </cell>
          <cell r="K27">
            <v>0.1736012568416784</v>
          </cell>
          <cell r="L27">
            <v>0.16373341756159196</v>
          </cell>
          <cell r="M27">
            <v>0.20967213321400213</v>
          </cell>
          <cell r="N27">
            <v>0.82531813865147208</v>
          </cell>
          <cell r="P27">
            <v>0.20188141319501141</v>
          </cell>
          <cell r="Q27">
            <v>0.22360007992407216</v>
          </cell>
          <cell r="R27">
            <v>0.21777927540030204</v>
          </cell>
          <cell r="S27">
            <v>0.25448974752580283</v>
          </cell>
          <cell r="T27">
            <v>0.90345875940695552</v>
          </cell>
          <cell r="V27">
            <v>0.23397327733823289</v>
          </cell>
          <cell r="W27">
            <v>0.27045700698395314</v>
          </cell>
          <cell r="X27">
            <v>0.24866369572999861</v>
          </cell>
          <cell r="Y27">
            <v>0.2998349204784842</v>
          </cell>
          <cell r="Z27">
            <v>1.053306213063619</v>
          </cell>
          <cell r="AB27">
            <v>0.28078183089778036</v>
          </cell>
          <cell r="AC27">
            <v>0.30118797890094889</v>
          </cell>
          <cell r="AD27">
            <v>0.29092948483741315</v>
          </cell>
          <cell r="AE27">
            <v>0.3421639977644399</v>
          </cell>
          <cell r="AF27">
            <v>1.2153264269556028</v>
          </cell>
          <cell r="AH27">
            <v>0.28282638019662426</v>
          </cell>
          <cell r="AI27">
            <v>0.3253051171453778</v>
          </cell>
          <cell r="AJ27">
            <v>0.29906256622495908</v>
          </cell>
          <cell r="AK27">
            <v>0.34796689006702031</v>
          </cell>
          <cell r="AL27">
            <v>1.2544647816052232</v>
          </cell>
          <cell r="AN27">
            <v>0.32859182913200013</v>
          </cell>
          <cell r="AO27">
            <v>0.38625699162881511</v>
          </cell>
          <cell r="AP27">
            <v>0.33202675100061729</v>
          </cell>
          <cell r="AQ27">
            <v>0.36966387801306827</v>
          </cell>
          <cell r="AR27">
            <v>1.4162450243255185</v>
          </cell>
          <cell r="AT27">
            <v>0.38104603918118035</v>
          </cell>
          <cell r="AU27">
            <v>0.43934707792836736</v>
          </cell>
          <cell r="AV27">
            <v>0.39418751938786056</v>
          </cell>
          <cell r="AW27">
            <v>0.44326961653444447</v>
          </cell>
          <cell r="AX27">
            <v>1.6578725770189962</v>
          </cell>
          <cell r="AZ27">
            <v>0.45067752626108837</v>
          </cell>
          <cell r="BA27">
            <v>0.52336781079122474</v>
          </cell>
          <cell r="BB27">
            <v>0.43775525559611161</v>
          </cell>
          <cell r="BC27">
            <v>0.49208409625006433</v>
          </cell>
          <cell r="BD27">
            <v>1.9036572418964688</v>
          </cell>
          <cell r="BF27">
            <v>0.5051462028423116</v>
          </cell>
          <cell r="BG27">
            <v>0.55461254494668033</v>
          </cell>
          <cell r="BH27">
            <v>0.48833901341651831</v>
          </cell>
          <cell r="BI27">
            <v>0.54771739880929671</v>
          </cell>
          <cell r="BJ27">
            <v>2.0959668638576994</v>
          </cell>
          <cell r="BL27">
            <v>0.56190243377305815</v>
          </cell>
          <cell r="BM27">
            <v>0.61948900817595087</v>
          </cell>
          <cell r="BN27">
            <v>0.55356489073451831</v>
          </cell>
          <cell r="BO27">
            <v>0.60018988948656249</v>
          </cell>
          <cell r="BP27">
            <v>2.3352670573545304</v>
          </cell>
          <cell r="BR27">
            <v>0.61848955326520261</v>
          </cell>
          <cell r="BS27">
            <v>0.67976117423277194</v>
          </cell>
          <cell r="BT27">
            <v>0.60945904513077254</v>
          </cell>
          <cell r="BU27">
            <v>0.65919605716589513</v>
          </cell>
          <cell r="BV27">
            <v>2.5670337739492082</v>
          </cell>
          <cell r="BX27">
            <v>0.67719887322965966</v>
          </cell>
          <cell r="BY27">
            <v>0.7423988372627135</v>
          </cell>
          <cell r="BZ27">
            <v>0.66762069123300094</v>
          </cell>
          <cell r="CA27">
            <v>0.72055521711361137</v>
          </cell>
          <cell r="CB27">
            <v>2.807910139544227</v>
          </cell>
          <cell r="CD27">
            <v>0.73913251219608833</v>
          </cell>
          <cell r="CE27">
            <v>0.80846217394398601</v>
          </cell>
          <cell r="CF27">
            <v>0.72899151568473031</v>
          </cell>
          <cell r="CG27">
            <v>0.78528811636729745</v>
          </cell>
          <cell r="CH27">
            <v>3.0620199877087799</v>
          </cell>
          <cell r="CJ27">
            <v>0.80443747767315965</v>
          </cell>
          <cell r="CK27">
            <v>0.87810939331472282</v>
          </cell>
          <cell r="CL27">
            <v>0.79372803179636786</v>
          </cell>
          <cell r="CM27">
            <v>0.85356126816836941</v>
          </cell>
          <cell r="CN27">
            <v>3.329991701841426</v>
          </cell>
          <cell r="CP27">
            <v>0.87328323469809521</v>
          </cell>
          <cell r="CQ27">
            <v>0.95151548820028431</v>
          </cell>
          <cell r="CR27">
            <v>0.86199731035440041</v>
          </cell>
          <cell r="CS27">
            <v>0.92554617059818245</v>
          </cell>
          <cell r="CT27">
            <v>3.6125083041715884</v>
          </cell>
          <cell r="CV27">
            <v>0.94583806670402748</v>
          </cell>
          <cell r="CW27">
            <v>1.0288543675637309</v>
          </cell>
          <cell r="CX27">
            <v>0.93396545205459458</v>
          </cell>
          <cell r="CY27">
            <v>1.0014134441029681</v>
          </cell>
          <cell r="CZ27">
            <v>3.9102487062689941</v>
          </cell>
          <cell r="DB27">
            <v>1.0222693225994783</v>
          </cell>
          <cell r="DC27">
            <v>1.1102990712378997</v>
          </cell>
          <cell r="DD27">
            <v>1.0097978014458302</v>
          </cell>
          <cell r="DE27">
            <v>1.0813330170260258</v>
          </cell>
          <cell r="DF27">
            <v>4.2238885698734041</v>
          </cell>
          <cell r="DH27">
            <v>1.1027435842091273</v>
          </cell>
          <cell r="DI27">
            <v>1.1960219063455055</v>
          </cell>
          <cell r="DJ27">
            <v>1.0896590852795363</v>
          </cell>
          <cell r="DK27">
            <v>1.165474236852341</v>
          </cell>
          <cell r="DL27">
            <v>4.5541008599380257</v>
          </cell>
        </row>
        <row r="28">
          <cell r="B28" t="str">
            <v>Diluted E.P.S.</v>
          </cell>
          <cell r="C28" t="str">
            <v>FASB 123 E.P.S.</v>
          </cell>
          <cell r="D28">
            <v>0.14081138013298805</v>
          </cell>
          <cell r="E28">
            <v>0.15672610638054141</v>
          </cell>
          <cell r="F28">
            <v>0.1486627677331398</v>
          </cell>
          <cell r="G28">
            <v>0.14292730844793722</v>
          </cell>
          <cell r="H28">
            <v>0.58911659877800449</v>
          </cell>
          <cell r="J28">
            <v>0.2536978761896268</v>
          </cell>
          <cell r="K28">
            <v>0.1736012568416784</v>
          </cell>
          <cell r="L28">
            <v>0.16373341756159196</v>
          </cell>
          <cell r="M28">
            <v>0.20967213321400213</v>
          </cell>
          <cell r="N28">
            <v>0.82531813865147208</v>
          </cell>
          <cell r="P28">
            <v>0.1881727182527223</v>
          </cell>
          <cell r="Q28">
            <v>0.20964458764174038</v>
          </cell>
          <cell r="R28">
            <v>0.20307137419346788</v>
          </cell>
          <cell r="S28">
            <v>0.23701124464911955</v>
          </cell>
          <cell r="T28">
            <v>0.84360427032027407</v>
          </cell>
          <cell r="V28">
            <v>0.21713725049058205</v>
          </cell>
          <cell r="W28">
            <v>0.25350131338155291</v>
          </cell>
          <cell r="X28">
            <v>0.23143678941326057</v>
          </cell>
          <cell r="Y28">
            <v>0.28226134305742057</v>
          </cell>
          <cell r="Z28">
            <v>0.98470764059854765</v>
          </cell>
          <cell r="AB28">
            <v>0.26083729033999581</v>
          </cell>
          <cell r="AC28">
            <v>0.28138630023511063</v>
          </cell>
          <cell r="AD28">
            <v>0.27056046766532693</v>
          </cell>
          <cell r="AE28">
            <v>0.33091937404320454</v>
          </cell>
          <cell r="AF28">
            <v>1.1441813869258473</v>
          </cell>
          <cell r="AH28">
            <v>0.28282638019662426</v>
          </cell>
          <cell r="AI28">
            <v>0.3253051171453778</v>
          </cell>
          <cell r="AJ28">
            <v>0.29906256622495908</v>
          </cell>
          <cell r="AK28">
            <v>0.34796689006702031</v>
          </cell>
          <cell r="AL28">
            <v>1.2544647816052232</v>
          </cell>
          <cell r="AN28">
            <v>0.32859182913200013</v>
          </cell>
          <cell r="AO28">
            <v>0.38625699162881511</v>
          </cell>
          <cell r="AP28">
            <v>0.33202675100061729</v>
          </cell>
          <cell r="AQ28">
            <v>0.36966387801306827</v>
          </cell>
          <cell r="AR28">
            <v>1.4162450243255185</v>
          </cell>
          <cell r="AT28">
            <v>0.38104603918118035</v>
          </cell>
          <cell r="AU28">
            <v>0.43934707792836736</v>
          </cell>
          <cell r="AV28">
            <v>0.39418751938786056</v>
          </cell>
          <cell r="AW28">
            <v>0.44326961653444447</v>
          </cell>
          <cell r="AX28">
            <v>1.6578725770189962</v>
          </cell>
          <cell r="AZ28">
            <v>0.45067752626108837</v>
          </cell>
          <cell r="BA28">
            <v>0.52336781079122474</v>
          </cell>
          <cell r="BB28">
            <v>0.45667350046474192</v>
          </cell>
          <cell r="BC28">
            <v>0.42711139019519478</v>
          </cell>
          <cell r="BD28">
            <v>1.8576760940231689</v>
          </cell>
          <cell r="BF28">
            <v>0.46166498849458842</v>
          </cell>
          <cell r="BG28">
            <v>0.53288506342354025</v>
          </cell>
          <cell r="BH28">
            <v>0.48557137320352683</v>
          </cell>
          <cell r="BI28">
            <v>0.52395926096935486</v>
          </cell>
          <cell r="BJ28">
            <v>2.0044253012199085</v>
          </cell>
          <cell r="BL28">
            <v>0.53417085031273848</v>
          </cell>
          <cell r="BM28">
            <v>0.57111343837777151</v>
          </cell>
          <cell r="BN28">
            <v>0.5358540209226974</v>
          </cell>
          <cell r="BO28">
            <v>0.55564362775124765</v>
          </cell>
          <cell r="BP28">
            <v>2.1968539346850942</v>
          </cell>
          <cell r="BR28">
            <v>0.57888755457272811</v>
          </cell>
          <cell r="BS28">
            <v>0.61764508515962735</v>
          </cell>
          <cell r="BT28">
            <v>0.58030818715615706</v>
          </cell>
          <cell r="BU28">
            <v>0.60116311460577709</v>
          </cell>
          <cell r="BV28">
            <v>2.3780767557710694</v>
          </cell>
          <cell r="BX28">
            <v>0.6238199186834279</v>
          </cell>
          <cell r="BY28">
            <v>0.66461782654542612</v>
          </cell>
          <cell r="BZ28">
            <v>0.62518119692953811</v>
          </cell>
          <cell r="CA28">
            <v>0.64710892909749484</v>
          </cell>
          <cell r="CB28">
            <v>2.5608030080500241</v>
          </cell>
          <cell r="CD28">
            <v>0.67038758394238185</v>
          </cell>
          <cell r="CE28">
            <v>0.71331681894864152</v>
          </cell>
          <cell r="CF28">
            <v>0.67171054154572707</v>
          </cell>
          <cell r="CG28">
            <v>0.69476376304131793</v>
          </cell>
          <cell r="CH28">
            <v>2.7502565402185488</v>
          </cell>
          <cell r="CJ28">
            <v>0.71866854137450531</v>
          </cell>
          <cell r="CK28">
            <v>0.76381814004456616</v>
          </cell>
          <cell r="CL28">
            <v>0.71996764482892128</v>
          </cell>
          <cell r="CM28">
            <v>0.74419661406742965</v>
          </cell>
          <cell r="CN28">
            <v>2.9467317643224953</v>
          </cell>
          <cell r="CP28">
            <v>0.76872678236379932</v>
          </cell>
          <cell r="CQ28">
            <v>0.81618570097849008</v>
          </cell>
          <cell r="CR28">
            <v>0.77001384563987396</v>
          </cell>
          <cell r="CS28">
            <v>0.79546824594252308</v>
          </cell>
          <cell r="CT28">
            <v>3.1504786552590009</v>
          </cell>
          <cell r="CV28">
            <v>0.82061991515718569</v>
          </cell>
          <cell r="CW28">
            <v>0.87047707699181431</v>
          </cell>
          <cell r="CX28">
            <v>0.82190435457630617</v>
          </cell>
          <cell r="CY28">
            <v>0.84863336996844396</v>
          </cell>
          <cell r="CZ28">
            <v>3.3617222911184865</v>
          </cell>
          <cell r="DB28">
            <v>0.8743995234207026</v>
          </cell>
          <cell r="DC28">
            <v>0.92674383530292859</v>
          </cell>
          <cell r="DD28">
            <v>0.87568856470488354</v>
          </cell>
          <cell r="DE28">
            <v>0.90374092980073062</v>
          </cell>
          <cell r="DF28">
            <v>3.5806641345836692</v>
          </cell>
          <cell r="DH28">
            <v>0.93011143041758826</v>
          </cell>
          <cell r="DI28">
            <v>0.98503177173568113</v>
          </cell>
          <cell r="DJ28">
            <v>0.93141027410029353</v>
          </cell>
          <cell r="DK28">
            <v>0.96083430097208922</v>
          </cell>
          <cell r="DL28">
            <v>3.8074829552849789</v>
          </cell>
        </row>
        <row r="29">
          <cell r="P29">
            <v>0.1881727182527223</v>
          </cell>
          <cell r="Q29">
            <v>0.20964458764174038</v>
          </cell>
          <cell r="R29">
            <v>0.20307137419346788</v>
          </cell>
          <cell r="S29">
            <v>0.23701124464911955</v>
          </cell>
          <cell r="T29">
            <v>0.84360427032027407</v>
          </cell>
          <cell r="V29">
            <v>0.21713725049058205</v>
          </cell>
          <cell r="W29">
            <v>0.25350131338155291</v>
          </cell>
          <cell r="X29">
            <v>0.23143678941326057</v>
          </cell>
          <cell r="Y29">
            <v>0.28226134305742057</v>
          </cell>
          <cell r="Z29">
            <v>0.98470764059854765</v>
          </cell>
          <cell r="AB29">
            <v>0.26083729033999581</v>
          </cell>
          <cell r="AC29">
            <v>0.28138630023511063</v>
          </cell>
          <cell r="AD29">
            <v>0.27056046766532693</v>
          </cell>
          <cell r="AE29">
            <v>0.33091937404320454</v>
          </cell>
          <cell r="AF29">
            <v>1.1441813869258473</v>
          </cell>
        </row>
        <row r="31">
          <cell r="P31">
            <v>0.60544714007437583</v>
          </cell>
          <cell r="Q31">
            <v>0.59438943528622001</v>
          </cell>
          <cell r="R31">
            <v>0.59834950089497008</v>
          </cell>
          <cell r="S31">
            <v>0.59917639908868003</v>
          </cell>
          <cell r="T31">
            <v>0.59918574544579806</v>
          </cell>
          <cell r="V31">
            <v>0.6053798357143082</v>
          </cell>
          <cell r="W31">
            <v>0.59642960737743289</v>
          </cell>
          <cell r="X31">
            <v>0.58642767632280124</v>
          </cell>
          <cell r="Y31">
            <v>0.58338216399576381</v>
          </cell>
          <cell r="Z31">
            <v>0.59254478764761431</v>
          </cell>
          <cell r="AB31">
            <v>0.59581578478234209</v>
          </cell>
          <cell r="AC31">
            <v>0.59160364057604997</v>
          </cell>
          <cell r="AD31">
            <v>0.6022295067731851</v>
          </cell>
          <cell r="AE31">
            <v>0.59667896633398287</v>
          </cell>
          <cell r="AF31">
            <v>0.59648385878799304</v>
          </cell>
          <cell r="AH31">
            <v>0.59299662096302563</v>
          </cell>
          <cell r="AI31">
            <v>0.59260365955599248</v>
          </cell>
          <cell r="AJ31">
            <v>0.58491106595016051</v>
          </cell>
          <cell r="AK31">
            <v>0.57959756907843807</v>
          </cell>
          <cell r="AL31">
            <v>0.58746427914472021</v>
          </cell>
          <cell r="AN31">
            <v>0.59726561583902471</v>
          </cell>
          <cell r="AO31">
            <v>0.59177401989025413</v>
          </cell>
          <cell r="AP31">
            <v>0.5953779331129937</v>
          </cell>
          <cell r="AQ31">
            <v>0.59262540619191961</v>
          </cell>
          <cell r="AR31">
            <v>0.59416965777823483</v>
          </cell>
          <cell r="AX31">
            <v>0.59356837934412843</v>
          </cell>
          <cell r="BD31">
            <v>0.59954885823545989</v>
          </cell>
        </row>
        <row r="32">
          <cell r="P32">
            <v>0.37138657694350991</v>
          </cell>
          <cell r="Q32">
            <v>0.35683220078149247</v>
          </cell>
          <cell r="R32">
            <v>0.36629080158480098</v>
          </cell>
          <cell r="S32">
            <v>0.35077584942264101</v>
          </cell>
          <cell r="T32">
            <v>0.36304095368432004</v>
          </cell>
          <cell r="V32">
            <v>0.37620034902031324</v>
          </cell>
          <cell r="W32">
            <v>0.3590926975246771</v>
          </cell>
          <cell r="X32">
            <v>0.35593055369678678</v>
          </cell>
          <cell r="Y32">
            <v>0.35453748850911471</v>
          </cell>
          <cell r="Z32">
            <v>0.36105982180116991</v>
          </cell>
          <cell r="AB32">
            <v>0.36426126171296136</v>
          </cell>
          <cell r="AC32">
            <v>0.35383453678164301</v>
          </cell>
          <cell r="AD32">
            <v>0.3641896781289799</v>
          </cell>
          <cell r="AE32">
            <v>0.35952754952591948</v>
          </cell>
          <cell r="AF32">
            <v>0.36032457725397127</v>
          </cell>
          <cell r="AH32">
            <v>0.37675720752918751</v>
          </cell>
          <cell r="AI32">
            <v>0.36663743047567243</v>
          </cell>
          <cell r="AJ32">
            <v>0.36198554671079236</v>
          </cell>
          <cell r="AK32">
            <v>0.3723922296436547</v>
          </cell>
          <cell r="AL32">
            <v>0.36942521484329455</v>
          </cell>
          <cell r="AN32">
            <v>0.37108317416308589</v>
          </cell>
          <cell r="AO32">
            <v>0.35440848688622129</v>
          </cell>
          <cell r="AP32">
            <v>0.3684078562473882</v>
          </cell>
          <cell r="AQ32">
            <v>0.37166412289842415</v>
          </cell>
          <cell r="AR32">
            <v>0.36623309665206993</v>
          </cell>
          <cell r="AX32">
            <v>0.36387431390423314</v>
          </cell>
          <cell r="BD32">
            <v>0.36699684778648417</v>
          </cell>
        </row>
        <row r="33">
          <cell r="P33">
            <v>0.23406056313086598</v>
          </cell>
          <cell r="Q33">
            <v>0.23755723450472757</v>
          </cell>
          <cell r="R33">
            <v>0.23205869931016912</v>
          </cell>
          <cell r="S33">
            <v>0.24840054966603897</v>
          </cell>
          <cell r="T33">
            <v>0.23614479176147807</v>
          </cell>
          <cell r="V33">
            <v>0.22917948669399502</v>
          </cell>
          <cell r="W33">
            <v>0.23733690985275577</v>
          </cell>
          <cell r="X33">
            <v>0.23049712262601441</v>
          </cell>
          <cell r="Y33">
            <v>0.22884467548664905</v>
          </cell>
          <cell r="Z33">
            <v>0.23148496584644446</v>
          </cell>
          <cell r="AB33">
            <v>0.23155452306938079</v>
          </cell>
          <cell r="AC33">
            <v>0.23776910379440699</v>
          </cell>
          <cell r="AD33">
            <v>0.23803982864420514</v>
          </cell>
          <cell r="AE33">
            <v>0.2371514168080634</v>
          </cell>
          <cell r="AF33">
            <v>0.2361592815340218</v>
          </cell>
          <cell r="AH33">
            <v>0.21623941343383812</v>
          </cell>
          <cell r="AI33">
            <v>0.22596622908032007</v>
          </cell>
          <cell r="AJ33">
            <v>0.22292551923936818</v>
          </cell>
          <cell r="AK33">
            <v>0.20720533943478334</v>
          </cell>
          <cell r="AL33">
            <v>0.21803906430142572</v>
          </cell>
          <cell r="AN33">
            <v>0.22618244167593879</v>
          </cell>
          <cell r="AO33">
            <v>0.2373655330040329</v>
          </cell>
          <cell r="AP33">
            <v>0.22697007686560552</v>
          </cell>
          <cell r="AQ33">
            <v>0.22096128329349546</v>
          </cell>
          <cell r="AR33">
            <v>0.22793656112616492</v>
          </cell>
          <cell r="AX33">
            <v>0.22969406543989526</v>
          </cell>
          <cell r="BD33">
            <v>0.23255201044897578</v>
          </cell>
        </row>
        <row r="34">
          <cell r="P34">
            <v>3.6734549318222072E-2</v>
          </cell>
          <cell r="Q34">
            <v>3.8241832010791434E-2</v>
          </cell>
          <cell r="R34">
            <v>3.2487078241165944E-2</v>
          </cell>
          <cell r="S34">
            <v>3.5081626604315283E-2</v>
          </cell>
          <cell r="T34">
            <v>3.5642886863354435E-2</v>
          </cell>
          <cell r="V34">
            <v>3.8183958319527152E-2</v>
          </cell>
          <cell r="W34">
            <v>3.6760799202750168E-2</v>
          </cell>
          <cell r="X34">
            <v>3.6499458591364227E-2</v>
          </cell>
          <cell r="Y34">
            <v>3.0373568007225148E-2</v>
          </cell>
          <cell r="Z34">
            <v>3.5288346792201428E-2</v>
          </cell>
          <cell r="AB34">
            <v>3.6275361834408527E-2</v>
          </cell>
          <cell r="AC34">
            <v>2.9366992431518489E-2</v>
          </cell>
          <cell r="AD34">
            <v>3.4789278684728489E-2</v>
          </cell>
          <cell r="AE34">
            <v>3.1398729034377328E-2</v>
          </cell>
          <cell r="AF34">
            <v>3.2856873162706655E-2</v>
          </cell>
          <cell r="AH34">
            <v>3.6367968462321563E-2</v>
          </cell>
          <cell r="AI34">
            <v>3.3963055102942168E-2</v>
          </cell>
          <cell r="AJ34">
            <v>3.3736836609287273E-2</v>
          </cell>
          <cell r="AK34">
            <v>2.7464018264383955E-2</v>
          </cell>
          <cell r="AL34">
            <v>3.2798416494161597E-2</v>
          </cell>
          <cell r="AN34">
            <v>3.1517011890212922E-2</v>
          </cell>
          <cell r="AO34">
            <v>2.6685618760684159E-2</v>
          </cell>
          <cell r="AP34">
            <v>3.096911446263724E-2</v>
          </cell>
          <cell r="AQ34">
            <v>2.8030506229660718E-2</v>
          </cell>
          <cell r="AR34">
            <v>2.9218545281846173E-2</v>
          </cell>
          <cell r="AX34">
            <v>2.8903801804385842E-2</v>
          </cell>
          <cell r="BD34">
            <v>2.8115740553144416E-2</v>
          </cell>
        </row>
        <row r="35">
          <cell r="B35" t="str">
            <v>Operating margin</v>
          </cell>
          <cell r="C35" t="str">
            <v>Depreciation &amp; amortization</v>
          </cell>
          <cell r="D35">
            <v>0.17171754940268083</v>
          </cell>
          <cell r="E35">
            <v>0.17674875883054253</v>
          </cell>
          <cell r="F35">
            <v>0.17599065985537551</v>
          </cell>
          <cell r="G35">
            <v>0.2101615938349414</v>
          </cell>
          <cell r="H35">
            <v>0.18415457026104867</v>
          </cell>
          <cell r="J35">
            <v>0.16453439383886448</v>
          </cell>
          <cell r="K35">
            <v>0.17411589137392733</v>
          </cell>
          <cell r="L35">
            <v>0.17518668565410001</v>
          </cell>
          <cell r="M35">
            <v>0.14276028902389801</v>
          </cell>
          <cell r="N35">
            <v>0.16526639326173961</v>
          </cell>
          <cell r="P35">
            <v>0.19732601381264392</v>
          </cell>
          <cell r="Q35">
            <v>0.19931540249393617</v>
          </cell>
          <cell r="R35">
            <v>0.1995716210690032</v>
          </cell>
          <cell r="S35">
            <v>0.21331892306172365</v>
          </cell>
          <cell r="T35">
            <v>0.20272211892285488</v>
          </cell>
          <cell r="V35">
            <v>0.19099552837446787</v>
          </cell>
          <cell r="W35">
            <v>0.20057611065000561</v>
          </cell>
          <cell r="X35">
            <v>0.19399766403465016</v>
          </cell>
          <cell r="Y35">
            <v>0.19847110747942392</v>
          </cell>
          <cell r="Z35">
            <v>0.19619661905424304</v>
          </cell>
          <cell r="AB35">
            <v>0.1952791612349723</v>
          </cell>
          <cell r="AC35">
            <v>0.2084021113628885</v>
          </cell>
          <cell r="AD35">
            <v>0.20325054995947664</v>
          </cell>
          <cell r="AE35">
            <v>0.20575268777368605</v>
          </cell>
          <cell r="AF35">
            <v>0.20330240837131514</v>
          </cell>
          <cell r="AH35">
            <v>0.17987144497151655</v>
          </cell>
          <cell r="AI35">
            <v>0.1920031739773779</v>
          </cell>
          <cell r="AJ35">
            <v>0.1891886826300809</v>
          </cell>
          <cell r="AK35">
            <v>0.17974132117039937</v>
          </cell>
          <cell r="AL35">
            <v>0.1852406478072641</v>
          </cell>
          <cell r="AN35">
            <v>0.19466542978572587</v>
          </cell>
          <cell r="AO35">
            <v>0.21067991424334875</v>
          </cell>
          <cell r="AP35">
            <v>0.19600096240296827</v>
          </cell>
          <cell r="AQ35">
            <v>0.19293077706383474</v>
          </cell>
          <cell r="AR35">
            <v>0.19871801584431878</v>
          </cell>
          <cell r="AT35">
            <v>0.19420648008580882</v>
          </cell>
          <cell r="AU35">
            <v>0.20925844174954783</v>
          </cell>
          <cell r="AV35">
            <v>0.19599310177575383</v>
          </cell>
          <cell r="AW35">
            <v>0.20285449710032644</v>
          </cell>
          <cell r="AX35">
            <v>0.20079026363550945</v>
          </cell>
          <cell r="AZ35">
            <v>0.20401291289838966</v>
          </cell>
          <cell r="BA35">
            <v>0.21136809571580312</v>
          </cell>
          <cell r="BB35">
            <v>0.19629353590411161</v>
          </cell>
          <cell r="BC35">
            <v>0.20524034241325465</v>
          </cell>
          <cell r="BD35">
            <v>0.20443626989583136</v>
          </cell>
          <cell r="BF35">
            <v>0.20631540965354747</v>
          </cell>
          <cell r="BG35">
            <v>0.20643646389975834</v>
          </cell>
          <cell r="BH35">
            <v>0.20132848210458412</v>
          </cell>
          <cell r="BI35">
            <v>0.20915480650785134</v>
          </cell>
          <cell r="BJ35">
            <v>0.20588884493276793</v>
          </cell>
          <cell r="BL35">
            <v>0.20891476587709248</v>
          </cell>
          <cell r="BM35">
            <v>0.21093362133399313</v>
          </cell>
          <cell r="BN35">
            <v>0.20787017738580515</v>
          </cell>
          <cell r="BO35">
            <v>0.20961031779140973</v>
          </cell>
          <cell r="BP35">
            <v>0.20937817323506774</v>
          </cell>
          <cell r="BR35">
            <v>0.21400041785687227</v>
          </cell>
          <cell r="BS35">
            <v>0.21594114098166042</v>
          </cell>
          <cell r="BT35">
            <v>0.21290383825707429</v>
          </cell>
          <cell r="BU35">
            <v>0.21457822589768272</v>
          </cell>
          <cell r="BV35">
            <v>0.21440066572423147</v>
          </cell>
          <cell r="BX35">
            <v>0.21888843999688981</v>
          </cell>
          <cell r="BY35">
            <v>0.2207712332509626</v>
          </cell>
          <cell r="BZ35">
            <v>0.21774391119121886</v>
          </cell>
          <cell r="CA35">
            <v>0.21936970937666653</v>
          </cell>
          <cell r="CB35">
            <v>0.21923725873699629</v>
          </cell>
          <cell r="CD35">
            <v>0.22364150963325732</v>
          </cell>
          <cell r="CE35">
            <v>0.22548090411478988</v>
          </cell>
          <cell r="CF35">
            <v>0.22245340347254469</v>
          </cell>
          <cell r="CG35">
            <v>0.22404293208506484</v>
          </cell>
          <cell r="CH35">
            <v>0.22394805330421946</v>
          </cell>
          <cell r="CJ35">
            <v>0.22828002423798807</v>
          </cell>
          <cell r="CK35">
            <v>0.23008822563480566</v>
          </cell>
          <cell r="CL35">
            <v>0.22705176898609783</v>
          </cell>
          <cell r="CM35">
            <v>0.2286153805950881</v>
          </cell>
          <cell r="CN35">
            <v>0.22855186260044325</v>
          </cell>
          <cell r="CP35">
            <v>0.23282066353528283</v>
          </cell>
          <cell r="CQ35">
            <v>0.2346079702618627</v>
          </cell>
          <cell r="CR35">
            <v>0.23155490335303641</v>
          </cell>
          <cell r="CS35">
            <v>0.23310133713235592</v>
          </cell>
          <cell r="CT35">
            <v>0.23306406194324236</v>
          </cell>
          <cell r="CV35">
            <v>0.23727704471053365</v>
          </cell>
          <cell r="CW35">
            <v>0.23905219202539432</v>
          </cell>
          <cell r="CX35">
            <v>0.23597577031461811</v>
          </cell>
          <cell r="CY35">
            <v>0.23751244331970087</v>
          </cell>
          <cell r="CZ35">
            <v>0.23749719416542436</v>
          </cell>
          <cell r="DB35">
            <v>0.24166025941653621</v>
          </cell>
          <cell r="DC35">
            <v>0.24343070285889837</v>
          </cell>
          <cell r="DD35">
            <v>0.24032491508148546</v>
          </cell>
          <cell r="DE35">
            <v>0.24185816217480255</v>
          </cell>
          <cell r="DF35">
            <v>0.24186146575244621</v>
          </cell>
          <cell r="DH35">
            <v>0.24597931401269224</v>
          </cell>
          <cell r="DI35">
            <v>0.24775146307676268</v>
          </cell>
          <cell r="DJ35">
            <v>0.24461088514341739</v>
          </cell>
          <cell r="DK35">
            <v>0.24614615680842994</v>
          </cell>
          <cell r="DL35">
            <v>0.24616515355209875</v>
          </cell>
        </row>
        <row r="36">
          <cell r="P36">
            <v>0.17122011687621749</v>
          </cell>
          <cell r="Q36">
            <v>0.17076306339968209</v>
          </cell>
          <cell r="R36">
            <v>0.16626666756051942</v>
          </cell>
          <cell r="S36">
            <v>0.18121016343283805</v>
          </cell>
          <cell r="T36">
            <v>0.17398448775794143</v>
          </cell>
          <cell r="V36">
            <v>0.17430188048105477</v>
          </cell>
          <cell r="W36">
            <v>0.18465983337018987</v>
          </cell>
          <cell r="X36">
            <v>0.18121677028457411</v>
          </cell>
          <cell r="Y36">
            <v>0.18289457415182481</v>
          </cell>
          <cell r="Z36">
            <v>0.18094722122572096</v>
          </cell>
          <cell r="AB36">
            <v>0.17997013960847233</v>
          </cell>
          <cell r="AC36">
            <v>0.19445299060694995</v>
          </cell>
          <cell r="AD36">
            <v>0.18720620585851563</v>
          </cell>
          <cell r="AE36">
            <v>0.19409023213769694</v>
          </cell>
          <cell r="AF36">
            <v>0.18916030637287937</v>
          </cell>
          <cell r="AH36">
            <v>0.18048064634912392</v>
          </cell>
          <cell r="AI36">
            <v>0.19030140308764115</v>
          </cell>
          <cell r="AJ36">
            <v>0.18152560117168567</v>
          </cell>
          <cell r="AK36">
            <v>0.18332825434253722</v>
          </cell>
          <cell r="AL36">
            <v>0.18402102186906538</v>
          </cell>
          <cell r="AN36">
            <v>0.19779498177250932</v>
          </cell>
          <cell r="AO36">
            <v>0.20943795392941142</v>
          </cell>
          <cell r="AP36">
            <v>0.1958641998759007</v>
          </cell>
          <cell r="AQ36">
            <v>0.1915564301160006</v>
          </cell>
          <cell r="AR36">
            <v>0.19874388713710109</v>
          </cell>
          <cell r="AX36">
            <v>0.20257278013779886</v>
          </cell>
          <cell r="BD36">
            <v>0.19653196945044851</v>
          </cell>
        </row>
        <row r="37">
          <cell r="P37">
            <v>0.33501572066854207</v>
          </cell>
          <cell r="Q37">
            <v>0.33596647381694106</v>
          </cell>
          <cell r="R37">
            <v>0.29641352337560234</v>
          </cell>
          <cell r="S37">
            <v>0.32621266190853815</v>
          </cell>
          <cell r="T37">
            <v>0.32485141762810033</v>
          </cell>
          <cell r="V37">
            <v>0.32217474743817215</v>
          </cell>
          <cell r="W37">
            <v>0.32424025630657249</v>
          </cell>
          <cell r="X37">
            <v>0.32380536766310281</v>
          </cell>
          <cell r="Y37">
            <v>0.28461414105786037</v>
          </cell>
          <cell r="Z37">
            <v>0.31276451119544896</v>
          </cell>
          <cell r="AB37">
            <v>0.29162668317597895</v>
          </cell>
          <cell r="AC37">
            <v>0.31967915909966438</v>
          </cell>
          <cell r="AD37">
            <v>0.2612956892819594</v>
          </cell>
          <cell r="AE37">
            <v>0.28326907170579635</v>
          </cell>
          <cell r="AF37">
            <v>0.28956111992301004</v>
          </cell>
          <cell r="AH37">
            <v>0.30170422154880117</v>
          </cell>
          <cell r="AI37">
            <v>0.30380908673703538</v>
          </cell>
          <cell r="AJ37">
            <v>0.29227388046492436</v>
          </cell>
          <cell r="AK37">
            <v>0.24165463116876018</v>
          </cell>
          <cell r="AL37">
            <v>0.28450651677325567</v>
          </cell>
          <cell r="AN37">
            <v>0.30278238874397301</v>
          </cell>
          <cell r="AO37">
            <v>0.30399540032919198</v>
          </cell>
          <cell r="AP37">
            <v>0.32529481742008898</v>
          </cell>
          <cell r="AQ37">
            <v>0.28984647030396155</v>
          </cell>
          <cell r="AR37">
            <v>0.30527638736072171</v>
          </cell>
          <cell r="AX37">
            <v>0.30441434159202735</v>
          </cell>
          <cell r="BD37">
            <v>0.27920759966103392</v>
          </cell>
        </row>
        <row r="38">
          <cell r="P38">
            <v>0.11385868602797948</v>
          </cell>
          <cell r="Q38">
            <v>0.11339239913111215</v>
          </cell>
          <cell r="R38">
            <v>0.11698297880898589</v>
          </cell>
          <cell r="S38">
            <v>0.1220971136545307</v>
          </cell>
          <cell r="T38">
            <v>0.11746538026447528</v>
          </cell>
          <cell r="V38">
            <v>0.11814621615907248</v>
          </cell>
          <cell r="W38">
            <v>0.12478568166871054</v>
          </cell>
          <cell r="X38">
            <v>0.12253780735585755</v>
          </cell>
          <cell r="Y38">
            <v>0.13084019202546004</v>
          </cell>
          <cell r="Z38">
            <v>0.12435335202688359</v>
          </cell>
          <cell r="AB38">
            <v>0.12748604472373568</v>
          </cell>
          <cell r="AC38">
            <v>0.13229042208530525</v>
          </cell>
          <cell r="AD38">
            <v>0.13829003126085443</v>
          </cell>
          <cell r="AE38">
            <v>0.139110472252889</v>
          </cell>
          <cell r="AF38">
            <v>0.13438683621456873</v>
          </cell>
          <cell r="AH38">
            <v>0.126028873437737</v>
          </cell>
          <cell r="AI38">
            <v>0.13248610761080845</v>
          </cell>
          <cell r="AJ38">
            <v>0.12847040931350887</v>
          </cell>
          <cell r="AK38">
            <v>0.13902613265657873</v>
          </cell>
          <cell r="AL38">
            <v>0.13166584192404249</v>
          </cell>
          <cell r="AN38">
            <v>0.13790614470985832</v>
          </cell>
          <cell r="AO38">
            <v>0.14576977928051313</v>
          </cell>
          <cell r="AP38">
            <v>0.13215059073813776</v>
          </cell>
          <cell r="AQ38">
            <v>0.13603447498285035</v>
          </cell>
          <cell r="AR38">
            <v>0.13807207126185986</v>
          </cell>
          <cell r="AX38">
            <v>0.14090672064768431</v>
          </cell>
          <cell r="BD38">
            <v>0.14165875000353315</v>
          </cell>
        </row>
        <row r="39">
          <cell r="P39">
            <v>0.11385868602797948</v>
          </cell>
          <cell r="Q39">
            <v>0.11339239913111215</v>
          </cell>
          <cell r="R39">
            <v>0.11698297880898589</v>
          </cell>
          <cell r="S39">
            <v>0.1220971136545307</v>
          </cell>
          <cell r="T39">
            <v>0.11746538026447528</v>
          </cell>
          <cell r="V39">
            <v>0.11814621615907248</v>
          </cell>
          <cell r="W39">
            <v>0.12478568166871054</v>
          </cell>
          <cell r="X39">
            <v>0.12253780735585755</v>
          </cell>
          <cell r="Y39">
            <v>0.13084019202546004</v>
          </cell>
          <cell r="Z39">
            <v>0.12435335202688359</v>
          </cell>
          <cell r="AB39">
            <v>0.12748604472373568</v>
          </cell>
          <cell r="AC39">
            <v>0.13229042208530525</v>
          </cell>
          <cell r="AD39">
            <v>0.13829003126085443</v>
          </cell>
          <cell r="AE39">
            <v>0.139110472252889</v>
          </cell>
          <cell r="AF39">
            <v>0.13438683621456873</v>
          </cell>
          <cell r="AH39">
            <v>0.126028873437737</v>
          </cell>
          <cell r="AI39">
            <v>0.13248610761080845</v>
          </cell>
          <cell r="AJ39">
            <v>0.12847040931350887</v>
          </cell>
          <cell r="AK39">
            <v>0.13902613265657873</v>
          </cell>
          <cell r="AL39">
            <v>0.13166584192404249</v>
          </cell>
          <cell r="AN39">
            <v>0.13790614470985832</v>
          </cell>
          <cell r="AO39">
            <v>0.14576977928051313</v>
          </cell>
          <cell r="AP39">
            <v>0.13215059073813776</v>
          </cell>
          <cell r="AQ39">
            <v>0.13603447498285035</v>
          </cell>
          <cell r="AR39">
            <v>0.13807207126185986</v>
          </cell>
          <cell r="AX39">
            <v>0.14090672064768431</v>
          </cell>
          <cell r="BD39">
            <v>0.1407271351055488</v>
          </cell>
        </row>
        <row r="41">
          <cell r="S41">
            <v>1.7041994494921386E-2</v>
          </cell>
          <cell r="T41">
            <v>2.7467176576620469</v>
          </cell>
          <cell r="V41">
            <v>0.12231981583141516</v>
          </cell>
          <cell r="W41">
            <v>0.10256613237240586</v>
          </cell>
          <cell r="X41">
            <v>0.10202658765008343</v>
          </cell>
          <cell r="Y41">
            <v>0.11380422189024042</v>
          </cell>
          <cell r="Z41">
            <v>0.11001761868230453</v>
          </cell>
          <cell r="AB41">
            <v>0.13290857624326669</v>
          </cell>
          <cell r="AC41">
            <v>7.3492879031123115E-2</v>
          </cell>
          <cell r="AD41">
            <v>5.0819412845376277E-2</v>
          </cell>
          <cell r="AE41">
            <v>8.8311820962600152E-2</v>
          </cell>
          <cell r="AF41">
            <v>8.5856108471399573E-2</v>
          </cell>
          <cell r="AH41">
            <v>2.877962362536346E-2</v>
          </cell>
          <cell r="AI41">
            <v>7.2158742813420496E-2</v>
          </cell>
          <cell r="AJ41">
            <v>8.1043765196248563E-2</v>
          </cell>
          <cell r="AK41">
            <v>-1.1230238411021332E-2</v>
          </cell>
          <cell r="AL41">
            <v>4.0963887914992503E-2</v>
          </cell>
          <cell r="AN41">
            <v>3.9056577208828935E-2</v>
          </cell>
          <cell r="AO41">
            <v>5.6804713056974432E-2</v>
          </cell>
          <cell r="AP41">
            <v>5.7208035793177237E-2</v>
          </cell>
          <cell r="AQ41">
            <v>5.2327759765400605E-2</v>
          </cell>
          <cell r="AR41">
            <v>5.1495677225962933E-2</v>
          </cell>
          <cell r="AX41">
            <v>0.12102713960211187</v>
          </cell>
          <cell r="BD41">
            <v>0.12723925143993919</v>
          </cell>
        </row>
        <row r="42">
          <cell r="P42">
            <v>4.7663606333830488E-2</v>
          </cell>
          <cell r="Q42">
            <v>0.15808162084459654</v>
          </cell>
          <cell r="R42">
            <v>8.4894001330924951E-2</v>
          </cell>
          <cell r="S42">
            <v>-0.31619612114371221</v>
          </cell>
          <cell r="T42">
            <v>-4.9097937523196244E-2</v>
          </cell>
          <cell r="V42">
            <v>0.12251126550690339</v>
          </cell>
          <cell r="W42">
            <v>9.7020358056665534E-2</v>
          </cell>
          <cell r="X42">
            <v>0.13473703536795023</v>
          </cell>
          <cell r="Y42">
            <v>0.15769306897414537</v>
          </cell>
          <cell r="Z42">
            <v>0.12840913065362547</v>
          </cell>
          <cell r="AB42">
            <v>0.61120151939224288</v>
          </cell>
          <cell r="AC42">
            <v>0.45309097507863516</v>
          </cell>
          <cell r="AD42">
            <v>0.34244618337733779</v>
          </cell>
          <cell r="AE42">
            <v>0.44462599034813799</v>
          </cell>
          <cell r="AF42">
            <v>0.45922747552282961</v>
          </cell>
          <cell r="AH42">
            <v>-6.7106907235554902E-2</v>
          </cell>
          <cell r="AI42">
            <v>1.5434059980532933E-2</v>
          </cell>
          <cell r="AJ42">
            <v>8.2057427735966693E-2</v>
          </cell>
          <cell r="AK42">
            <v>-3.8347782882727E-2</v>
          </cell>
          <cell r="AL42">
            <v>-4.8976933126632094E-3</v>
          </cell>
          <cell r="AN42">
            <v>7.3572834645669438E-2</v>
          </cell>
          <cell r="AO42">
            <v>6.9791444359641241E-2</v>
          </cell>
          <cell r="AP42">
            <v>1.5852201385232245E-2</v>
          </cell>
          <cell r="AQ42">
            <v>2.9441576038054196E-2</v>
          </cell>
          <cell r="AR42">
            <v>4.6736980434689768E-2</v>
          </cell>
          <cell r="AX42">
            <v>9.8933751187331609E-2</v>
          </cell>
          <cell r="BD42">
            <v>0.11505514970443409</v>
          </cell>
        </row>
        <row r="43">
          <cell r="P43">
            <v>0.22688264455692297</v>
          </cell>
          <cell r="Q43">
            <v>0.3033184980489636</v>
          </cell>
          <cell r="R43">
            <v>0.24785828879809024</v>
          </cell>
          <cell r="S43">
            <v>9.1996120620864374E-2</v>
          </cell>
          <cell r="T43">
            <v>0.20042893089645641</v>
          </cell>
          <cell r="V43">
            <v>0.12219505346655102</v>
          </cell>
          <cell r="W43">
            <v>0.10635056143262211</v>
          </cell>
          <cell r="X43">
            <v>8.0069240594258906E-2</v>
          </cell>
          <cell r="Y43">
            <v>8.4444444444444322E-2</v>
          </cell>
          <cell r="Z43">
            <v>9.7714955915477297E-2</v>
          </cell>
          <cell r="AB43">
            <v>0.11501039945370284</v>
          </cell>
          <cell r="AC43">
            <v>6.4806789454676883E-2</v>
          </cell>
          <cell r="AD43">
            <v>7.9134703658175987E-2</v>
          </cell>
          <cell r="AE43">
            <v>0.11311728821681011</v>
          </cell>
          <cell r="AF43">
            <v>9.3074574566535118E-2</v>
          </cell>
          <cell r="AH43">
            <v>2.3911846760347855E-2</v>
          </cell>
          <cell r="AI43">
            <v>7.3971069545015311E-2</v>
          </cell>
          <cell r="AJ43">
            <v>4.9955961852029551E-2</v>
          </cell>
          <cell r="AK43">
            <v>-3.9536195290550524E-2</v>
          </cell>
          <cell r="AL43">
            <v>2.5223216051887931E-2</v>
          </cell>
          <cell r="AN43">
            <v>4.6536766888112258E-2</v>
          </cell>
          <cell r="AO43">
            <v>5.5325196191438719E-2</v>
          </cell>
          <cell r="AP43">
            <v>7.6126563272481018E-2</v>
          </cell>
          <cell r="AQ43">
            <v>7.598133489342751E-2</v>
          </cell>
          <cell r="AR43">
            <v>6.3497558697920731E-2</v>
          </cell>
          <cell r="AX43">
            <v>0.11989270024751542</v>
          </cell>
          <cell r="BD43">
            <v>0.13859671383739025</v>
          </cell>
        </row>
        <row r="44">
          <cell r="P44">
            <v>0.2162133166317266</v>
          </cell>
          <cell r="Q44">
            <v>0.31098617929686601</v>
          </cell>
          <cell r="R44">
            <v>0.29445211118284309</v>
          </cell>
          <cell r="S44">
            <v>1.4641602241163065E-2</v>
          </cell>
          <cell r="T44">
            <v>0.19880971389391666</v>
          </cell>
          <cell r="V44">
            <v>0.1368668999914171</v>
          </cell>
          <cell r="W44">
            <v>0.10955077990677919</v>
          </cell>
          <cell r="X44">
            <v>7.0856630397979181E-2</v>
          </cell>
          <cell r="Y44">
            <v>0.12574840078008642</v>
          </cell>
          <cell r="Z44">
            <v>0.10396019933908063</v>
          </cell>
          <cell r="AB44">
            <v>9.6954610654878204E-2</v>
          </cell>
          <cell r="AC44">
            <v>5.7773823329467788E-2</v>
          </cell>
          <cell r="AD44">
            <v>7.5202956759528261E-2</v>
          </cell>
          <cell r="AE44">
            <v>0.10362964366944682</v>
          </cell>
          <cell r="AF44">
            <v>8.3644924244882235E-2</v>
          </cell>
          <cell r="AH44">
            <v>6.4071804773602858E-2</v>
          </cell>
          <cell r="AI44">
            <v>0.11095296152428502</v>
          </cell>
          <cell r="AJ44">
            <v>7.4501123626761423E-2</v>
          </cell>
          <cell r="AK44">
            <v>2.4150100897342153E-2</v>
          </cell>
          <cell r="AL44">
            <v>6.7255280968678166E-2</v>
          </cell>
          <cell r="AN44">
            <v>2.3408192597915933E-2</v>
          </cell>
          <cell r="AO44">
            <v>2.1555706417709875E-2</v>
          </cell>
          <cell r="AP44">
            <v>7.5964909685340976E-2</v>
          </cell>
          <cell r="AQ44">
            <v>5.0270233106448403E-2</v>
          </cell>
          <cell r="AR44">
            <v>4.2409945271551619E-2</v>
          </cell>
          <cell r="AX44">
            <v>0.11380698527711264</v>
          </cell>
          <cell r="BD44">
            <v>0.13691248920783172</v>
          </cell>
        </row>
        <row r="45">
          <cell r="P45">
            <v>0.24420137058513447</v>
          </cell>
          <cell r="Q45">
            <v>0.29196803747330735</v>
          </cell>
          <cell r="R45">
            <v>0.18077159230454343</v>
          </cell>
          <cell r="S45">
            <v>0.22374301263993157</v>
          </cell>
          <cell r="T45">
            <v>0.20292680907434968</v>
          </cell>
          <cell r="V45">
            <v>9.8915066503245663E-2</v>
          </cell>
          <cell r="W45">
            <v>0.10154354722614722</v>
          </cell>
          <cell r="X45">
            <v>9.4610795741792098E-2</v>
          </cell>
          <cell r="Y45">
            <v>2.6117559147171843E-2</v>
          </cell>
          <cell r="Z45">
            <v>8.8113731549768204E-2</v>
          </cell>
          <cell r="AB45">
            <v>0.14464915179554971</v>
          </cell>
          <cell r="AC45">
            <v>7.5447725072603999E-2</v>
          </cell>
          <cell r="AD45">
            <v>8.5206054288013977E-2</v>
          </cell>
          <cell r="AE45">
            <v>0.12781601634992601</v>
          </cell>
          <cell r="AF45">
            <v>0.10778251835171315</v>
          </cell>
          <cell r="AH45">
            <v>-3.9264276004763121E-2</v>
          </cell>
          <cell r="AI45">
            <v>1.8936708860759488E-2</v>
          </cell>
          <cell r="AJ45">
            <v>1.2403025365402609E-2</v>
          </cell>
          <cell r="AK45">
            <v>-0.13608623203499226</v>
          </cell>
          <cell r="AL45">
            <v>-3.8908017426953823E-2</v>
          </cell>
          <cell r="AN45">
            <v>8.6834032429724095E-2</v>
          </cell>
          <cell r="AO45">
            <v>0.11011727290797091</v>
          </cell>
          <cell r="AP45">
            <v>7.6389055706359121E-2</v>
          </cell>
          <cell r="AQ45">
            <v>0.12218967367063227</v>
          </cell>
          <cell r="AR45">
            <v>9.9226459597069105E-2</v>
          </cell>
          <cell r="AX45">
            <v>0.12967081670211411</v>
          </cell>
          <cell r="BD45">
            <v>0.14126481098812604</v>
          </cell>
        </row>
        <row r="46">
          <cell r="P46">
            <v>-0.18298542733359591</v>
          </cell>
          <cell r="Q46">
            <v>-0.12052140984561621</v>
          </cell>
          <cell r="R46">
            <v>-0.31852060188440445</v>
          </cell>
          <cell r="S46">
            <v>-0.14373401534526897</v>
          </cell>
          <cell r="T46">
            <v>-0.19278904553318377</v>
          </cell>
          <cell r="V46">
            <v>0.1666023910528347</v>
          </cell>
          <cell r="W46">
            <v>5.9865860727001952E-2</v>
          </cell>
          <cell r="X46">
            <v>0.23813454395377631</v>
          </cell>
          <cell r="Y46">
            <v>-3.5671616316777288E-2</v>
          </cell>
          <cell r="Z46">
            <v>9.8976264848720019E-2</v>
          </cell>
          <cell r="AB46">
            <v>7.6280991735536929E-2</v>
          </cell>
          <cell r="AC46">
            <v>-0.14242187500000003</v>
          </cell>
          <cell r="AD46">
            <v>1.58333333333327E-3</v>
          </cell>
          <cell r="AE46">
            <v>0.12504424778761081</v>
          </cell>
          <cell r="AF46">
            <v>1.1037344398340254E-2</v>
          </cell>
          <cell r="AH46">
            <v>3.1405974045918716E-2</v>
          </cell>
          <cell r="AI46">
            <v>0.23995627220552063</v>
          </cell>
          <cell r="AJ46">
            <v>4.8340128130460291E-2</v>
          </cell>
          <cell r="AK46">
            <v>-0.13513726107134438</v>
          </cell>
          <cell r="AL46">
            <v>3.9111877205942891E-2</v>
          </cell>
          <cell r="AN46">
            <v>-9.9538415723644857E-2</v>
          </cell>
          <cell r="AO46">
            <v>-0.16964220116082596</v>
          </cell>
          <cell r="AP46">
            <v>-2.9523809523809397E-2</v>
          </cell>
          <cell r="AQ46">
            <v>7.4033651659844768E-2</v>
          </cell>
          <cell r="AR46">
            <v>-6.3272641099569649E-2</v>
          </cell>
          <cell r="AX46">
            <v>0.10895138508243041</v>
          </cell>
          <cell r="BD46">
            <v>9.6505108542397577E-2</v>
          </cell>
        </row>
        <row r="47">
          <cell r="P47">
            <v>0.37836768016625033</v>
          </cell>
          <cell r="Q47">
            <v>0.41972663298448265</v>
          </cell>
          <cell r="R47">
            <v>0.34066651655032643</v>
          </cell>
          <cell r="S47">
            <v>0.31667159435287151</v>
          </cell>
          <cell r="T47">
            <v>0.33235768536421229</v>
          </cell>
          <cell r="V47">
            <v>8.6314278022076696E-2</v>
          </cell>
          <cell r="W47">
            <v>0.10954007466836124</v>
          </cell>
          <cell r="X47">
            <v>7.1247417659013434E-2</v>
          </cell>
          <cell r="Y47">
            <v>3.6279174210208653E-2</v>
          </cell>
          <cell r="Z47">
            <v>7.4286836746147555E-2</v>
          </cell>
          <cell r="AB47">
            <v>0.15831736170775224</v>
          </cell>
          <cell r="AC47">
            <v>0.11537800687285205</v>
          </cell>
          <cell r="AD47">
            <v>0.10093915115786833</v>
          </cell>
          <cell r="AE47">
            <v>0.12824020152225124</v>
          </cell>
          <cell r="AF47">
            <v>0.12518331386692338</v>
          </cell>
          <cell r="AH47">
            <v>-5.2392091975008714E-2</v>
          </cell>
          <cell r="AI47">
            <v>-1.2208272356158179E-2</v>
          </cell>
          <cell r="AJ47">
            <v>6.2518691522237546E-3</v>
          </cell>
          <cell r="AK47">
            <v>-0.13623104901148708</v>
          </cell>
          <cell r="AL47">
            <v>-5.1517261963982985E-2</v>
          </cell>
          <cell r="AN47">
            <v>0.12451643008745528</v>
          </cell>
          <cell r="AO47">
            <v>0.1596033633539975</v>
          </cell>
          <cell r="AP47">
            <v>9.5275835715701307E-2</v>
          </cell>
          <cell r="AQ47">
            <v>0.12954779176741948</v>
          </cell>
          <cell r="AR47">
            <v>0.12799829368242865</v>
          </cell>
          <cell r="AX47">
            <v>0.13271730269092408</v>
          </cell>
          <cell r="BD47">
            <v>0.1477079798195744</v>
          </cell>
        </row>
        <row r="48">
          <cell r="P48">
            <v>-0.19313705854863472</v>
          </cell>
          <cell r="Q48">
            <v>0.30994947532063777</v>
          </cell>
          <cell r="R48">
            <v>0.3034555248981734</v>
          </cell>
          <cell r="S48">
            <v>0.18896833503575072</v>
          </cell>
          <cell r="T48">
            <v>0.10361358832929524</v>
          </cell>
          <cell r="V48">
            <v>0.1425202713883833</v>
          </cell>
          <cell r="W48">
            <v>0.19229342827473683</v>
          </cell>
          <cell r="X48">
            <v>0.20111686793137507</v>
          </cell>
          <cell r="Y48">
            <v>0.12415741475019826</v>
          </cell>
          <cell r="Z48">
            <v>0.15443972161240604</v>
          </cell>
          <cell r="AB48">
            <v>0.16975051598653002</v>
          </cell>
          <cell r="AC48">
            <v>0.13042396342032414</v>
          </cell>
          <cell r="AD48">
            <v>8.5550277782439954E-2</v>
          </cell>
          <cell r="AE48">
            <v>0.15493144041268003</v>
          </cell>
          <cell r="AF48">
            <v>0.13514246178495881</v>
          </cell>
          <cell r="AH48">
            <v>3.1697879585204092E-2</v>
          </cell>
          <cell r="AI48">
            <v>4.9268064498376285E-2</v>
          </cell>
          <cell r="AJ48">
            <v>4.8240460139773678E-2</v>
          </cell>
          <cell r="AK48">
            <v>-6.6055863078194887E-2</v>
          </cell>
          <cell r="AL48">
            <v>1.2682005310902689E-2</v>
          </cell>
          <cell r="AN48">
            <v>0.13873803594467149</v>
          </cell>
          <cell r="AO48">
            <v>0.16307611617386808</v>
          </cell>
          <cell r="AP48">
            <v>0.14071626644639834</v>
          </cell>
          <cell r="AQ48">
            <v>9.9558547020192067E-2</v>
          </cell>
          <cell r="AR48">
            <v>0.13562209402596781</v>
          </cell>
          <cell r="AX48">
            <v>0.14262424646283134</v>
          </cell>
          <cell r="BD48">
            <v>9.3624474011959391E-2</v>
          </cell>
        </row>
        <row r="49">
          <cell r="P49">
            <v>-0.19278863054286122</v>
          </cell>
          <cell r="Q49">
            <v>0.30674354108889279</v>
          </cell>
          <cell r="R49">
            <v>0.34650256568540416</v>
          </cell>
          <cell r="S49">
            <v>0.22592959990380868</v>
          </cell>
          <cell r="T49">
            <v>0.10880384169869362</v>
          </cell>
          <cell r="V49">
            <v>0.16458255567998004</v>
          </cell>
          <cell r="W49">
            <v>0.21334822675230392</v>
          </cell>
          <cell r="X49">
            <v>0.15435530085959881</v>
          </cell>
          <cell r="Y49">
            <v>0.19356104259127571</v>
          </cell>
          <cell r="Z49">
            <v>0.17510717950477694</v>
          </cell>
          <cell r="AB49">
            <v>0.22246854883944556</v>
          </cell>
          <cell r="AC49">
            <v>0.13805385500575351</v>
          </cell>
          <cell r="AD49">
            <v>0.18590215205897653</v>
          </cell>
          <cell r="AE49">
            <v>0.15710294389547386</v>
          </cell>
          <cell r="AF49">
            <v>0.17346870529222169</v>
          </cell>
          <cell r="AH49">
            <v>1.7020625764727182E-2</v>
          </cell>
          <cell r="AI49">
            <v>7.3744692451369387E-2</v>
          </cell>
          <cell r="AJ49">
            <v>4.2816082571239811E-3</v>
          </cell>
          <cell r="AK49">
            <v>-1.1829707603999262E-2</v>
          </cell>
          <cell r="AL49">
            <v>1.9886996193706263E-2</v>
          </cell>
          <cell r="AN49">
            <v>0.13697982684168486</v>
          </cell>
          <cell r="AO49">
            <v>0.16276485544778341</v>
          </cell>
          <cell r="AP49">
            <v>8.7492965965695335E-2</v>
          </cell>
          <cell r="AQ49">
            <v>2.9683064429191885E-2</v>
          </cell>
          <cell r="AR49">
            <v>0.10265642140682019</v>
          </cell>
          <cell r="AX49">
            <v>0.14404206842677603</v>
          </cell>
          <cell r="BD49">
            <v>0.13325540882584197</v>
          </cell>
        </row>
        <row r="50">
          <cell r="P50">
            <v>-0.2042447645714035</v>
          </cell>
          <cell r="Q50">
            <v>0.28800956854818094</v>
          </cell>
          <cell r="R50">
            <v>0.33008446683389803</v>
          </cell>
          <cell r="S50">
            <v>0.21375093401686129</v>
          </cell>
          <cell r="T50">
            <v>9.4679393431436276E-2</v>
          </cell>
          <cell r="V50">
            <v>0.158963936478004</v>
          </cell>
          <cell r="W50">
            <v>0.20955684396799934</v>
          </cell>
          <cell r="X50">
            <v>0.1418152405591746</v>
          </cell>
          <cell r="Y50">
            <v>0.17818074556454899</v>
          </cell>
          <cell r="Z50">
            <v>0.16585976072114872</v>
          </cell>
          <cell r="AB50">
            <v>0.20005940033861558</v>
          </cell>
          <cell r="AC50">
            <v>0.11362608889189962</v>
          </cell>
          <cell r="AD50">
            <v>0.16997169202096618</v>
          </cell>
          <cell r="AE50">
            <v>0.14117460774217316</v>
          </cell>
          <cell r="AF50">
            <v>0.15382061919176948</v>
          </cell>
          <cell r="AH50">
            <v>7.2816296279092363E-3</v>
          </cell>
          <cell r="AI50">
            <v>8.0073375877860897E-2</v>
          </cell>
          <cell r="AJ50">
            <v>2.795550747319786E-2</v>
          </cell>
          <cell r="AK50">
            <v>1.6959388890982474E-2</v>
          </cell>
          <cell r="AL50">
            <v>3.220398551495518E-2</v>
          </cell>
          <cell r="AN50">
            <v>0.16181464014622393</v>
          </cell>
          <cell r="AO50">
            <v>0.18736832367809986</v>
          </cell>
          <cell r="AP50">
            <v>0.11022504485185913</v>
          </cell>
          <cell r="AQ50">
            <v>6.2353599050383846E-2</v>
          </cell>
          <cell r="AR50">
            <v>0.12896355887590549</v>
          </cell>
          <cell r="AX50">
            <v>0.17061140448387579</v>
          </cell>
          <cell r="BD50">
            <v>0.14825304929008198</v>
          </cell>
        </row>
        <row r="51">
          <cell r="P51">
            <v>-0.2042447645714035</v>
          </cell>
          <cell r="Q51">
            <v>0.28800956854818094</v>
          </cell>
          <cell r="R51">
            <v>0.33008446683389803</v>
          </cell>
          <cell r="S51">
            <v>0.21375093401686129</v>
          </cell>
          <cell r="T51">
            <v>9.4679393431436276E-2</v>
          </cell>
          <cell r="V51">
            <v>0.158963936478004</v>
          </cell>
          <cell r="W51">
            <v>0.20955684396799934</v>
          </cell>
          <cell r="X51">
            <v>0.1418152405591746</v>
          </cell>
          <cell r="Y51">
            <v>0.17818074556454899</v>
          </cell>
          <cell r="Z51">
            <v>0.16585976072114872</v>
          </cell>
          <cell r="AB51">
            <v>0.20005940033861558</v>
          </cell>
          <cell r="AC51">
            <v>0.11362608889189962</v>
          </cell>
          <cell r="AD51">
            <v>0.16997169202096618</v>
          </cell>
          <cell r="AE51">
            <v>0.14117460774217316</v>
          </cell>
          <cell r="AF51">
            <v>0.15382061919176948</v>
          </cell>
          <cell r="AH51">
            <v>7.2816296279092363E-3</v>
          </cell>
          <cell r="AI51">
            <v>8.0073375877860897E-2</v>
          </cell>
          <cell r="AJ51">
            <v>2.795550747319786E-2</v>
          </cell>
          <cell r="AK51">
            <v>1.6959388890982474E-2</v>
          </cell>
          <cell r="AL51">
            <v>3.220398551495518E-2</v>
          </cell>
          <cell r="AN51">
            <v>0.16181464014622393</v>
          </cell>
          <cell r="AO51">
            <v>0.18736832367809986</v>
          </cell>
          <cell r="AP51">
            <v>0.11022504485185913</v>
          </cell>
          <cell r="AQ51">
            <v>6.2353599050383846E-2</v>
          </cell>
          <cell r="AR51">
            <v>0.12896355887590549</v>
          </cell>
          <cell r="AX51">
            <v>0.17061140448387579</v>
          </cell>
          <cell r="BD51">
            <v>0.12051801795493677</v>
          </cell>
        </row>
        <row r="53">
          <cell r="AX53">
            <v>6.0536667038508608E-2</v>
          </cell>
        </row>
        <row r="54">
          <cell r="AX54">
            <v>4.2744487005233416E-2</v>
          </cell>
        </row>
        <row r="55">
          <cell r="AX55">
            <v>0.25053710292428388</v>
          </cell>
        </row>
        <row r="56">
          <cell r="AX56">
            <v>0.25053710292428388</v>
          </cell>
        </row>
        <row r="57">
          <cell r="AI57">
            <v>1.1892857142857145</v>
          </cell>
          <cell r="AJ57">
            <v>1.2072857142857147</v>
          </cell>
          <cell r="AK57">
            <v>2.3224285714285724</v>
          </cell>
        </row>
        <row r="58">
          <cell r="AI58">
            <v>-3.9642857142857144</v>
          </cell>
          <cell r="AJ58">
            <v>-4.0242857142857149</v>
          </cell>
          <cell r="AK58">
            <v>-7.7414285714285729</v>
          </cell>
        </row>
        <row r="59">
          <cell r="AI59">
            <v>-3.9642857142857144</v>
          </cell>
          <cell r="AJ59">
            <v>-4.0242857142857149</v>
          </cell>
          <cell r="AK59">
            <v>-7.7414285714285729</v>
          </cell>
        </row>
        <row r="60">
          <cell r="P60">
            <v>32.148000000000003</v>
          </cell>
          <cell r="Q60">
            <v>35.81</v>
          </cell>
          <cell r="R60">
            <v>34.9</v>
          </cell>
          <cell r="S60">
            <v>40.783000000000001</v>
          </cell>
          <cell r="T60">
            <v>144.54256000000001</v>
          </cell>
          <cell r="V60">
            <v>37.439</v>
          </cell>
          <cell r="W60">
            <v>43.45</v>
          </cell>
          <cell r="X60">
            <v>40.286999999999999</v>
          </cell>
          <cell r="Y60">
            <v>48.677</v>
          </cell>
          <cell r="Z60">
            <v>169.85300000000001</v>
          </cell>
          <cell r="AB60">
            <v>45.768000000000001</v>
          </cell>
          <cell r="AC60">
            <v>49.448439999999991</v>
          </cell>
          <cell r="AD60">
            <v>47.776439999999987</v>
          </cell>
          <cell r="AE60">
            <v>56.32429999999998</v>
          </cell>
          <cell r="AF60">
            <v>199.31717999999972</v>
          </cell>
          <cell r="AH60">
            <v>46.547000000000033</v>
          </cell>
          <cell r="AI60">
            <v>53.094999999999985</v>
          </cell>
          <cell r="AJ60">
            <v>47.98099999999998</v>
          </cell>
          <cell r="AK60">
            <v>55.658000000000044</v>
          </cell>
          <cell r="AL60">
            <v>203.28100000000001</v>
          </cell>
          <cell r="AN60">
            <v>52.922999999999945</v>
          </cell>
          <cell r="AO60">
            <v>61.737000000000037</v>
          </cell>
          <cell r="AP60">
            <v>52.179000000000009</v>
          </cell>
          <cell r="AQ60">
            <v>57.310100000000006</v>
          </cell>
          <cell r="AR60">
            <v>224.14909999999981</v>
          </cell>
          <cell r="AX60">
            <v>256.43600000000004</v>
          </cell>
        </row>
        <row r="61">
          <cell r="P61">
            <v>0</v>
          </cell>
          <cell r="Q61">
            <v>0</v>
          </cell>
          <cell r="R61">
            <v>0</v>
          </cell>
          <cell r="S61">
            <v>0</v>
          </cell>
          <cell r="T61">
            <v>0</v>
          </cell>
          <cell r="V61">
            <v>0</v>
          </cell>
          <cell r="W61">
            <v>0</v>
          </cell>
          <cell r="X61">
            <v>0</v>
          </cell>
          <cell r="Y61">
            <v>0</v>
          </cell>
          <cell r="Z61">
            <v>0</v>
          </cell>
          <cell r="AB61">
            <v>0</v>
          </cell>
          <cell r="AC61">
            <v>0</v>
          </cell>
          <cell r="AD61">
            <v>0</v>
          </cell>
          <cell r="AE61">
            <v>0</v>
          </cell>
          <cell r="AF61">
            <v>0</v>
          </cell>
          <cell r="AH61">
            <v>0</v>
          </cell>
          <cell r="AI61">
            <v>0</v>
          </cell>
          <cell r="AJ61">
            <v>0</v>
          </cell>
          <cell r="AK61">
            <v>0</v>
          </cell>
          <cell r="AL61">
            <v>0</v>
          </cell>
          <cell r="AN61">
            <v>0</v>
          </cell>
          <cell r="AO61">
            <v>0</v>
          </cell>
          <cell r="AP61">
            <v>0</v>
          </cell>
          <cell r="AQ61">
            <v>0</v>
          </cell>
          <cell r="AR61">
            <v>0</v>
          </cell>
          <cell r="AX61">
            <v>0</v>
          </cell>
        </row>
        <row r="62">
          <cell r="P62">
            <v>-2.1829999999999998</v>
          </cell>
          <cell r="Q62">
            <v>-2.2349999999999999</v>
          </cell>
          <cell r="R62">
            <v>-2.3570000000000002</v>
          </cell>
          <cell r="S62">
            <v>-2.801000000000001</v>
          </cell>
          <cell r="T62">
            <v>-9.5760000000000005</v>
          </cell>
          <cell r="V62">
            <v>-2.694</v>
          </cell>
          <cell r="W62">
            <v>-2.7240000000000002</v>
          </cell>
          <cell r="X62">
            <v>-2.7909999999999999</v>
          </cell>
          <cell r="Y62">
            <v>-2.8529999999999998</v>
          </cell>
          <cell r="Z62">
            <v>-11.061999999999999</v>
          </cell>
          <cell r="AB62">
            <v>-3.2509999999999999</v>
          </cell>
          <cell r="AC62">
            <v>-3.2509999999999999</v>
          </cell>
          <cell r="AD62">
            <v>-3.3450000000000002</v>
          </cell>
          <cell r="AE62">
            <v>-1.8509999999999991</v>
          </cell>
          <cell r="AF62">
            <v>-11.667999999999999</v>
          </cell>
          <cell r="AH62">
            <v>-2.7730000000000001</v>
          </cell>
          <cell r="AI62">
            <v>-2.7749999999999999</v>
          </cell>
          <cell r="AJ62">
            <v>-2.8170000000000002</v>
          </cell>
          <cell r="AK62">
            <v>-5.4190000000000005</v>
          </cell>
          <cell r="AL62">
            <v>-13.784000000000001</v>
          </cell>
          <cell r="AN62">
            <v>-3.6183000000000005</v>
          </cell>
          <cell r="AO62">
            <v>-3.6183000000000005</v>
          </cell>
          <cell r="AP62">
            <v>-3.6183000000000005</v>
          </cell>
          <cell r="AQ62">
            <v>-3.6183000000000005</v>
          </cell>
          <cell r="AR62">
            <v>-14.473200000000002</v>
          </cell>
          <cell r="AX62">
            <v>-15.196860000000003</v>
          </cell>
        </row>
        <row r="63">
          <cell r="P63">
            <v>0</v>
          </cell>
          <cell r="Q63">
            <v>0</v>
          </cell>
          <cell r="R63">
            <v>0</v>
          </cell>
          <cell r="S63">
            <v>0</v>
          </cell>
          <cell r="T63">
            <v>0</v>
          </cell>
          <cell r="V63">
            <v>0</v>
          </cell>
          <cell r="W63">
            <v>0</v>
          </cell>
          <cell r="X63">
            <v>0</v>
          </cell>
          <cell r="Y63">
            <v>0</v>
          </cell>
          <cell r="Z63">
            <v>0</v>
          </cell>
          <cell r="AB63">
            <v>0</v>
          </cell>
          <cell r="AC63">
            <v>0</v>
          </cell>
          <cell r="AD63">
            <v>0</v>
          </cell>
          <cell r="AE63">
            <v>0</v>
          </cell>
          <cell r="AF63">
            <v>0</v>
          </cell>
          <cell r="AH63">
            <v>0</v>
          </cell>
          <cell r="AI63">
            <v>0</v>
          </cell>
          <cell r="AJ63">
            <v>0</v>
          </cell>
          <cell r="AK63">
            <v>0</v>
          </cell>
          <cell r="AL63">
            <v>0</v>
          </cell>
          <cell r="AN63">
            <v>0</v>
          </cell>
          <cell r="AO63">
            <v>0</v>
          </cell>
          <cell r="AP63">
            <v>0</v>
          </cell>
          <cell r="AQ63">
            <v>0</v>
          </cell>
          <cell r="AR63">
            <v>0</v>
          </cell>
          <cell r="AX63">
            <v>0</v>
          </cell>
        </row>
        <row r="64">
          <cell r="P64">
            <v>29.965000000000003</v>
          </cell>
          <cell r="Q64">
            <v>33.575000000000003</v>
          </cell>
          <cell r="R64">
            <v>32.542999999999999</v>
          </cell>
          <cell r="S64">
            <v>37.981999999999999</v>
          </cell>
          <cell r="T64">
            <v>134.96656000000002</v>
          </cell>
          <cell r="V64">
            <v>34.744999999999997</v>
          </cell>
          <cell r="W64">
            <v>40.725999999999999</v>
          </cell>
          <cell r="X64">
            <v>37.496000000000002</v>
          </cell>
          <cell r="Y64">
            <v>45.823999999999998</v>
          </cell>
          <cell r="Z64">
            <v>158.791</v>
          </cell>
          <cell r="AB64">
            <v>42.517000000000003</v>
          </cell>
          <cell r="AC64">
            <v>46.197439999999993</v>
          </cell>
          <cell r="AD64">
            <v>44.431439999999988</v>
          </cell>
          <cell r="AE64">
            <v>54.473299999999981</v>
          </cell>
          <cell r="AF64">
            <v>187.64917999999972</v>
          </cell>
          <cell r="AH64">
            <v>43.774000000000029</v>
          </cell>
          <cell r="AI64">
            <v>50.319999999999986</v>
          </cell>
          <cell r="AJ64">
            <v>45.16399999999998</v>
          </cell>
          <cell r="AK64">
            <v>50.239000000000047</v>
          </cell>
          <cell r="AL64">
            <v>189.49700000000001</v>
          </cell>
          <cell r="AN64">
            <v>49.304699999999947</v>
          </cell>
          <cell r="AO64">
            <v>58.11870000000004</v>
          </cell>
          <cell r="AP64">
            <v>48.560700000000011</v>
          </cell>
          <cell r="AQ64">
            <v>53.691800000000008</v>
          </cell>
          <cell r="AR64">
            <v>209.67589999999981</v>
          </cell>
          <cell r="AX64">
            <v>241.23914000000002</v>
          </cell>
        </row>
        <row r="65">
          <cell r="P65">
            <v>29.965000000000003</v>
          </cell>
          <cell r="Q65">
            <v>33.575000000000003</v>
          </cell>
          <cell r="R65">
            <v>32.542999999999999</v>
          </cell>
          <cell r="S65">
            <v>37.981999999999999</v>
          </cell>
          <cell r="T65">
            <v>134.96656000000002</v>
          </cell>
          <cell r="V65">
            <v>34.744999999999997</v>
          </cell>
          <cell r="W65">
            <v>40.725999999999999</v>
          </cell>
          <cell r="X65">
            <v>37.496000000000002</v>
          </cell>
          <cell r="Y65">
            <v>45.823999999999998</v>
          </cell>
          <cell r="Z65">
            <v>158.791</v>
          </cell>
          <cell r="AB65">
            <v>42.517000000000003</v>
          </cell>
          <cell r="AC65">
            <v>46.197439999999993</v>
          </cell>
          <cell r="AD65">
            <v>44.431439999999988</v>
          </cell>
          <cell r="AE65">
            <v>54.473299999999981</v>
          </cell>
          <cell r="AF65">
            <v>187.64917999999972</v>
          </cell>
          <cell r="AH65">
            <v>43.774000000000029</v>
          </cell>
          <cell r="AI65">
            <v>50.319999999999986</v>
          </cell>
          <cell r="AJ65">
            <v>45.16399999999998</v>
          </cell>
          <cell r="AK65">
            <v>50.239000000000047</v>
          </cell>
          <cell r="AL65">
            <v>189.49700000000001</v>
          </cell>
          <cell r="AN65">
            <v>49.304699999999947</v>
          </cell>
          <cell r="AO65">
            <v>58.11870000000004</v>
          </cell>
          <cell r="AP65">
            <v>48.560700000000011</v>
          </cell>
          <cell r="AQ65">
            <v>53.691800000000008</v>
          </cell>
          <cell r="AR65">
            <v>209.67589999999981</v>
          </cell>
          <cell r="AX65">
            <v>241.23914000000002</v>
          </cell>
        </row>
        <row r="67">
          <cell r="P67">
            <v>6.5000000000000002E-2</v>
          </cell>
          <cell r="Q67">
            <v>8.3000000000000004E-2</v>
          </cell>
          <cell r="R67">
            <v>6.2E-2</v>
          </cell>
          <cell r="S67">
            <v>6.2E-2</v>
          </cell>
          <cell r="T67">
            <v>6.8000000000000005E-2</v>
          </cell>
          <cell r="V67">
            <v>5.1999999999999998E-2</v>
          </cell>
          <cell r="W67">
            <v>4.5999999999999999E-2</v>
          </cell>
          <cell r="X67">
            <v>3.9E-2</v>
          </cell>
          <cell r="Y67">
            <v>3.9E-2</v>
          </cell>
          <cell r="AB67">
            <v>0.06</v>
          </cell>
          <cell r="AC67">
            <v>0.04</v>
          </cell>
          <cell r="AD67">
            <v>1.7000000000000001E-2</v>
          </cell>
          <cell r="AE67">
            <v>4.2999999999999997E-2</v>
          </cell>
          <cell r="AH67">
            <v>-1.6E-2</v>
          </cell>
          <cell r="AI67">
            <v>3.9E-2</v>
          </cell>
          <cell r="AJ67">
            <v>5.3999999999999999E-2</v>
          </cell>
          <cell r="AL67">
            <v>0.02</v>
          </cell>
          <cell r="AO67">
            <v>5.1999999999999998E-2</v>
          </cell>
          <cell r="AP67">
            <v>0.04</v>
          </cell>
        </row>
        <row r="68">
          <cell r="P68">
            <v>0.38300000000000001</v>
          </cell>
          <cell r="Q68">
            <v>0.38400000000000001</v>
          </cell>
          <cell r="R68">
            <v>0.37</v>
          </cell>
          <cell r="S68">
            <v>6.2E-2</v>
          </cell>
          <cell r="T68">
            <v>0.14599999999999999</v>
          </cell>
          <cell r="V68">
            <v>-3.0000000000000001E-3</v>
          </cell>
          <cell r="W68">
            <v>-2E-3</v>
          </cell>
          <cell r="X68">
            <v>1E-3</v>
          </cell>
          <cell r="Y68">
            <v>0</v>
          </cell>
          <cell r="AB68">
            <v>0</v>
          </cell>
          <cell r="AC68">
            <v>0</v>
          </cell>
          <cell r="AD68">
            <v>0</v>
          </cell>
          <cell r="AE68">
            <v>0</v>
          </cell>
          <cell r="AH68">
            <v>1.2999999999999999E-2</v>
          </cell>
          <cell r="AI68">
            <v>1.2999999999999999E-2</v>
          </cell>
          <cell r="AJ68">
            <v>0.02</v>
          </cell>
          <cell r="AL68">
            <v>0.02</v>
          </cell>
          <cell r="AO68">
            <v>3.0000000000000001E-3</v>
          </cell>
          <cell r="AP68">
            <v>0</v>
          </cell>
        </row>
        <row r="69">
          <cell r="P69">
            <v>-1.7999999999999999E-2</v>
          </cell>
          <cell r="Q69">
            <v>1.7000000000000001E-2</v>
          </cell>
          <cell r="R69">
            <v>1.7999999999999999E-2</v>
          </cell>
          <cell r="T69">
            <v>1.2E-2</v>
          </cell>
          <cell r="V69">
            <v>7.0000000000000007E-2</v>
          </cell>
          <cell r="W69">
            <v>7.0000000000000007E-2</v>
          </cell>
          <cell r="X69">
            <v>5.0999999999999997E-2</v>
          </cell>
          <cell r="Y69">
            <v>7.4999999999999997E-2</v>
          </cell>
          <cell r="AB69">
            <v>7.2999999999999995E-2</v>
          </cell>
          <cell r="AC69">
            <v>3.3000000000000002E-2</v>
          </cell>
          <cell r="AD69">
            <v>3.4000000000000002E-2</v>
          </cell>
          <cell r="AE69">
            <v>4.7E-2</v>
          </cell>
          <cell r="AH69">
            <v>3.3000000000000002E-2</v>
          </cell>
          <cell r="AI69">
            <v>2.1999999999999999E-2</v>
          </cell>
          <cell r="AJ69">
            <v>8.0000000000000002E-3</v>
          </cell>
          <cell r="AO69">
            <v>3.0000000000000001E-3</v>
          </cell>
          <cell r="AP69">
            <v>1.7999999999999999E-2</v>
          </cell>
        </row>
        <row r="70">
          <cell r="P70">
            <v>0.43</v>
          </cell>
          <cell r="Q70">
            <v>0.48400000000000004</v>
          </cell>
          <cell r="R70">
            <v>0.45</v>
          </cell>
          <cell r="S70">
            <v>6.2E-2</v>
          </cell>
          <cell r="T70">
            <v>0.22600000000000001</v>
          </cell>
          <cell r="V70">
            <v>0.11899999999999999</v>
          </cell>
          <cell r="W70">
            <v>0.114</v>
          </cell>
          <cell r="X70">
            <v>9.0999999999999998E-2</v>
          </cell>
          <cell r="Y70">
            <v>0.11399999999999999</v>
          </cell>
          <cell r="AB70">
            <v>0.13300000000000001</v>
          </cell>
          <cell r="AC70">
            <v>7.3000000000000009E-2</v>
          </cell>
          <cell r="AD70">
            <v>5.1000000000000004E-2</v>
          </cell>
          <cell r="AE70">
            <v>0.09</v>
          </cell>
          <cell r="AH70">
            <v>0.03</v>
          </cell>
          <cell r="AI70">
            <v>7.3999999999999996E-2</v>
          </cell>
          <cell r="AJ70">
            <v>8.199999999999999E-2</v>
          </cell>
          <cell r="AO70">
            <v>5.8000000000000003E-2</v>
          </cell>
          <cell r="AP70">
            <v>5.7999999999999996E-2</v>
          </cell>
        </row>
        <row r="71">
          <cell r="P71">
            <v>0.43</v>
          </cell>
          <cell r="Q71">
            <v>0.48400000000000004</v>
          </cell>
          <cell r="R71">
            <v>0.45</v>
          </cell>
          <cell r="S71">
            <v>6.2E-2</v>
          </cell>
          <cell r="T71">
            <v>0.22600000000000001</v>
          </cell>
          <cell r="V71">
            <v>0.11899999999999999</v>
          </cell>
          <cell r="W71">
            <v>0.114</v>
          </cell>
          <cell r="X71">
            <v>9.0999999999999998E-2</v>
          </cell>
          <cell r="Y71">
            <v>0.11399999999999999</v>
          </cell>
          <cell r="AB71">
            <v>0.13300000000000001</v>
          </cell>
          <cell r="AC71">
            <v>7.3000000000000009E-2</v>
          </cell>
          <cell r="AD71">
            <v>5.1000000000000004E-2</v>
          </cell>
          <cell r="AE71">
            <v>0.09</v>
          </cell>
          <cell r="AH71">
            <v>0.03</v>
          </cell>
          <cell r="AI71">
            <v>7.3999999999999996E-2</v>
          </cell>
          <cell r="AJ71">
            <v>8.199999999999999E-2</v>
          </cell>
          <cell r="AO71">
            <v>5.8000000000000003E-2</v>
          </cell>
          <cell r="AP71">
            <v>5.7999999999999996E-2</v>
          </cell>
        </row>
        <row r="73">
          <cell r="T73">
            <v>41.6</v>
          </cell>
        </row>
        <row r="74">
          <cell r="T74">
            <v>41.6</v>
          </cell>
        </row>
        <row r="76">
          <cell r="T76">
            <v>-2.7320000000000002</v>
          </cell>
        </row>
        <row r="77">
          <cell r="T77">
            <v>-2.7320000000000002</v>
          </cell>
        </row>
        <row r="84">
          <cell r="AD84">
            <v>7.8200000000000006E-3</v>
          </cell>
          <cell r="AJ84">
            <v>7.5999999999999998E-2</v>
          </cell>
          <cell r="AO84">
            <v>6.0999999999999999E-2</v>
          </cell>
          <cell r="AP84">
            <v>3.2000000000000001E-2</v>
          </cell>
        </row>
        <row r="85">
          <cell r="AD85">
            <v>5.8140000000000006E-3</v>
          </cell>
          <cell r="AJ85">
            <v>4.7E-2</v>
          </cell>
          <cell r="AO85">
            <v>5.0000000000000001E-3</v>
          </cell>
          <cell r="AP85">
            <v>2.8000000000000001E-2</v>
          </cell>
        </row>
        <row r="86">
          <cell r="AD86">
            <v>3.3660000000000005E-3</v>
          </cell>
          <cell r="AJ86">
            <v>1.2999999999999999E-2</v>
          </cell>
          <cell r="AO86">
            <v>3.5000000000000003E-2</v>
          </cell>
          <cell r="AP86">
            <v>8.2000000000000003E-2</v>
          </cell>
        </row>
        <row r="87">
          <cell r="AD87">
            <v>1.7000000000000001E-2</v>
          </cell>
          <cell r="AJ87">
            <v>5.3826000000000006E-2</v>
          </cell>
          <cell r="AO87">
            <v>3.5430000000000003E-2</v>
          </cell>
          <cell r="AP87">
            <v>5.8000000000000003E-2</v>
          </cell>
        </row>
        <row r="88">
          <cell r="AD88">
            <v>1.7000000000000001E-2</v>
          </cell>
          <cell r="AJ88">
            <v>5.3826000000000006E-2</v>
          </cell>
          <cell r="AO88">
            <v>3.5430000000000003E-2</v>
          </cell>
          <cell r="AP88">
            <v>5.8000000000000003E-2</v>
          </cell>
        </row>
        <row r="90">
          <cell r="AD90">
            <v>0.46</v>
          </cell>
          <cell r="AJ90">
            <v>0.46400000000000002</v>
          </cell>
          <cell r="AO90">
            <v>0.43</v>
          </cell>
        </row>
        <row r="91">
          <cell r="AD91">
            <v>0.34200000000000003</v>
          </cell>
          <cell r="AJ91">
            <v>0.34100000000000003</v>
          </cell>
          <cell r="AO91">
            <v>0.37</v>
          </cell>
        </row>
        <row r="92">
          <cell r="AD92">
            <v>0.19800000000000001</v>
          </cell>
          <cell r="AJ92">
            <v>0.19500000000000001</v>
          </cell>
          <cell r="AO92">
            <v>0.21</v>
          </cell>
        </row>
        <row r="93">
          <cell r="AD93">
            <v>0.19800000000000001</v>
          </cell>
          <cell r="AJ93">
            <v>0.19500000000000001</v>
          </cell>
          <cell r="AO93">
            <v>0.21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ntro"/>
      <sheetName val="Irevna Notes"/>
      <sheetName val="iQ_CoreIndustrials"/>
      <sheetName val="IS"/>
      <sheetName val="Revenue"/>
      <sheetName val="BS"/>
      <sheetName val="CF"/>
      <sheetName val="ROIC"/>
      <sheetName val="Valuation"/>
      <sheetName val="Other Accts"/>
      <sheetName val="ROIC terminal"/>
      <sheetName val="Short Cash Flow"/>
      <sheetName val="ROIC Calc"/>
      <sheetName val="ROIC His Data"/>
      <sheetName val="Std Graphs"/>
      <sheetName val="QtrComp"/>
      <sheetName val="Sum_Parts"/>
      <sheetName val="Graphs"/>
      <sheetName val="NVS_Blood_Screening"/>
      <sheetName val="Guidance"/>
      <sheetName val="Rev"/>
      <sheetName val="EPS Quality"/>
      <sheetName val="Shr Repo"/>
      <sheetName val="ESO"/>
      <sheetName val="Pension"/>
    </sheetNames>
    <sheetDataSet>
      <sheetData sheetId="0" refreshError="1"/>
      <sheetData sheetId="1" refreshError="1"/>
      <sheetData sheetId="2" refreshError="1"/>
      <sheetData sheetId="3" refreshError="1"/>
      <sheetData sheetId="4">
        <row r="5">
          <cell r="P5" t="str">
            <v>Historical results</v>
          </cell>
          <cell r="V5" t="str">
            <v>Historical results</v>
          </cell>
          <cell r="AB5" t="str">
            <v>Historical results</v>
          </cell>
          <cell r="AH5" t="str">
            <v>Historical results</v>
          </cell>
          <cell r="AN5" t="str">
            <v>Historical results</v>
          </cell>
        </row>
        <row r="6">
          <cell r="P6">
            <v>2002</v>
          </cell>
          <cell r="V6">
            <v>2003</v>
          </cell>
          <cell r="AB6">
            <v>2004</v>
          </cell>
          <cell r="AH6">
            <v>2005</v>
          </cell>
          <cell r="AN6">
            <v>2006</v>
          </cell>
        </row>
        <row r="7">
          <cell r="P7">
            <v>37346</v>
          </cell>
          <cell r="Q7">
            <v>37437</v>
          </cell>
          <cell r="R7">
            <v>37529</v>
          </cell>
          <cell r="S7">
            <v>37621</v>
          </cell>
          <cell r="T7" t="str">
            <v xml:space="preserve">Total </v>
          </cell>
          <cell r="V7">
            <v>37711</v>
          </cell>
          <cell r="W7">
            <v>37802</v>
          </cell>
          <cell r="X7">
            <v>37894</v>
          </cell>
          <cell r="Y7">
            <v>37986</v>
          </cell>
          <cell r="Z7" t="str">
            <v xml:space="preserve">Total </v>
          </cell>
          <cell r="AB7">
            <v>38077</v>
          </cell>
          <cell r="AC7">
            <v>38168</v>
          </cell>
          <cell r="AD7">
            <v>38260</v>
          </cell>
          <cell r="AE7">
            <v>38352</v>
          </cell>
          <cell r="AF7" t="str">
            <v xml:space="preserve">Total </v>
          </cell>
          <cell r="AH7">
            <v>38442</v>
          </cell>
          <cell r="AI7">
            <v>38533</v>
          </cell>
          <cell r="AJ7">
            <v>38625</v>
          </cell>
          <cell r="AK7">
            <v>38717</v>
          </cell>
          <cell r="AL7" t="str">
            <v xml:space="preserve">Total </v>
          </cell>
          <cell r="AN7">
            <v>38807</v>
          </cell>
          <cell r="AO7">
            <v>38898</v>
          </cell>
          <cell r="AP7">
            <v>38990</v>
          </cell>
          <cell r="AQ7">
            <v>39082</v>
          </cell>
          <cell r="AR7" t="str">
            <v xml:space="preserve">Total </v>
          </cell>
        </row>
        <row r="9">
          <cell r="P9">
            <v>26.895</v>
          </cell>
          <cell r="Q9">
            <v>29.771999999999998</v>
          </cell>
          <cell r="R9">
            <v>40.918999999999997</v>
          </cell>
          <cell r="S9">
            <v>42.345999999999997</v>
          </cell>
          <cell r="T9">
            <v>139.93199999999999</v>
          </cell>
          <cell r="V9">
            <v>43.62</v>
          </cell>
          <cell r="W9">
            <v>46.298999999999999</v>
          </cell>
          <cell r="X9">
            <v>47.927</v>
          </cell>
          <cell r="Y9">
            <v>50.798999999999999</v>
          </cell>
          <cell r="Z9">
            <v>188.64500000000001</v>
          </cell>
          <cell r="AB9">
            <v>55.03</v>
          </cell>
          <cell r="AC9">
            <v>52.6</v>
          </cell>
          <cell r="AD9">
            <v>56.447000000000003</v>
          </cell>
          <cell r="AE9">
            <v>58.482999999999997</v>
          </cell>
          <cell r="AF9">
            <v>222.56</v>
          </cell>
          <cell r="AH9">
            <v>59.579000000000001</v>
          </cell>
          <cell r="AI9">
            <v>65.131</v>
          </cell>
          <cell r="AJ9">
            <v>68.941000000000003</v>
          </cell>
          <cell r="AK9">
            <v>77.998999999999995</v>
          </cell>
          <cell r="AL9">
            <v>271.64999999999998</v>
          </cell>
          <cell r="AN9">
            <v>78.528000000000006</v>
          </cell>
          <cell r="AO9">
            <v>77.813000000000002</v>
          </cell>
          <cell r="AP9">
            <v>83.47</v>
          </cell>
          <cell r="AQ9">
            <v>85.495999999999995</v>
          </cell>
          <cell r="AR9">
            <v>325.30700000000002</v>
          </cell>
        </row>
        <row r="10">
          <cell r="P10" t="e">
            <v>#DIV/0!</v>
          </cell>
          <cell r="Q10">
            <v>0.15051976658808974</v>
          </cell>
          <cell r="R10">
            <v>0.63885773790451772</v>
          </cell>
          <cell r="S10">
            <v>-1.8328449208378403</v>
          </cell>
          <cell r="T10" t="e">
            <v>#DIV/0!</v>
          </cell>
          <cell r="V10">
            <v>0.62186279977691017</v>
          </cell>
          <cell r="W10">
            <v>0.55511890366787586</v>
          </cell>
          <cell r="X10">
            <v>0.17126518243358846</v>
          </cell>
          <cell r="Y10">
            <v>0.19961743730222459</v>
          </cell>
          <cell r="Z10">
            <v>0.34811908641340095</v>
          </cell>
          <cell r="AB10">
            <v>0.26157725813846877</v>
          </cell>
          <cell r="AC10">
            <v>0.13609365213071567</v>
          </cell>
          <cell r="AD10">
            <v>0.17777035908777949</v>
          </cell>
          <cell r="AE10">
            <v>0.15126282013425452</v>
          </cell>
          <cell r="AF10">
            <v>0.17978213045667779</v>
          </cell>
          <cell r="AH10">
            <v>8.2664001453752523E-2</v>
          </cell>
          <cell r="AI10">
            <v>0.23823193916349816</v>
          </cell>
          <cell r="AJ10">
            <v>0.22134037238471493</v>
          </cell>
          <cell r="AK10">
            <v>0.33370381136398608</v>
          </cell>
          <cell r="AL10">
            <v>0.22056973400431334</v>
          </cell>
          <cell r="AN10">
            <v>0.31804830561103747</v>
          </cell>
          <cell r="AO10">
            <v>0.19471526615590129</v>
          </cell>
          <cell r="AP10">
            <v>0.21074541999680885</v>
          </cell>
          <cell r="AQ10">
            <v>9.6116616879703631E-2</v>
          </cell>
          <cell r="AR10">
            <v>0.19752254739554598</v>
          </cell>
        </row>
        <row r="11">
          <cell r="P11">
            <v>5.9039999999999999</v>
          </cell>
          <cell r="Q11">
            <v>4.173</v>
          </cell>
          <cell r="R11">
            <v>0.79900000000000004</v>
          </cell>
          <cell r="S11">
            <v>0.156</v>
          </cell>
          <cell r="T11">
            <v>11.032</v>
          </cell>
          <cell r="V11">
            <v>1.897</v>
          </cell>
          <cell r="W11">
            <v>3.84</v>
          </cell>
          <cell r="X11">
            <v>3.7370000000000001</v>
          </cell>
          <cell r="Y11">
            <v>5.9279999999999999</v>
          </cell>
          <cell r="Z11">
            <v>15.402000000000001</v>
          </cell>
          <cell r="AB11">
            <v>6.7309999999999999</v>
          </cell>
          <cell r="AC11">
            <v>7.0069999999999997</v>
          </cell>
          <cell r="AD11">
            <v>5.532</v>
          </cell>
          <cell r="AE11">
            <v>7.8520000000000003</v>
          </cell>
          <cell r="AF11">
            <v>27.122</v>
          </cell>
          <cell r="AH11">
            <v>6.3440000000000003</v>
          </cell>
          <cell r="AI11">
            <v>6.6779999999999999</v>
          </cell>
          <cell r="AJ11">
            <v>6.3360000000000003</v>
          </cell>
          <cell r="AK11">
            <v>6.4850000000000003</v>
          </cell>
          <cell r="AL11">
            <v>25.843</v>
          </cell>
          <cell r="AN11">
            <v>6.8849999999999998</v>
          </cell>
          <cell r="AO11">
            <v>6.3879999999999999</v>
          </cell>
          <cell r="AP11">
            <v>1.47</v>
          </cell>
          <cell r="AQ11">
            <v>1.194</v>
          </cell>
          <cell r="AR11">
            <v>15.937000000000001</v>
          </cell>
        </row>
        <row r="12">
          <cell r="P12" t="e">
            <v>#DIV/0!</v>
          </cell>
          <cell r="Q12">
            <v>-5.1806407634628404E-2</v>
          </cell>
          <cell r="R12">
            <v>-0.88038922155688626</v>
          </cell>
          <cell r="S12">
            <v>-1.0140781517913546</v>
          </cell>
          <cell r="T12" t="e">
            <v>#DIV/0!</v>
          </cell>
          <cell r="V12">
            <v>-0.67869241192411922</v>
          </cell>
          <cell r="W12">
            <v>-7.9798705966930283E-2</v>
          </cell>
          <cell r="X12">
            <v>3.6770963704630786</v>
          </cell>
          <cell r="Y12">
            <v>37</v>
          </cell>
          <cell r="Z12">
            <v>0.39612037708484427</v>
          </cell>
          <cell r="AB12">
            <v>2.5482340537691091</v>
          </cell>
          <cell r="AC12">
            <v>0.8247395833333333</v>
          </cell>
          <cell r="AD12">
            <v>0.48033181696548022</v>
          </cell>
          <cell r="AE12">
            <v>0.32456140350877205</v>
          </cell>
          <cell r="AF12">
            <v>0.76094013764446156</v>
          </cell>
          <cell r="AH12">
            <v>-5.7495171594116656E-2</v>
          </cell>
          <cell r="AI12">
            <v>-4.6953046953046917E-2</v>
          </cell>
          <cell r="AJ12">
            <v>0.14533622559652937</v>
          </cell>
          <cell r="AK12">
            <v>-0.17409577177789093</v>
          </cell>
          <cell r="AL12">
            <v>-4.7157289285450932E-2</v>
          </cell>
          <cell r="AN12">
            <v>8.5277427490542124E-2</v>
          </cell>
          <cell r="AO12">
            <v>-4.342617550164718E-2</v>
          </cell>
          <cell r="AP12">
            <v>-0.76799242424242431</v>
          </cell>
          <cell r="AQ12">
            <v>-0.81588280647648426</v>
          </cell>
          <cell r="AR12">
            <v>-0.3833146306543358</v>
          </cell>
        </row>
        <row r="13">
          <cell r="P13">
            <v>0.98399999999999999</v>
          </cell>
          <cell r="Q13">
            <v>0.90600000000000003</v>
          </cell>
          <cell r="R13">
            <v>1.079</v>
          </cell>
          <cell r="S13">
            <v>1.6639999999999999</v>
          </cell>
          <cell r="T13">
            <v>4.633</v>
          </cell>
          <cell r="V13">
            <v>0.65100000000000002</v>
          </cell>
          <cell r="W13">
            <v>0.54300000000000004</v>
          </cell>
          <cell r="X13">
            <v>0.61699999999999999</v>
          </cell>
          <cell r="Y13">
            <v>1.333</v>
          </cell>
          <cell r="Z13">
            <v>3.1440000000000001</v>
          </cell>
          <cell r="AB13">
            <v>14.725</v>
          </cell>
          <cell r="AC13">
            <v>1.6180000000000001</v>
          </cell>
          <cell r="AD13">
            <v>1.508</v>
          </cell>
          <cell r="AE13">
            <v>2.1739999999999999</v>
          </cell>
          <cell r="AF13">
            <v>20.024999999999999</v>
          </cell>
          <cell r="AH13">
            <v>2.9049999999999998</v>
          </cell>
          <cell r="AI13">
            <v>1.085</v>
          </cell>
          <cell r="AJ13">
            <v>0.99399999999999999</v>
          </cell>
          <cell r="AK13">
            <v>3.488</v>
          </cell>
          <cell r="AL13">
            <v>8.4719999999999995</v>
          </cell>
          <cell r="AN13">
            <v>0.84299999999999997</v>
          </cell>
          <cell r="AO13">
            <v>1.0209999999999999</v>
          </cell>
          <cell r="AP13">
            <v>7.2869999999999999</v>
          </cell>
          <cell r="AQ13">
            <v>4.3689999999999998</v>
          </cell>
          <cell r="AR13">
            <v>13.52</v>
          </cell>
        </row>
        <row r="14">
          <cell r="P14" t="e">
            <v>#DIV/0!</v>
          </cell>
          <cell r="Q14">
            <v>0.21122994652406413</v>
          </cell>
          <cell r="R14">
            <v>-0.62715964063579821</v>
          </cell>
          <cell r="S14">
            <v>-1.456891817682592</v>
          </cell>
          <cell r="T14" t="e">
            <v>#DIV/0!</v>
          </cell>
          <cell r="V14">
            <v>-0.33841463414634143</v>
          </cell>
          <cell r="W14">
            <v>-0.40066225165562908</v>
          </cell>
          <cell r="X14">
            <v>-0.42817423540315103</v>
          </cell>
          <cell r="Y14">
            <v>-0.19891826923076916</v>
          </cell>
          <cell r="Z14">
            <v>-0.32139002805957262</v>
          </cell>
          <cell r="AB14">
            <v>21.619047619047617</v>
          </cell>
          <cell r="AC14">
            <v>1.979742173112339</v>
          </cell>
          <cell r="AD14">
            <v>1.4440842787682335</v>
          </cell>
          <cell r="AE14">
            <v>0.63090772693173292</v>
          </cell>
          <cell r="AF14">
            <v>5.3692748091603049</v>
          </cell>
          <cell r="AH14">
            <v>-0.8027164685908319</v>
          </cell>
          <cell r="AI14">
            <v>-0.32941903584672438</v>
          </cell>
          <cell r="AJ14">
            <v>-0.34084880636604775</v>
          </cell>
          <cell r="AK14">
            <v>0.60441582336706534</v>
          </cell>
          <cell r="AL14">
            <v>-0.57692883895131086</v>
          </cell>
          <cell r="AN14">
            <v>-0.70981067125645436</v>
          </cell>
          <cell r="AO14">
            <v>-5.8986175115207429E-2</v>
          </cell>
          <cell r="AP14">
            <v>1.0891628440366974</v>
          </cell>
          <cell r="AQ14">
            <v>-0.48430122757318228</v>
          </cell>
          <cell r="AR14">
            <v>0.59584513692162422</v>
          </cell>
        </row>
        <row r="16">
          <cell r="P16">
            <v>33.783000000000001</v>
          </cell>
          <cell r="Q16">
            <v>34.850999999999999</v>
          </cell>
          <cell r="R16">
            <v>42.796999999999997</v>
          </cell>
          <cell r="S16">
            <v>44.165999999999997</v>
          </cell>
          <cell r="T16">
            <v>155.59699999999998</v>
          </cell>
          <cell r="V16">
            <v>46.167999999999999</v>
          </cell>
          <cell r="W16">
            <v>50.681999999999995</v>
          </cell>
          <cell r="X16">
            <v>52.280999999999999</v>
          </cell>
          <cell r="Y16">
            <v>58.059999999999995</v>
          </cell>
          <cell r="Z16">
            <v>207.191</v>
          </cell>
          <cell r="AB16">
            <v>76.486000000000004</v>
          </cell>
          <cell r="AC16">
            <v>61.225000000000001</v>
          </cell>
          <cell r="AD16">
            <v>63.487000000000002</v>
          </cell>
          <cell r="AE16">
            <v>68.509</v>
          </cell>
          <cell r="AF16">
            <v>269.70699999999999</v>
          </cell>
          <cell r="AH16">
            <v>68.828000000000003</v>
          </cell>
          <cell r="AI16">
            <v>72.893999999999991</v>
          </cell>
          <cell r="AJ16">
            <v>76.271000000000001</v>
          </cell>
          <cell r="AK16">
            <v>87.971999999999994</v>
          </cell>
          <cell r="AL16">
            <v>305.96499999999997</v>
          </cell>
          <cell r="AN16">
            <v>86.256</v>
          </cell>
          <cell r="AO16">
            <v>85.221999999999994</v>
          </cell>
          <cell r="AP16">
            <v>92.227000000000004</v>
          </cell>
          <cell r="AQ16">
            <v>91.058999999999997</v>
          </cell>
          <cell r="AR16">
            <v>354.76400000000001</v>
          </cell>
        </row>
        <row r="17">
          <cell r="P17">
            <v>11.614000000000001</v>
          </cell>
          <cell r="Q17">
            <v>12.603</v>
          </cell>
          <cell r="R17">
            <v>14.723000000000001</v>
          </cell>
          <cell r="S17">
            <v>14.471</v>
          </cell>
          <cell r="T17">
            <v>53.411000000000001</v>
          </cell>
          <cell r="V17">
            <v>12.919</v>
          </cell>
          <cell r="W17">
            <v>11.055</v>
          </cell>
          <cell r="X17">
            <v>10.827999999999999</v>
          </cell>
          <cell r="Y17">
            <v>10.656000000000001</v>
          </cell>
          <cell r="Z17">
            <v>45.457999999999998</v>
          </cell>
          <cell r="AB17">
            <v>13.864000000000001</v>
          </cell>
          <cell r="AC17">
            <v>13.164</v>
          </cell>
          <cell r="AD17">
            <v>15.272</v>
          </cell>
          <cell r="AE17">
            <v>17.608000000000001</v>
          </cell>
          <cell r="AF17">
            <v>59.908000000000001</v>
          </cell>
          <cell r="AH17">
            <v>15.497999999999999</v>
          </cell>
          <cell r="AI17">
            <v>20.350000000000001</v>
          </cell>
          <cell r="AJ17">
            <v>21.399000000000001</v>
          </cell>
          <cell r="AK17">
            <v>26.652999999999999</v>
          </cell>
          <cell r="AL17">
            <v>83.9</v>
          </cell>
          <cell r="AN17">
            <v>26.611999999999998</v>
          </cell>
          <cell r="AO17">
            <v>25.302</v>
          </cell>
          <cell r="AP17">
            <v>24.300999999999998</v>
          </cell>
          <cell r="AQ17">
            <v>27.675000000000001</v>
          </cell>
          <cell r="AR17">
            <v>103.89</v>
          </cell>
        </row>
        <row r="18">
          <cell r="P18">
            <v>22.169</v>
          </cell>
          <cell r="Q18">
            <v>22.247999999999998</v>
          </cell>
          <cell r="R18">
            <v>28.073999999999998</v>
          </cell>
          <cell r="S18">
            <v>29.694999999999997</v>
          </cell>
          <cell r="T18">
            <v>102.18599999999998</v>
          </cell>
          <cell r="V18">
            <v>33.248999999999995</v>
          </cell>
          <cell r="W18">
            <v>39.626999999999995</v>
          </cell>
          <cell r="X18">
            <v>41.453000000000003</v>
          </cell>
          <cell r="Y18">
            <v>47.403999999999996</v>
          </cell>
          <cell r="Z18">
            <v>161.733</v>
          </cell>
          <cell r="AB18">
            <v>62.622</v>
          </cell>
          <cell r="AC18">
            <v>48.061</v>
          </cell>
          <cell r="AD18">
            <v>48.215000000000003</v>
          </cell>
          <cell r="AE18">
            <v>50.900999999999996</v>
          </cell>
          <cell r="AF18">
            <v>209.79899999999998</v>
          </cell>
          <cell r="AH18">
            <v>53.330000000000005</v>
          </cell>
          <cell r="AI18">
            <v>52.54399999999999</v>
          </cell>
          <cell r="AJ18">
            <v>54.872</v>
          </cell>
          <cell r="AK18">
            <v>61.318999999999996</v>
          </cell>
          <cell r="AL18">
            <v>222.06499999999997</v>
          </cell>
          <cell r="AN18">
            <v>59.644000000000005</v>
          </cell>
          <cell r="AO18">
            <v>59.919999999999995</v>
          </cell>
          <cell r="AP18">
            <v>67.926000000000002</v>
          </cell>
          <cell r="AQ18">
            <v>63.384</v>
          </cell>
          <cell r="AR18">
            <v>250.87400000000002</v>
          </cell>
        </row>
        <row r="19">
          <cell r="P19">
            <v>12.803000000000001</v>
          </cell>
          <cell r="Q19">
            <v>11.023</v>
          </cell>
          <cell r="R19">
            <v>10.145</v>
          </cell>
          <cell r="S19">
            <v>12.738</v>
          </cell>
          <cell r="T19">
            <v>46.709000000000003</v>
          </cell>
          <cell r="V19">
            <v>11.148999999999999</v>
          </cell>
          <cell r="W19">
            <v>16.338000000000001</v>
          </cell>
          <cell r="X19">
            <v>16.837</v>
          </cell>
          <cell r="Y19">
            <v>18.869</v>
          </cell>
          <cell r="Z19">
            <v>63.192999999999998</v>
          </cell>
          <cell r="AB19">
            <v>18.419</v>
          </cell>
          <cell r="AC19">
            <v>15.896000000000001</v>
          </cell>
          <cell r="AD19">
            <v>15.646000000000001</v>
          </cell>
          <cell r="AE19">
            <v>18.521000000000001</v>
          </cell>
          <cell r="AF19">
            <v>68.481999999999999</v>
          </cell>
          <cell r="AH19">
            <v>18.683</v>
          </cell>
          <cell r="AI19">
            <v>17.408000000000001</v>
          </cell>
          <cell r="AJ19">
            <v>17.506</v>
          </cell>
          <cell r="AK19">
            <v>18.248999999999999</v>
          </cell>
          <cell r="AL19">
            <v>71.846000000000004</v>
          </cell>
          <cell r="AN19">
            <v>19.326000000000001</v>
          </cell>
          <cell r="AO19">
            <v>20.329000000000001</v>
          </cell>
          <cell r="AP19">
            <v>24.178000000000001</v>
          </cell>
          <cell r="AQ19">
            <v>20.712</v>
          </cell>
          <cell r="AR19">
            <v>84.545000000000002</v>
          </cell>
        </row>
        <row r="20">
          <cell r="P20">
            <v>8.5790000000000006</v>
          </cell>
          <cell r="Q20">
            <v>10.948</v>
          </cell>
          <cell r="R20">
            <v>9.7929999999999993</v>
          </cell>
          <cell r="S20">
            <v>9.8739999999999988</v>
          </cell>
          <cell r="T20">
            <v>39.194000000000003</v>
          </cell>
          <cell r="V20">
            <v>9.2810000000000006</v>
          </cell>
          <cell r="W20">
            <v>11.283000000000001</v>
          </cell>
          <cell r="X20">
            <v>11.683</v>
          </cell>
          <cell r="Y20">
            <v>13.571999999999999</v>
          </cell>
          <cell r="Z20">
            <v>45.819000000000003</v>
          </cell>
          <cell r="AB20">
            <v>14.095000000000001</v>
          </cell>
          <cell r="AC20">
            <v>14.054</v>
          </cell>
          <cell r="AD20">
            <v>15.625999999999999</v>
          </cell>
          <cell r="AE20">
            <v>15.044</v>
          </cell>
          <cell r="AF20">
            <v>58.819000000000003</v>
          </cell>
          <cell r="AH20">
            <v>14.617000000000001</v>
          </cell>
          <cell r="AI20">
            <v>15.164000000000001</v>
          </cell>
          <cell r="AJ20">
            <v>15.376999999999999</v>
          </cell>
          <cell r="AK20">
            <v>18.094000000000001</v>
          </cell>
          <cell r="AL20">
            <v>63.252000000000002</v>
          </cell>
          <cell r="AN20">
            <v>19.52</v>
          </cell>
          <cell r="AO20">
            <v>19.843</v>
          </cell>
          <cell r="AP20">
            <v>22.274000000000001</v>
          </cell>
          <cell r="AQ20">
            <v>20.395000000000003</v>
          </cell>
          <cell r="AR20">
            <v>82.032000000000011</v>
          </cell>
        </row>
        <row r="21">
          <cell r="P21">
            <v>0.78699999999999903</v>
          </cell>
          <cell r="Q21">
            <v>0.27699999999999747</v>
          </cell>
          <cell r="R21">
            <v>8.1359999999999992</v>
          </cell>
          <cell r="S21">
            <v>7.0829999999999984</v>
          </cell>
          <cell r="T21">
            <v>34.066999999999993</v>
          </cell>
          <cell r="V21">
            <v>12.818999999999994</v>
          </cell>
          <cell r="W21">
            <v>12.005999999999993</v>
          </cell>
          <cell r="X21">
            <v>12.933000000000003</v>
          </cell>
          <cell r="Y21">
            <v>14.962999999999997</v>
          </cell>
          <cell r="Z21">
            <v>68.542999999999978</v>
          </cell>
          <cell r="AB21">
            <v>30.108000000000004</v>
          </cell>
          <cell r="AC21">
            <v>18.110999999999997</v>
          </cell>
          <cell r="AD21">
            <v>16.943000000000005</v>
          </cell>
          <cell r="AE21">
            <v>17.335999999999995</v>
          </cell>
          <cell r="AF21">
            <v>82.497999999999976</v>
          </cell>
          <cell r="AH21">
            <v>20.030000000000005</v>
          </cell>
          <cell r="AI21">
            <v>19.971999999999987</v>
          </cell>
          <cell r="AJ21">
            <v>21.989000000000001</v>
          </cell>
          <cell r="AK21">
            <v>24.975999999999992</v>
          </cell>
          <cell r="AL21">
            <v>86.966999999999956</v>
          </cell>
          <cell r="AN21">
            <v>20.798000000000005</v>
          </cell>
          <cell r="AO21">
            <v>19.747999999999994</v>
          </cell>
          <cell r="AP21">
            <v>21.474000000000004</v>
          </cell>
          <cell r="AQ21">
            <v>22.276999999999994</v>
          </cell>
          <cell r="AR21">
            <v>84.296999999999997</v>
          </cell>
        </row>
        <row r="22">
          <cell r="P22">
            <v>0.23799999999999999</v>
          </cell>
          <cell r="Q22">
            <v>0.218</v>
          </cell>
          <cell r="R22">
            <v>1.393</v>
          </cell>
          <cell r="S22">
            <v>1.9E-2</v>
          </cell>
          <cell r="T22">
            <v>1.8679999999999999</v>
          </cell>
          <cell r="V22">
            <v>1.4E-2</v>
          </cell>
          <cell r="W22">
            <v>2.9000000000000001E-2</v>
          </cell>
          <cell r="X22">
            <v>1.4E-2</v>
          </cell>
          <cell r="Y22">
            <v>8.0000000000000002E-3</v>
          </cell>
          <cell r="Z22">
            <v>6.5000000000000002E-2</v>
          </cell>
          <cell r="AB22">
            <v>8.9999999999999993E-3</v>
          </cell>
          <cell r="AC22">
            <v>4.0000000000000001E-3</v>
          </cell>
          <cell r="AD22">
            <v>0.02</v>
          </cell>
          <cell r="AE22">
            <v>-5.0000000000000001E-3</v>
          </cell>
          <cell r="AF22">
            <v>2.8000000000000001E-2</v>
          </cell>
          <cell r="AH22">
            <v>0</v>
          </cell>
        </row>
        <row r="23">
          <cell r="P23">
            <v>-0.10100000000000001</v>
          </cell>
          <cell r="Q23">
            <v>-9.1999999999999998E-2</v>
          </cell>
          <cell r="R23">
            <v>-0.28499999999999998</v>
          </cell>
          <cell r="S23">
            <v>-0.42799999999999999</v>
          </cell>
          <cell r="T23">
            <v>-0.90599999999999992</v>
          </cell>
          <cell r="V23">
            <v>-0.45700000000000002</v>
          </cell>
          <cell r="W23">
            <v>-0.42599999999999999</v>
          </cell>
          <cell r="X23">
            <v>-0.56399999999999995</v>
          </cell>
          <cell r="Y23">
            <v>-0.96799999999999997</v>
          </cell>
          <cell r="Z23">
            <v>-2.415</v>
          </cell>
          <cell r="AB23">
            <v>-0.84</v>
          </cell>
          <cell r="AC23">
            <v>-0.186</v>
          </cell>
          <cell r="AD23">
            <v>-0.85499999999999998</v>
          </cell>
          <cell r="AE23">
            <v>-0.93400000000000005</v>
          </cell>
          <cell r="AF23">
            <v>-2.8149999999999999</v>
          </cell>
          <cell r="AH23">
            <v>0</v>
          </cell>
        </row>
        <row r="24">
          <cell r="P24">
            <v>-3.617</v>
          </cell>
          <cell r="Q24">
            <v>-1.2E-2</v>
          </cell>
          <cell r="R24">
            <v>0.40200000000000002</v>
          </cell>
          <cell r="S24">
            <v>-1.0999999999999999E-2</v>
          </cell>
          <cell r="T24">
            <v>-3.238</v>
          </cell>
          <cell r="V24">
            <v>-7.0000000000000001E-3</v>
          </cell>
          <cell r="W24">
            <v>-5.8999999999999997E-2</v>
          </cell>
          <cell r="X24">
            <v>-5.5E-2</v>
          </cell>
          <cell r="Y24">
            <v>-0.27600000000000002</v>
          </cell>
          <cell r="Z24">
            <v>-0.39700000000000002</v>
          </cell>
          <cell r="AB24">
            <v>0.154</v>
          </cell>
          <cell r="AC24">
            <v>0.161</v>
          </cell>
          <cell r="AD24">
            <v>6.6000000000000003E-2</v>
          </cell>
          <cell r="AE24">
            <v>0.32500000000000001</v>
          </cell>
          <cell r="AF24">
            <v>0.70599999999999996</v>
          </cell>
          <cell r="AH24">
            <v>-1.081</v>
          </cell>
          <cell r="AI24">
            <v>-1.0009999999999999</v>
          </cell>
          <cell r="AJ24">
            <v>-1.3180000000000001</v>
          </cell>
          <cell r="AK24">
            <v>-1.327</v>
          </cell>
          <cell r="AL24">
            <v>-4.7270000000000003</v>
          </cell>
          <cell r="AN24">
            <v>-1.7569999999999999</v>
          </cell>
          <cell r="AO24">
            <v>-1.403</v>
          </cell>
          <cell r="AP24">
            <v>-1.921</v>
          </cell>
          <cell r="AQ24">
            <v>-3.6080000000000001</v>
          </cell>
          <cell r="AR24">
            <v>-8.6890000000000001</v>
          </cell>
        </row>
        <row r="25">
          <cell r="P25">
            <v>4.2669999999999995</v>
          </cell>
          <cell r="Q25">
            <v>0.16299999999999748</v>
          </cell>
          <cell r="R25">
            <v>6.6259999999999994</v>
          </cell>
          <cell r="S25">
            <v>7.5029999999999983</v>
          </cell>
          <cell r="T25">
            <v>36.342999999999989</v>
          </cell>
          <cell r="V25">
            <v>13.268999999999993</v>
          </cell>
          <cell r="W25">
            <v>12.461999999999993</v>
          </cell>
          <cell r="X25">
            <v>13.538000000000004</v>
          </cell>
          <cell r="Y25">
            <v>16.198999999999998</v>
          </cell>
          <cell r="Z25">
            <v>71.289999999999978</v>
          </cell>
          <cell r="AB25">
            <v>30.785000000000004</v>
          </cell>
          <cell r="AC25">
            <v>18.131999999999998</v>
          </cell>
          <cell r="AD25">
            <v>17.712000000000003</v>
          </cell>
          <cell r="AE25">
            <v>17.949999999999996</v>
          </cell>
          <cell r="AF25">
            <v>84.578999999999979</v>
          </cell>
          <cell r="AH25">
            <v>21.111000000000004</v>
          </cell>
          <cell r="AI25">
            <v>20.972999999999988</v>
          </cell>
          <cell r="AJ25">
            <v>23.307000000000002</v>
          </cell>
          <cell r="AK25">
            <v>26.30299999999999</v>
          </cell>
          <cell r="AL25">
            <v>91.69399999999996</v>
          </cell>
          <cell r="AN25">
            <v>22.555000000000007</v>
          </cell>
          <cell r="AO25">
            <v>21.150999999999993</v>
          </cell>
          <cell r="AP25">
            <v>23.395000000000003</v>
          </cell>
          <cell r="AQ25">
            <v>25.884999999999994</v>
          </cell>
          <cell r="AR25">
            <v>92.98599999999999</v>
          </cell>
        </row>
        <row r="26">
          <cell r="P26">
            <v>1.099</v>
          </cell>
          <cell r="Q26">
            <v>-0.47099999999999997</v>
          </cell>
          <cell r="R26">
            <v>2.1190000000000002</v>
          </cell>
          <cell r="S26">
            <v>2.4689999999999999</v>
          </cell>
          <cell r="T26">
            <v>5.2160000000000002</v>
          </cell>
          <cell r="V26">
            <v>4.5309999999999997</v>
          </cell>
          <cell r="W26">
            <v>4.2290000000000001</v>
          </cell>
          <cell r="X26">
            <v>4.6040000000000001</v>
          </cell>
          <cell r="Y26">
            <v>6.4020000000000001</v>
          </cell>
          <cell r="Z26">
            <v>19.766000000000002</v>
          </cell>
          <cell r="AB26">
            <v>11.057</v>
          </cell>
          <cell r="AC26">
            <v>6.3710000000000004</v>
          </cell>
          <cell r="AD26">
            <v>6.6020000000000003</v>
          </cell>
          <cell r="AE26">
            <v>5.9740000000000002</v>
          </cell>
          <cell r="AF26">
            <v>30.004000000000001</v>
          </cell>
          <cell r="AH26">
            <v>7.65</v>
          </cell>
          <cell r="AI26">
            <v>7.5170000000000003</v>
          </cell>
          <cell r="AJ26">
            <v>6.89</v>
          </cell>
          <cell r="AK26">
            <v>9.548</v>
          </cell>
          <cell r="AL26">
            <v>31.605000000000004</v>
          </cell>
          <cell r="AN26">
            <v>8.3330000000000002</v>
          </cell>
          <cell r="AO26">
            <v>7.8310000000000004</v>
          </cell>
          <cell r="AP26">
            <v>8.5890000000000004</v>
          </cell>
          <cell r="AQ26">
            <v>8.7509999999999994</v>
          </cell>
          <cell r="AR26">
            <v>33.503999999999998</v>
          </cell>
        </row>
        <row r="27">
          <cell r="P27">
            <v>3.1679999999999993</v>
          </cell>
          <cell r="Q27">
            <v>0.63399999999999745</v>
          </cell>
          <cell r="R27">
            <v>4.5069999999999997</v>
          </cell>
          <cell r="S27">
            <v>5.0339999999999989</v>
          </cell>
          <cell r="T27">
            <v>31.126999999999988</v>
          </cell>
          <cell r="V27">
            <v>8.7379999999999924</v>
          </cell>
          <cell r="W27">
            <v>8.2329999999999934</v>
          </cell>
          <cell r="X27">
            <v>8.9340000000000046</v>
          </cell>
          <cell r="Y27">
            <v>9.796999999999997</v>
          </cell>
          <cell r="Z27">
            <v>51.523999999999972</v>
          </cell>
          <cell r="AB27">
            <v>19.728000000000002</v>
          </cell>
          <cell r="AC27">
            <v>11.760999999999997</v>
          </cell>
          <cell r="AD27">
            <v>11.110000000000003</v>
          </cell>
          <cell r="AE27">
            <v>11.975999999999996</v>
          </cell>
          <cell r="AF27">
            <v>54.574999999999974</v>
          </cell>
          <cell r="AH27">
            <v>13.461000000000004</v>
          </cell>
          <cell r="AI27">
            <v>13.455999999999989</v>
          </cell>
          <cell r="AJ27">
            <v>16.417000000000002</v>
          </cell>
          <cell r="AK27">
            <v>16.754999999999988</v>
          </cell>
          <cell r="AL27">
            <v>60.088999999999956</v>
          </cell>
          <cell r="AN27">
            <v>14.222000000000007</v>
          </cell>
          <cell r="AO27">
            <v>13.319999999999993</v>
          </cell>
          <cell r="AP27">
            <v>14.806000000000003</v>
          </cell>
          <cell r="AQ27">
            <v>17.133999999999993</v>
          </cell>
          <cell r="AR27">
            <v>59.481999999999992</v>
          </cell>
        </row>
        <row r="29">
          <cell r="P29">
            <v>47.6</v>
          </cell>
          <cell r="Q29">
            <v>47.6</v>
          </cell>
          <cell r="R29">
            <v>47.6</v>
          </cell>
          <cell r="S29">
            <v>47.6</v>
          </cell>
          <cell r="T29">
            <v>47.6</v>
          </cell>
          <cell r="V29">
            <v>47.6</v>
          </cell>
          <cell r="W29">
            <v>47.65</v>
          </cell>
          <cell r="X29">
            <v>47.987000000000002</v>
          </cell>
          <cell r="Y29">
            <v>48.612000000000002</v>
          </cell>
          <cell r="Z29">
            <v>47.973999999999997</v>
          </cell>
          <cell r="AB29">
            <v>48.904000000000003</v>
          </cell>
          <cell r="AC29">
            <v>49.302</v>
          </cell>
          <cell r="AD29">
            <v>49.654000000000003</v>
          </cell>
          <cell r="AE29">
            <v>49.866</v>
          </cell>
          <cell r="AF29">
            <v>49.429000000000002</v>
          </cell>
          <cell r="AH29">
            <v>50.281999999999996</v>
          </cell>
          <cell r="AI29">
            <v>50.55</v>
          </cell>
          <cell r="AJ29">
            <v>50.725999999999999</v>
          </cell>
          <cell r="AK29">
            <v>50.892000000000003</v>
          </cell>
          <cell r="AL29">
            <v>50.612499999999997</v>
          </cell>
          <cell r="AN29">
            <v>51.247999999999998</v>
          </cell>
          <cell r="AO29">
            <v>51.563000000000002</v>
          </cell>
          <cell r="AP29">
            <v>51.637999999999998</v>
          </cell>
          <cell r="AQ29">
            <v>51.835000000000001</v>
          </cell>
          <cell r="AR29">
            <v>51.571000000000005</v>
          </cell>
        </row>
        <row r="30">
          <cell r="B30" t="str">
            <v>Diluted shares outstanding</v>
          </cell>
          <cell r="G30">
            <v>0</v>
          </cell>
          <cell r="K30">
            <v>47.6</v>
          </cell>
          <cell r="L30">
            <v>47.601999999999997</v>
          </cell>
          <cell r="M30">
            <v>-95.201999999999998</v>
          </cell>
          <cell r="P30">
            <v>47.6</v>
          </cell>
          <cell r="Q30">
            <v>47.6</v>
          </cell>
          <cell r="R30">
            <v>47.601999999999997</v>
          </cell>
          <cell r="S30">
            <v>47.61</v>
          </cell>
          <cell r="T30">
            <v>47.602999999999994</v>
          </cell>
          <cell r="V30">
            <v>47.676000000000002</v>
          </cell>
          <cell r="W30">
            <v>48.646000000000001</v>
          </cell>
          <cell r="X30">
            <v>50.393000000000001</v>
          </cell>
          <cell r="Y30">
            <v>50.408000000000001</v>
          </cell>
          <cell r="Z30">
            <v>49.137</v>
          </cell>
          <cell r="AB30">
            <v>50.997999999999998</v>
          </cell>
          <cell r="AC30">
            <v>51.402000000000001</v>
          </cell>
          <cell r="AD30">
            <v>51.515999999999998</v>
          </cell>
          <cell r="AE30">
            <v>51.704999999999998</v>
          </cell>
          <cell r="AF30">
            <v>51.402999999999999</v>
          </cell>
          <cell r="AH30">
            <v>52.366999999999997</v>
          </cell>
          <cell r="AI30">
            <v>52.314999999999998</v>
          </cell>
          <cell r="AJ30">
            <v>52.463999999999999</v>
          </cell>
          <cell r="AK30">
            <v>52.619</v>
          </cell>
          <cell r="AL30">
            <v>52.441249999999997</v>
          </cell>
          <cell r="AN30">
            <v>52.865000000000002</v>
          </cell>
          <cell r="AO30">
            <v>53.186</v>
          </cell>
          <cell r="AP30">
            <v>53.182000000000002</v>
          </cell>
          <cell r="AQ30">
            <v>53.305</v>
          </cell>
          <cell r="AR30">
            <v>53.134500000000003</v>
          </cell>
          <cell r="AT30">
            <v>53.634</v>
          </cell>
          <cell r="AU30">
            <v>54.051000000000002</v>
          </cell>
          <cell r="AV30">
            <v>54.856999999999999</v>
          </cell>
          <cell r="AW30">
            <v>55.31</v>
          </cell>
          <cell r="AX30">
            <v>54.463000000000001</v>
          </cell>
          <cell r="AZ30">
            <v>55.023000000000003</v>
          </cell>
          <cell r="BA30">
            <v>55.146999999999998</v>
          </cell>
          <cell r="BB30">
            <v>55.270999999999994</v>
          </cell>
          <cell r="BC30">
            <v>55.394999999999989</v>
          </cell>
          <cell r="BD30">
            <v>55.208999999999996</v>
          </cell>
          <cell r="BF30">
            <v>55.671354999999991</v>
          </cell>
          <cell r="BG30">
            <v>55.947709999999994</v>
          </cell>
          <cell r="BH30">
            <v>56.224064999999996</v>
          </cell>
          <cell r="BI30">
            <v>56.500419999999998</v>
          </cell>
          <cell r="BJ30">
            <v>56.085887499999991</v>
          </cell>
          <cell r="BL30">
            <v>56.782302099999995</v>
          </cell>
          <cell r="BM30">
            <v>57.064184199999993</v>
          </cell>
          <cell r="BN30">
            <v>57.34606629999999</v>
          </cell>
          <cell r="BO30">
            <v>57.627948399999987</v>
          </cell>
          <cell r="BP30">
            <v>57.205125249999988</v>
          </cell>
          <cell r="BR30">
            <v>57.915468141999987</v>
          </cell>
          <cell r="BS30">
            <v>58.202987883999988</v>
          </cell>
          <cell r="BT30">
            <v>58.490507625999989</v>
          </cell>
          <cell r="BU30">
            <v>58.778027367999989</v>
          </cell>
          <cell r="BV30">
            <v>58.346747754999988</v>
          </cell>
          <cell r="BX30">
            <v>59.07129750483999</v>
          </cell>
          <cell r="BY30">
            <v>59.36456764167999</v>
          </cell>
          <cell r="BZ30">
            <v>59.65783777851999</v>
          </cell>
          <cell r="CA30">
            <v>59.951107915359991</v>
          </cell>
          <cell r="CB30">
            <v>59.511202710099987</v>
          </cell>
          <cell r="CD30">
            <v>60.250243454936793</v>
          </cell>
          <cell r="CE30">
            <v>60.549378994513596</v>
          </cell>
          <cell r="CF30">
            <v>60.848514534090398</v>
          </cell>
          <cell r="CG30">
            <v>61.147650073667201</v>
          </cell>
          <cell r="CH30">
            <v>60.698946764301994</v>
          </cell>
          <cell r="CJ30">
            <v>61.452768324035539</v>
          </cell>
          <cell r="CK30">
            <v>61.757886574403877</v>
          </cell>
          <cell r="CL30">
            <v>62.063004824772214</v>
          </cell>
          <cell r="CM30">
            <v>62.368123075140552</v>
          </cell>
          <cell r="CN30">
            <v>61.910445699588045</v>
          </cell>
          <cell r="CP30">
            <v>62.679343690516255</v>
          </cell>
          <cell r="CQ30">
            <v>62.990564305891958</v>
          </cell>
          <cell r="CR30">
            <v>63.301784921267661</v>
          </cell>
          <cell r="CS30">
            <v>63.613005536643364</v>
          </cell>
          <cell r="CT30">
            <v>63.146174613579809</v>
          </cell>
          <cell r="CV30">
            <v>63.930450564326584</v>
          </cell>
          <cell r="CW30">
            <v>64.247895592009797</v>
          </cell>
          <cell r="CX30">
            <v>64.565340619693018</v>
          </cell>
          <cell r="CY30">
            <v>64.882785647376238</v>
          </cell>
          <cell r="CZ30">
            <v>64.406618105851408</v>
          </cell>
          <cell r="DB30">
            <v>65.206579575613119</v>
          </cell>
          <cell r="DC30">
            <v>65.530373503850001</v>
          </cell>
          <cell r="DD30">
            <v>65.854167432086882</v>
          </cell>
          <cell r="DE30">
            <v>66.177961360323764</v>
          </cell>
          <cell r="DF30">
            <v>65.692270467968441</v>
          </cell>
          <cell r="DH30">
            <v>66.508231167125388</v>
          </cell>
          <cell r="DI30">
            <v>66.838500973927012</v>
          </cell>
          <cell r="DJ30">
            <v>67.168770780728636</v>
          </cell>
          <cell r="DK30">
            <v>67.49904058753026</v>
          </cell>
          <cell r="DL30">
            <v>67.003635877327824</v>
          </cell>
        </row>
        <row r="32">
          <cell r="P32">
            <v>6.6554621848739476E-2</v>
          </cell>
          <cell r="Q32">
            <v>1.3319327731092383E-2</v>
          </cell>
          <cell r="R32">
            <v>9.468487394957982E-2</v>
          </cell>
          <cell r="S32">
            <v>0.10575630252100837</v>
          </cell>
          <cell r="T32">
            <v>0.65392857142857119</v>
          </cell>
          <cell r="V32">
            <v>0.18357142857142841</v>
          </cell>
          <cell r="W32">
            <v>0.17278069254984246</v>
          </cell>
          <cell r="X32">
            <v>0.18617542251026328</v>
          </cell>
          <cell r="Y32">
            <v>0.20153460051016203</v>
          </cell>
          <cell r="Z32">
            <v>1.0739984158085625</v>
          </cell>
          <cell r="AB32">
            <v>0.40340258465565187</v>
          </cell>
          <cell r="AC32">
            <v>0.23855016023690717</v>
          </cell>
          <cell r="AD32">
            <v>0.22374833850243692</v>
          </cell>
          <cell r="AE32">
            <v>0.24016363855131745</v>
          </cell>
          <cell r="AF32">
            <v>1.1041089239110637</v>
          </cell>
          <cell r="AH32">
            <v>0.26771011495167268</v>
          </cell>
          <cell r="AI32">
            <v>0.26619188921859527</v>
          </cell>
          <cell r="AJ32">
            <v>0.32364073650593389</v>
          </cell>
          <cell r="AK32">
            <v>0.32922659750058925</v>
          </cell>
          <cell r="AL32">
            <v>1.1872363546554696</v>
          </cell>
          <cell r="AN32">
            <v>0.27751326881049032</v>
          </cell>
          <cell r="AO32">
            <v>0.25832476775982766</v>
          </cell>
          <cell r="AP32">
            <v>0.2867268290793602</v>
          </cell>
          <cell r="AQ32">
            <v>0.33054885694993719</v>
          </cell>
          <cell r="AR32">
            <v>1.1534001667603884</v>
          </cell>
        </row>
        <row r="33">
          <cell r="B33" t="str">
            <v>Diluted E.P.S.</v>
          </cell>
          <cell r="D33" t="e">
            <v>#DIV/0!</v>
          </cell>
          <cell r="E33" t="e">
            <v>#DIV/0!</v>
          </cell>
          <cell r="F33" t="e">
            <v>#DIV/0!</v>
          </cell>
          <cell r="G33" t="e">
            <v>#DIV/0!</v>
          </cell>
          <cell r="H33" t="e">
            <v>#DIV/0!</v>
          </cell>
          <cell r="J33" t="e">
            <v>#DIV/0!</v>
          </cell>
          <cell r="K33">
            <v>-2.2899159663865355E-3</v>
          </cell>
          <cell r="L33">
            <v>9.1340699970589481E-2</v>
          </cell>
          <cell r="M33">
            <v>0.68872502678515157</v>
          </cell>
          <cell r="N33" t="e">
            <v>#DIV/0!</v>
          </cell>
          <cell r="P33">
            <v>6.6554621848739476E-2</v>
          </cell>
          <cell r="Q33">
            <v>1.3319327731092383E-2</v>
          </cell>
          <cell r="R33">
            <v>9.4680895760682324E-2</v>
          </cell>
          <cell r="S33">
            <v>0.10573408947700061</v>
          </cell>
          <cell r="T33">
            <v>0.65388736004033343</v>
          </cell>
          <cell r="V33">
            <v>0.18327879855692575</v>
          </cell>
          <cell r="W33">
            <v>0.16924310323562047</v>
          </cell>
          <cell r="X33">
            <v>0.17728652789077856</v>
          </cell>
          <cell r="Y33">
            <v>0.19435407078241543</v>
          </cell>
          <cell r="Z33">
            <v>1.0485784642937088</v>
          </cell>
          <cell r="AB33">
            <v>0.38683869955684541</v>
          </cell>
          <cell r="AC33">
            <v>0.22880432667989567</v>
          </cell>
          <cell r="AD33">
            <v>0.21566115381629014</v>
          </cell>
          <cell r="AE33">
            <v>0.23162170002901067</v>
          </cell>
          <cell r="AF33">
            <v>1.0617084605956846</v>
          </cell>
          <cell r="AH33">
            <v>0.25705119636412255</v>
          </cell>
          <cell r="AI33">
            <v>0.25721112491637177</v>
          </cell>
          <cell r="AJ33">
            <v>0.31291933516315956</v>
          </cell>
          <cell r="AK33">
            <v>0.31842110264353157</v>
          </cell>
          <cell r="AL33">
            <v>1.1458346244607052</v>
          </cell>
          <cell r="AN33">
            <v>0.26902487468079078</v>
          </cell>
          <cell r="AO33">
            <v>0.25044184559846561</v>
          </cell>
          <cell r="AP33">
            <v>0.27840246700011284</v>
          </cell>
          <cell r="AQ33">
            <v>0.32143326142012935</v>
          </cell>
          <cell r="AR33">
            <v>1.1194609905052271</v>
          </cell>
          <cell r="AT33">
            <v>0.40039900063392647</v>
          </cell>
          <cell r="AU33">
            <v>0.49956522543523724</v>
          </cell>
          <cell r="AV33">
            <v>0.3144721731046175</v>
          </cell>
          <cell r="AW33">
            <v>0.36904718857349489</v>
          </cell>
          <cell r="AX33">
            <v>1.5816242219488468</v>
          </cell>
          <cell r="AZ33">
            <v>0.58057539574359796</v>
          </cell>
          <cell r="BA33">
            <v>0.44954394618020949</v>
          </cell>
          <cell r="BB33">
            <v>0.44859992473527294</v>
          </cell>
          <cell r="BC33">
            <v>0.37045140418472261</v>
          </cell>
          <cell r="BD33">
            <v>1.8484616996296985</v>
          </cell>
          <cell r="BF33">
            <v>0.45937339024170976</v>
          </cell>
          <cell r="BG33">
            <v>0.49377732403160252</v>
          </cell>
          <cell r="BH33">
            <v>0.52086174551334841</v>
          </cell>
          <cell r="BI33">
            <v>0.52937482433770955</v>
          </cell>
          <cell r="BJ33">
            <v>1.9508611962550853</v>
          </cell>
          <cell r="BL33">
            <v>0.52934706884047333</v>
          </cell>
          <cell r="BM33">
            <v>0.58483966170547919</v>
          </cell>
          <cell r="BN33">
            <v>0.58667162194276579</v>
          </cell>
          <cell r="BO33">
            <v>0.59873006030256815</v>
          </cell>
          <cell r="BP33">
            <v>2.3001057603764283</v>
          </cell>
          <cell r="BR33">
            <v>0.64563510658958945</v>
          </cell>
          <cell r="BS33">
            <v>0.71319309313500179</v>
          </cell>
          <cell r="BT33">
            <v>0.71565877149382173</v>
          </cell>
          <cell r="BU33">
            <v>0.73027622271836623</v>
          </cell>
          <cell r="BV33">
            <v>2.8053949078682101</v>
          </cell>
          <cell r="BX33">
            <v>0.75974400654583507</v>
          </cell>
          <cell r="BY33">
            <v>0.83892508158938683</v>
          </cell>
          <cell r="BZ33">
            <v>0.84200913706320235</v>
          </cell>
          <cell r="CA33">
            <v>0.8591205554530017</v>
          </cell>
          <cell r="CB33">
            <v>3.3005409685054623</v>
          </cell>
          <cell r="CD33">
            <v>0.88665942833882527</v>
          </cell>
          <cell r="CE33">
            <v>0.97874407199551916</v>
          </cell>
          <cell r="CF33">
            <v>0.98251731261202058</v>
          </cell>
          <cell r="CG33">
            <v>1.0024281985052717</v>
          </cell>
          <cell r="CH33">
            <v>3.8512141036530325</v>
          </cell>
          <cell r="CJ33">
            <v>1.0141009196877555</v>
          </cell>
          <cell r="CK33">
            <v>1.1189003025338842</v>
          </cell>
          <cell r="CL33">
            <v>1.1233594225746808</v>
          </cell>
          <cell r="CM33">
            <v>1.1460647169410987</v>
          </cell>
          <cell r="CN33">
            <v>4.4034119016202631</v>
          </cell>
          <cell r="CP33">
            <v>1.119105438124167</v>
          </cell>
          <cell r="CQ33">
            <v>1.2337441921223558</v>
          </cell>
          <cell r="CR33">
            <v>1.2387076452997858</v>
          </cell>
          <cell r="CS33">
            <v>1.2636139306162339</v>
          </cell>
          <cell r="CT33">
            <v>4.8562517688068256</v>
          </cell>
          <cell r="CV33">
            <v>1.2339308442813592</v>
          </cell>
          <cell r="CW33">
            <v>1.3592636581287676</v>
          </cell>
          <cell r="CX33">
            <v>1.3647397568933979</v>
          </cell>
          <cell r="CY33">
            <v>1.3920088103983042</v>
          </cell>
          <cell r="CZ33">
            <v>5.3511252584100149</v>
          </cell>
          <cell r="DB33">
            <v>1.359295745298339</v>
          </cell>
          <cell r="DC33">
            <v>1.4962991198108622</v>
          </cell>
          <cell r="DD33">
            <v>1.5023490922881286</v>
          </cell>
          <cell r="DE33">
            <v>1.5322094523553611</v>
          </cell>
          <cell r="DF33">
            <v>5.8914467443299996</v>
          </cell>
          <cell r="DH33">
            <v>1.496184935640213</v>
          </cell>
          <cell r="DI33">
            <v>1.6459213240777211</v>
          </cell>
          <cell r="DJ33">
            <v>1.6526124456435045</v>
          </cell>
          <cell r="DK33">
            <v>1.685313599500049</v>
          </cell>
          <cell r="DL33">
            <v>6.4814471559719218</v>
          </cell>
        </row>
        <row r="34">
          <cell r="C34" t="str">
            <v>FASB 123 E.P.S.</v>
          </cell>
          <cell r="P34">
            <v>6.2878151260504195E-2</v>
          </cell>
          <cell r="Q34">
            <v>9.0126050420167546E-3</v>
          </cell>
          <cell r="R34">
            <v>9.1004579639510946E-2</v>
          </cell>
          <cell r="S34">
            <v>0.10075614366729677</v>
          </cell>
          <cell r="T34">
            <v>0.63724975316681698</v>
          </cell>
          <cell r="V34">
            <v>0.17920966524037232</v>
          </cell>
          <cell r="W34">
            <v>0.16443284134358413</v>
          </cell>
          <cell r="X34">
            <v>0.15851407933641587</v>
          </cell>
          <cell r="Y34">
            <v>0.16100618949373111</v>
          </cell>
          <cell r="Z34">
            <v>0.98640535645236727</v>
          </cell>
          <cell r="AB34">
            <v>0.35011176908898389</v>
          </cell>
          <cell r="AC34">
            <v>0.18281389829189518</v>
          </cell>
          <cell r="AD34">
            <v>0.16948132618992162</v>
          </cell>
          <cell r="AE34">
            <v>0.15905618412145822</v>
          </cell>
          <cell r="AF34">
            <v>0.86000817072933444</v>
          </cell>
          <cell r="AH34">
            <v>0.18943227605171203</v>
          </cell>
          <cell r="AI34">
            <v>0.17675618847366892</v>
          </cell>
          <cell r="AJ34">
            <v>0.23978347057029586</v>
          </cell>
          <cell r="AK34">
            <v>0.24550067466124381</v>
          </cell>
          <cell r="AL34">
            <v>0.85171501442089881</v>
          </cell>
        </row>
        <row r="37">
          <cell r="P37">
            <v>0.56817252277374974</v>
          </cell>
          <cell r="Q37">
            <v>0.57668278919790406</v>
          </cell>
          <cell r="R37">
            <v>0.64019159803514247</v>
          </cell>
          <cell r="S37">
            <v>0.65826760496859205</v>
          </cell>
          <cell r="T37">
            <v>0.61830746362518929</v>
          </cell>
          <cell r="V37">
            <v>0.70382851902796872</v>
          </cell>
          <cell r="W37">
            <v>0.76122594440484681</v>
          </cell>
          <cell r="X37">
            <v>0.77407306945980348</v>
          </cell>
          <cell r="Y37">
            <v>0.79023209118289728</v>
          </cell>
          <cell r="Z37">
            <v>0.75902886373876854</v>
          </cell>
          <cell r="AB37">
            <v>0.7480646919861893</v>
          </cell>
          <cell r="AC37">
            <v>0.74973384030418244</v>
          </cell>
          <cell r="AD37">
            <v>0.72944532038903753</v>
          </cell>
          <cell r="AE37">
            <v>0.69892105398149895</v>
          </cell>
          <cell r="AF37">
            <v>0.73082314881380306</v>
          </cell>
          <cell r="AH37">
            <v>0.73987478809647689</v>
          </cell>
          <cell r="AI37">
            <v>0.68755277824691774</v>
          </cell>
          <cell r="AJ37">
            <v>0.6896041542768454</v>
          </cell>
          <cell r="AK37">
            <v>0.65829049090372949</v>
          </cell>
          <cell r="AL37">
            <v>0.69114669611632618</v>
          </cell>
          <cell r="AN37">
            <v>0.66111450692746543</v>
          </cell>
          <cell r="AO37">
            <v>0.67483582434811673</v>
          </cell>
          <cell r="AP37">
            <v>0.70886546064454303</v>
          </cell>
          <cell r="AQ37">
            <v>0.67630064564424064</v>
          </cell>
          <cell r="AR37">
            <v>0.68064013378132038</v>
          </cell>
        </row>
        <row r="38">
          <cell r="P38">
            <v>0.65621762424888253</v>
          </cell>
          <cell r="Q38">
            <v>0.63837479555823362</v>
          </cell>
          <cell r="R38">
            <v>0.65598055938500366</v>
          </cell>
          <cell r="S38">
            <v>0.67234977131730289</v>
          </cell>
          <cell r="T38">
            <v>0.65673502702494257</v>
          </cell>
          <cell r="V38">
            <v>0.72017414659504408</v>
          </cell>
          <cell r="W38">
            <v>0.78187522197229786</v>
          </cell>
          <cell r="X38">
            <v>0.79288842983110508</v>
          </cell>
          <cell r="Y38">
            <v>0.81646572511195314</v>
          </cell>
          <cell r="Z38">
            <v>0.78059857812356714</v>
          </cell>
          <cell r="AB38">
            <v>0.81873806971210417</v>
          </cell>
          <cell r="AC38">
            <v>0.78498979175173533</v>
          </cell>
          <cell r="AD38">
            <v>0.75944681588356677</v>
          </cell>
          <cell r="AE38">
            <v>0.74298267380928051</v>
          </cell>
          <cell r="AF38">
            <v>0.77787747444448974</v>
          </cell>
          <cell r="AH38">
            <v>0.77483001104201787</v>
          </cell>
          <cell r="AI38">
            <v>0.72082750294948827</v>
          </cell>
          <cell r="AJ38">
            <v>0.7194346475069161</v>
          </cell>
          <cell r="AK38">
            <v>0.69702860000909383</v>
          </cell>
          <cell r="AL38">
            <v>0.72578562907522093</v>
          </cell>
          <cell r="AN38">
            <v>0.69147653496568362</v>
          </cell>
          <cell r="AO38">
            <v>0.7031048320856117</v>
          </cell>
          <cell r="AP38">
            <v>0.73650883147017687</v>
          </cell>
          <cell r="AQ38">
            <v>0.69607617039501868</v>
          </cell>
          <cell r="AR38">
            <v>0.70715743423797228</v>
          </cell>
        </row>
        <row r="39">
          <cell r="P39">
            <v>0.37897759228014088</v>
          </cell>
          <cell r="Q39">
            <v>0.31628934607328341</v>
          </cell>
          <cell r="R39">
            <v>0.23704932588732855</v>
          </cell>
          <cell r="S39">
            <v>0.28841190055698956</v>
          </cell>
          <cell r="T39">
            <v>0.30019216308797736</v>
          </cell>
          <cell r="V39">
            <v>0.24148761046612371</v>
          </cell>
          <cell r="W39">
            <v>0.32236296910145618</v>
          </cell>
          <cell r="X39">
            <v>0.32204816281249404</v>
          </cell>
          <cell r="Y39">
            <v>0.32499138821908374</v>
          </cell>
          <cell r="Z39">
            <v>0.30499876925156016</v>
          </cell>
          <cell r="AB39">
            <v>0.24081531260622857</v>
          </cell>
          <cell r="AC39">
            <v>0.25963250306247448</v>
          </cell>
          <cell r="AD39">
            <v>0.24644415392127522</v>
          </cell>
          <cell r="AE39">
            <v>0.27034404238859128</v>
          </cell>
          <cell r="AF39">
            <v>0.25391257920632393</v>
          </cell>
          <cell r="AH39">
            <v>0.27144476085314118</v>
          </cell>
          <cell r="AI39">
            <v>0.23881252229264416</v>
          </cell>
          <cell r="AJ39">
            <v>0.2295236721689764</v>
          </cell>
          <cell r="AK39">
            <v>0.20744100395580412</v>
          </cell>
          <cell r="AL39">
            <v>0.23481770790776726</v>
          </cell>
          <cell r="AN39">
            <v>0.22405397885364498</v>
          </cell>
          <cell r="AO39">
            <v>0.23854169111262352</v>
          </cell>
          <cell r="AP39">
            <v>0.26215750268359589</v>
          </cell>
          <cell r="AQ39">
            <v>0.22745692353309394</v>
          </cell>
          <cell r="AR39">
            <v>0.23831335761238456</v>
          </cell>
        </row>
        <row r="40">
          <cell r="P40">
            <v>0.25394429150756298</v>
          </cell>
          <cell r="Q40">
            <v>0.3141373274798428</v>
          </cell>
          <cell r="R40">
            <v>0.22882445031193774</v>
          </cell>
          <cell r="S40">
            <v>0.22356563872662227</v>
          </cell>
          <cell r="T40">
            <v>0.25189431672847168</v>
          </cell>
          <cell r="V40">
            <v>0.20102668514988739</v>
          </cell>
          <cell r="W40">
            <v>0.22262341659760868</v>
          </cell>
          <cell r="X40">
            <v>0.22346550372028079</v>
          </cell>
          <cell r="Y40">
            <v>0.23375818119187047</v>
          </cell>
          <cell r="Z40">
            <v>0.22114377555009629</v>
          </cell>
          <cell r="AB40">
            <v>0.18428209084015376</v>
          </cell>
          <cell r="AC40">
            <v>0.22954675377705186</v>
          </cell>
          <cell r="AD40">
            <v>0.24612912879802162</v>
          </cell>
          <cell r="AE40">
            <v>0.21959158650688232</v>
          </cell>
          <cell r="AF40">
            <v>0.21808481055367493</v>
          </cell>
          <cell r="AH40">
            <v>0.212369965711629</v>
          </cell>
          <cell r="AI40">
            <v>0.208028095590858</v>
          </cell>
          <cell r="AJ40">
            <v>0.20161004838011826</v>
          </cell>
          <cell r="AK40">
            <v>0.20567907970717958</v>
          </cell>
          <cell r="AL40">
            <v>0.20672952788717666</v>
          </cell>
          <cell r="AN40">
            <v>0.22630309775551846</v>
          </cell>
          <cell r="AO40">
            <v>0.23283893830231631</v>
          </cell>
          <cell r="AP40">
            <v>0.24151278909646851</v>
          </cell>
          <cell r="AQ40">
            <v>0.22397566412984993</v>
          </cell>
          <cell r="AR40">
            <v>0.23122977528723324</v>
          </cell>
        </row>
        <row r="41">
          <cell r="P41">
            <v>2.329574046117867E-2</v>
          </cell>
          <cell r="Q41">
            <v>7.9481220051073852E-3</v>
          </cell>
          <cell r="R41">
            <v>0.19010678318573732</v>
          </cell>
          <cell r="S41">
            <v>0.16037223203369105</v>
          </cell>
          <cell r="T41">
            <v>0.21894380997062923</v>
          </cell>
          <cell r="V41">
            <v>0.27765985097903295</v>
          </cell>
          <cell r="W41">
            <v>0.23688883627323298</v>
          </cell>
          <cell r="X41">
            <v>0.24737476329833025</v>
          </cell>
          <cell r="Y41">
            <v>0.25771615570099893</v>
          </cell>
          <cell r="Z41">
            <v>0.33082035416596267</v>
          </cell>
          <cell r="AB41">
            <v>0.39364066626572186</v>
          </cell>
          <cell r="AC41">
            <v>0.29581053491220899</v>
          </cell>
          <cell r="AD41">
            <v>0.26687353316426993</v>
          </cell>
          <cell r="AE41">
            <v>0.25304704491380686</v>
          </cell>
          <cell r="AF41">
            <v>0.30588008468449085</v>
          </cell>
          <cell r="AH41">
            <v>0.29101528447724767</v>
          </cell>
          <cell r="AI41">
            <v>0.27398688506598606</v>
          </cell>
          <cell r="AJ41">
            <v>0.28830092695782145</v>
          </cell>
          <cell r="AK41">
            <v>0.28390851634611003</v>
          </cell>
          <cell r="AL41">
            <v>0.28423839328027706</v>
          </cell>
          <cell r="AN41">
            <v>0.24111945835652018</v>
          </cell>
          <cell r="AO41">
            <v>0.23172420267067184</v>
          </cell>
          <cell r="AP41">
            <v>0.23283853969011248</v>
          </cell>
          <cell r="AQ41">
            <v>0.24464358273207476</v>
          </cell>
          <cell r="AR41">
            <v>0.23761430133835448</v>
          </cell>
        </row>
        <row r="42">
          <cell r="P42">
            <v>0.12630613030222299</v>
          </cell>
          <cell r="Q42">
            <v>4.6770537430776016E-3</v>
          </cell>
          <cell r="R42">
            <v>0.1548239362572143</v>
          </cell>
          <cell r="S42">
            <v>0.1698818095367477</v>
          </cell>
          <cell r="T42">
            <v>0.23357134134976892</v>
          </cell>
          <cell r="V42">
            <v>0.28740686189568515</v>
          </cell>
          <cell r="W42">
            <v>0.24588611341304592</v>
          </cell>
          <cell r="X42">
            <v>0.25894684493410614</v>
          </cell>
          <cell r="Y42">
            <v>0.27900447812607648</v>
          </cell>
          <cell r="Z42">
            <v>0.34407865206500271</v>
          </cell>
          <cell r="AB42">
            <v>0.40249195931281545</v>
          </cell>
          <cell r="AC42">
            <v>0.29615353205389949</v>
          </cell>
          <cell r="AD42">
            <v>0.27898624915337</v>
          </cell>
          <cell r="AE42">
            <v>0.26200937103154326</v>
          </cell>
          <cell r="AF42">
            <v>0.31359586514254351</v>
          </cell>
          <cell r="AH42">
            <v>0.30672110187714308</v>
          </cell>
          <cell r="AI42">
            <v>0.28771915383982211</v>
          </cell>
          <cell r="AJ42">
            <v>0.30558141364345559</v>
          </cell>
          <cell r="AK42">
            <v>0.29899286136497966</v>
          </cell>
          <cell r="AL42">
            <v>0.29968787279590792</v>
          </cell>
          <cell r="AN42">
            <v>0.26148905583379717</v>
          </cell>
          <cell r="AO42">
            <v>0.24818708784116769</v>
          </cell>
          <cell r="AP42">
            <v>0.25366758107712495</v>
          </cell>
          <cell r="AQ42">
            <v>0.28426624496205749</v>
          </cell>
          <cell r="AR42">
            <v>0.26210663990709315</v>
          </cell>
        </row>
        <row r="43">
          <cell r="P43">
            <v>0.25755800328099371</v>
          </cell>
          <cell r="Q43">
            <v>-2.8895705521472839</v>
          </cell>
          <cell r="R43">
            <v>0.31980078478720197</v>
          </cell>
          <cell r="S43">
            <v>0.32906837265093969</v>
          </cell>
          <cell r="T43">
            <v>0.14352144842197953</v>
          </cell>
          <cell r="V43">
            <v>0.34147260532067242</v>
          </cell>
          <cell r="W43">
            <v>0.33935162895201432</v>
          </cell>
          <cell r="X43">
            <v>0.34007977544689016</v>
          </cell>
          <cell r="Y43">
            <v>0.39520958083832342</v>
          </cell>
          <cell r="Z43">
            <v>0.27726188806284202</v>
          </cell>
          <cell r="AB43">
            <v>0.3591684261815819</v>
          </cell>
          <cell r="AC43">
            <v>0.35136774762850215</v>
          </cell>
          <cell r="AD43">
            <v>0.37274164408310745</v>
          </cell>
          <cell r="AE43">
            <v>0.33281337047353771</v>
          </cell>
          <cell r="AF43">
            <v>0.35474526773785464</v>
          </cell>
          <cell r="AH43">
            <v>0.36237032826488552</v>
          </cell>
          <cell r="AI43">
            <v>0.35841319792113691</v>
          </cell>
          <cell r="AJ43">
            <v>0.29561934182863514</v>
          </cell>
          <cell r="AK43">
            <v>0.36300041820324691</v>
          </cell>
          <cell r="AL43">
            <v>0.34467904115863651</v>
          </cell>
          <cell r="AN43">
            <v>0.36945244956772322</v>
          </cell>
          <cell r="AO43">
            <v>0.37024254172379573</v>
          </cell>
          <cell r="AP43">
            <v>0.36712972857448167</v>
          </cell>
          <cell r="AQ43">
            <v>0.33807224261155117</v>
          </cell>
          <cell r="AR43">
            <v>0.36031230507818385</v>
          </cell>
        </row>
        <row r="44">
          <cell r="P44">
            <v>9.3774975579433414E-2</v>
          </cell>
          <cell r="Q44">
            <v>1.8191730509884867E-2</v>
          </cell>
          <cell r="R44">
            <v>0.10531111993831344</v>
          </cell>
          <cell r="S44">
            <v>0.11397907892949326</v>
          </cell>
          <cell r="T44">
            <v>0.20004884412938548</v>
          </cell>
          <cell r="V44">
            <v>0.18926529197712685</v>
          </cell>
          <cell r="W44">
            <v>0.16244426028964906</v>
          </cell>
          <cell r="X44">
            <v>0.17088426005623467</v>
          </cell>
          <cell r="Y44">
            <v>0.16873923527385459</v>
          </cell>
          <cell r="Z44">
            <v>0.24867875535134235</v>
          </cell>
          <cell r="AB44">
            <v>0.25792955573569021</v>
          </cell>
          <cell r="AC44">
            <v>0.19209473254389542</v>
          </cell>
          <cell r="AD44">
            <v>0.17499645596736343</v>
          </cell>
          <cell r="AE44">
            <v>0.17480914916288365</v>
          </cell>
          <cell r="AF44">
            <v>0.20234921600106773</v>
          </cell>
          <cell r="AH44">
            <v>0.19557447550415533</v>
          </cell>
          <cell r="AI44">
            <v>0.1845968118089279</v>
          </cell>
          <cell r="AJ44">
            <v>0.21524563726711335</v>
          </cell>
          <cell r="AK44">
            <v>0.1904583276497066</v>
          </cell>
          <cell r="AL44">
            <v>0.19639174415374294</v>
          </cell>
          <cell r="AN44">
            <v>0.16488128362084964</v>
          </cell>
          <cell r="AO44">
            <v>0.15629766961582683</v>
          </cell>
          <cell r="AP44">
            <v>0.16053867088813473</v>
          </cell>
          <cell r="AQ44">
            <v>0.18816371802897017</v>
          </cell>
          <cell r="AR44">
            <v>0.16766639230587091</v>
          </cell>
        </row>
        <row r="47">
          <cell r="P47" t="e">
            <v>#DIV/0!</v>
          </cell>
          <cell r="Q47">
            <v>0.12328369754399526</v>
          </cell>
          <cell r="R47">
            <v>0.23898442475826509</v>
          </cell>
          <cell r="S47">
            <v>-1.6735907759882869</v>
          </cell>
          <cell r="T47" t="e">
            <v>#DIV/0!</v>
          </cell>
          <cell r="V47">
            <v>0.36660450522452104</v>
          </cell>
          <cell r="W47">
            <v>0.45424808470345179</v>
          </cell>
          <cell r="X47">
            <v>0.22160431805967717</v>
          </cell>
          <cell r="Y47">
            <v>0.31458588054159309</v>
          </cell>
          <cell r="Z47">
            <v>0.33158736993643845</v>
          </cell>
          <cell r="AB47">
            <v>0.65668861549124946</v>
          </cell>
          <cell r="AC47">
            <v>0.20802257211633335</v>
          </cell>
          <cell r="AD47">
            <v>0.21434173026529724</v>
          </cell>
          <cell r="AE47">
            <v>0.17996899758870155</v>
          </cell>
          <cell r="AF47">
            <v>0.30173125280538238</v>
          </cell>
          <cell r="AH47">
            <v>-0.1001228983081871</v>
          </cell>
          <cell r="AI47">
            <v>0.19059207839934644</v>
          </cell>
          <cell r="AJ47">
            <v>0.20136405878368802</v>
          </cell>
          <cell r="AK47">
            <v>0.28409406063436915</v>
          </cell>
          <cell r="AL47">
            <v>0.13443477551565208</v>
          </cell>
          <cell r="AN47">
            <v>0.25321090253966405</v>
          </cell>
          <cell r="AO47">
            <v>0.16912228715669331</v>
          </cell>
          <cell r="AP47">
            <v>0.20920140027008949</v>
          </cell>
          <cell r="AQ47">
            <v>3.5090710680671267E-2</v>
          </cell>
          <cell r="AR47">
            <v>0.15949209876946724</v>
          </cell>
        </row>
        <row r="48">
          <cell r="P48" t="e">
            <v>#DIV/0!</v>
          </cell>
          <cell r="Q48">
            <v>0.36855250298620912</v>
          </cell>
          <cell r="R48">
            <v>0.53556528994576569</v>
          </cell>
          <cell r="S48" t="e">
            <v>#DIV/0!</v>
          </cell>
          <cell r="T48">
            <v>1.8414640634143753</v>
          </cell>
          <cell r="V48">
            <v>0.11236438780781821</v>
          </cell>
          <cell r="W48">
            <v>-0.12282789811949535</v>
          </cell>
          <cell r="X48">
            <v>-0.26455206140052989</v>
          </cell>
          <cell r="Y48">
            <v>-0.26363070969525249</v>
          </cell>
          <cell r="Z48">
            <v>-0.14890191159124533</v>
          </cell>
          <cell r="AB48">
            <v>7.3148076476507562E-2</v>
          </cell>
          <cell r="AC48">
            <v>0.19077340569877888</v>
          </cell>
          <cell r="AD48">
            <v>0.41041743627632066</v>
          </cell>
          <cell r="AE48">
            <v>0.65240240240240244</v>
          </cell>
          <cell r="AF48">
            <v>0.31787584143605097</v>
          </cell>
          <cell r="AH48">
            <v>0.11785920369301772</v>
          </cell>
          <cell r="AI48">
            <v>0.54588271042236425</v>
          </cell>
          <cell r="AJ48">
            <v>0.40119172341540077</v>
          </cell>
          <cell r="AK48">
            <v>0.51368696047251228</v>
          </cell>
          <cell r="AL48">
            <v>0.40048073713026655</v>
          </cell>
          <cell r="AN48">
            <v>0.71712479029552201</v>
          </cell>
          <cell r="AO48">
            <v>0.24334152334152326</v>
          </cell>
          <cell r="AP48">
            <v>0.13561381372961345</v>
          </cell>
          <cell r="AQ48">
            <v>3.8344651633962501E-2</v>
          </cell>
          <cell r="AR48">
            <v>0.23825983313468413</v>
          </cell>
        </row>
        <row r="49">
          <cell r="P49" t="e">
            <v>#DIV/0!</v>
          </cell>
          <cell r="Q49">
            <v>1.9755236741989979E-2</v>
          </cell>
          <cell r="R49">
            <v>0.12503005530175515</v>
          </cell>
          <cell r="S49">
            <v>-1.4528886041971694</v>
          </cell>
          <cell r="T49">
            <v>-6.4362930254827893</v>
          </cell>
          <cell r="V49">
            <v>0.49979701384816622</v>
          </cell>
          <cell r="W49">
            <v>0.78114886731391575</v>
          </cell>
          <cell r="X49">
            <v>0.47656194343520708</v>
          </cell>
          <cell r="Y49">
            <v>0.59636302407812769</v>
          </cell>
          <cell r="Z49">
            <v>0.58273148963654542</v>
          </cell>
          <cell r="AB49">
            <v>0.88342506541550159</v>
          </cell>
          <cell r="AC49">
            <v>0.21283468342291889</v>
          </cell>
          <cell r="AD49">
            <v>0.16312450244855614</v>
          </cell>
          <cell r="AE49">
            <v>7.3770145979242363E-2</v>
          </cell>
          <cell r="AF49">
            <v>0.29719352265771337</v>
          </cell>
          <cell r="AH49">
            <v>-0.14838235763789076</v>
          </cell>
          <cell r="AI49">
            <v>9.3277293439586906E-2</v>
          </cell>
          <cell r="AJ49">
            <v>0.13806906564347177</v>
          </cell>
          <cell r="AK49">
            <v>0.2046718139132826</v>
          </cell>
          <cell r="AL49">
            <v>5.846548362956927E-2</v>
          </cell>
          <cell r="AN49">
            <v>0.11839489968123007</v>
          </cell>
          <cell r="AO49">
            <v>0.14037758830694291</v>
          </cell>
          <cell r="AP49">
            <v>0.23789911065753033</v>
          </cell>
          <cell r="AQ49">
            <v>3.3676348277043022E-2</v>
          </cell>
          <cell r="AR49">
            <v>0.12973228559205663</v>
          </cell>
        </row>
        <row r="50">
          <cell r="P50" t="e">
            <v>#DIV/0!</v>
          </cell>
          <cell r="Q50">
            <v>0.30613218802195186</v>
          </cell>
          <cell r="R50">
            <v>0.17043145691406703</v>
          </cell>
          <cell r="S50" t="e">
            <v>#DIV/0!</v>
          </cell>
          <cell r="T50">
            <v>1.3400800047764045</v>
          </cell>
          <cell r="V50">
            <v>8.1827718848350717E-2</v>
          </cell>
          <cell r="W50">
            <v>3.0599196200219225E-2</v>
          </cell>
          <cell r="X50">
            <v>0.19299499642601869</v>
          </cell>
          <cell r="Y50">
            <v>0.3745189386266965</v>
          </cell>
          <cell r="Z50">
            <v>0.16903097412869306</v>
          </cell>
          <cell r="AB50">
            <v>0.51869410623855194</v>
          </cell>
          <cell r="AC50">
            <v>0.24559071169015323</v>
          </cell>
          <cell r="AD50">
            <v>0.3374989300693314</v>
          </cell>
          <cell r="AE50">
            <v>0.10845859121721202</v>
          </cell>
          <cell r="AF50">
            <v>0.28372509221065489</v>
          </cell>
          <cell r="AH50">
            <v>3.7034409365023002E-2</v>
          </cell>
          <cell r="AI50">
            <v>7.8981073004126934E-2</v>
          </cell>
          <cell r="AJ50">
            <v>-1.5934980161269707E-2</v>
          </cell>
          <cell r="AK50">
            <v>0.20273863334219633</v>
          </cell>
          <cell r="AL50">
            <v>7.53668032438497E-2</v>
          </cell>
          <cell r="AN50">
            <v>0.33543134706164035</v>
          </cell>
          <cell r="AO50">
            <v>0.30855974676866249</v>
          </cell>
          <cell r="AP50">
            <v>0.44852702087533336</v>
          </cell>
          <cell r="AQ50">
            <v>0.12716922736818836</v>
          </cell>
          <cell r="AR50">
            <v>0.2969076076645798</v>
          </cell>
        </row>
        <row r="51">
          <cell r="P51" t="e">
            <v>#DIV/0!</v>
          </cell>
          <cell r="Q51">
            <v>-6.8831003811944127</v>
          </cell>
          <cell r="R51">
            <v>1.8593361932716186</v>
          </cell>
          <cell r="S51">
            <v>-1.1786542215714984</v>
          </cell>
          <cell r="T51">
            <v>-1.9583919428346366</v>
          </cell>
          <cell r="V51">
            <v>2.3320814390195679</v>
          </cell>
          <cell r="W51">
            <v>2.4319654427645796</v>
          </cell>
          <cell r="X51">
            <v>0.32588439671509817</v>
          </cell>
          <cell r="Y51">
            <v>0.62241761994194977</v>
          </cell>
          <cell r="Z51">
            <v>1.0120057533683622</v>
          </cell>
          <cell r="AB51">
            <v>1.0192205018686611</v>
          </cell>
          <cell r="AC51">
            <v>0.41862806796727559</v>
          </cell>
          <cell r="AD51">
            <v>0.28461675897802396</v>
          </cell>
          <cell r="AE51">
            <v>0.1884767166535124</v>
          </cell>
          <cell r="AF51">
            <v>0.46969055921100655</v>
          </cell>
          <cell r="AH51">
            <v>-0.25251189846641986</v>
          </cell>
          <cell r="AI51">
            <v>0.13552479815455554</v>
          </cell>
          <cell r="AJ51">
            <v>0.28164116828929053</v>
          </cell>
          <cell r="AK51">
            <v>0.36751228582813122</v>
          </cell>
          <cell r="AL51">
            <v>8.7713551128185019E-2</v>
          </cell>
          <cell r="AN51">
            <v>5.5653814408678226E-2</v>
          </cell>
          <cell r="AO51">
            <v>2.3323045669414677E-2</v>
          </cell>
          <cell r="AP51">
            <v>3.8849701573521411E-2</v>
          </cell>
          <cell r="AQ51">
            <v>-2.8069153069153141E-2</v>
          </cell>
          <cell r="AR51">
            <v>2.0260465625655977E-2</v>
          </cell>
        </row>
        <row r="52">
          <cell r="P52" t="e">
            <v>#DIV/0!</v>
          </cell>
          <cell r="Q52">
            <v>-1.3519695044472653</v>
          </cell>
          <cell r="R52">
            <v>0.83698351772409096</v>
          </cell>
          <cell r="S52">
            <v>-1.1080252562225477</v>
          </cell>
          <cell r="T52">
            <v>-1.9583919428346366</v>
          </cell>
          <cell r="V52">
            <v>15.288437102922501</v>
          </cell>
          <cell r="W52">
            <v>42.342960288809039</v>
          </cell>
          <cell r="X52">
            <v>0.58960176991150504</v>
          </cell>
          <cell r="Y52">
            <v>1.1125229422561063</v>
          </cell>
          <cell r="Z52">
            <v>1.0120057533683622</v>
          </cell>
          <cell r="AB52">
            <v>1.348701146735316</v>
          </cell>
          <cell r="AC52">
            <v>0.5084957521239386</v>
          </cell>
          <cell r="AD52">
            <v>0.31005953761694882</v>
          </cell>
          <cell r="AE52">
            <v>0.15859119160596125</v>
          </cell>
          <cell r="AF52">
            <v>0.2035948236873204</v>
          </cell>
          <cell r="AH52">
            <v>-0.33472831141224912</v>
          </cell>
          <cell r="AI52">
            <v>0.10275523162718736</v>
          </cell>
          <cell r="AJ52">
            <v>0.29782210942572118</v>
          </cell>
          <cell r="AK52">
            <v>0.44070143054914634</v>
          </cell>
          <cell r="AL52">
            <v>5.4171010206307768E-2</v>
          </cell>
          <cell r="AN52">
            <v>3.8342486270594112E-2</v>
          </cell>
          <cell r="AO52">
            <v>-1.121570198277555E-2</v>
          </cell>
          <cell r="AP52">
            <v>-2.3420801309745665E-2</v>
          </cell>
          <cell r="AQ52">
            <v>-0.10806374119154383</v>
          </cell>
          <cell r="AR52">
            <v>-3.0701300493290118E-2</v>
          </cell>
        </row>
        <row r="53">
          <cell r="P53" t="e">
            <v>#DIV/0!</v>
          </cell>
          <cell r="Q53">
            <v>-1.176598049837484</v>
          </cell>
          <cell r="R53">
            <v>0.55905882352941161</v>
          </cell>
          <cell r="S53">
            <v>-1.1144308199121522</v>
          </cell>
          <cell r="T53">
            <v>-2.0134407852541756</v>
          </cell>
          <cell r="V53">
            <v>2.1096789313334883</v>
          </cell>
          <cell r="W53">
            <v>75.453987730062479</v>
          </cell>
          <cell r="X53">
            <v>1.0431632961062487</v>
          </cell>
          <cell r="Y53">
            <v>1.1590030654404906</v>
          </cell>
          <cell r="Z53">
            <v>0.96158820130424005</v>
          </cell>
          <cell r="AB53">
            <v>1.320069334539153</v>
          </cell>
          <cell r="AC53">
            <v>0.45498314877226842</v>
          </cell>
          <cell r="AD53">
            <v>0.3083173289998522</v>
          </cell>
          <cell r="AE53">
            <v>0.1080930921661829</v>
          </cell>
          <cell r="AF53">
            <v>0.18640763080375944</v>
          </cell>
          <cell r="AH53">
            <v>-0.31424394997563743</v>
          </cell>
          <cell r="AI53">
            <v>0.15668431502316293</v>
          </cell>
          <cell r="AJ53">
            <v>0.31588753387533863</v>
          </cell>
          <cell r="AK53">
            <v>0.46534818941504152</v>
          </cell>
          <cell r="AL53">
            <v>8.4122536326983965E-2</v>
          </cell>
          <cell r="AN53">
            <v>6.8400360001894756E-2</v>
          </cell>
          <cell r="AO53">
            <v>8.4871024650743365E-3</v>
          </cell>
          <cell r="AP53">
            <v>3.7756897069549655E-3</v>
          </cell>
          <cell r="AQ53">
            <v>-1.5891723377561284E-2</v>
          </cell>
          <cell r="AR53">
            <v>1.4090343970162067E-2</v>
          </cell>
        </row>
        <row r="54">
          <cell r="P54" t="e">
            <v>#DIV/0!</v>
          </cell>
          <cell r="Q54">
            <v>-6.816513761467915</v>
          </cell>
          <cell r="R54">
            <v>3.6568537258509615E-2</v>
          </cell>
          <cell r="S54">
            <v>-1.0767752562225477</v>
          </cell>
          <cell r="T54">
            <v>-1.8906406478010813</v>
          </cell>
          <cell r="V54">
            <v>1.7582070707070692</v>
          </cell>
          <cell r="W54">
            <v>11.985804416403827</v>
          </cell>
          <cell r="X54">
            <v>0.9822498335921912</v>
          </cell>
          <cell r="Y54">
            <v>0.94616607071910996</v>
          </cell>
          <cell r="Z54">
            <v>0.65528319465415841</v>
          </cell>
          <cell r="AB54">
            <v>1.2577248798352048</v>
          </cell>
          <cell r="AC54">
            <v>0.42851937325397871</v>
          </cell>
          <cell r="AD54">
            <v>0.24356391314081005</v>
          </cell>
          <cell r="AE54">
            <v>0.22241502500765531</v>
          </cell>
          <cell r="AF54">
            <v>5.9215123049452645E-2</v>
          </cell>
          <cell r="AH54">
            <v>-0.31767031630170306</v>
          </cell>
          <cell r="AI54">
            <v>0.14412039792534581</v>
          </cell>
          <cell r="AJ54">
            <v>0.4776777677767774</v>
          </cell>
          <cell r="AK54">
            <v>0.39904809619238435</v>
          </cell>
          <cell r="AL54">
            <v>0.101035272560696</v>
          </cell>
          <cell r="AN54">
            <v>5.6533689919025631E-2</v>
          </cell>
          <cell r="AO54">
            <v>-1.0107015457788027E-2</v>
          </cell>
          <cell r="AP54">
            <v>-9.8129987208381508E-2</v>
          </cell>
          <cell r="AQ54">
            <v>2.262011339898562E-2</v>
          </cell>
          <cell r="AR54">
            <v>-1.010168250428467E-2</v>
          </cell>
        </row>
        <row r="55">
          <cell r="P55" t="e">
            <v>#DIV/0!</v>
          </cell>
          <cell r="Q55">
            <v>-6.816513761467915</v>
          </cell>
          <cell r="R55">
            <v>3.6568537258509615E-2</v>
          </cell>
          <cell r="S55">
            <v>-0.84647851411680375</v>
          </cell>
          <cell r="T55" t="e">
            <v>#DIV/0!</v>
          </cell>
          <cell r="V55">
            <v>1.7538102308426984</v>
          </cell>
          <cell r="W55">
            <v>11.706579990560831</v>
          </cell>
          <cell r="X55">
            <v>0.87246356792918589</v>
          </cell>
          <cell r="Y55">
            <v>0.83814010924727866</v>
          </cell>
          <cell r="Z55">
            <v>0.60360717819813781</v>
          </cell>
          <cell r="AB55">
            <v>1.1106571114754153</v>
          </cell>
          <cell r="AC55">
            <v>0.35192703457672936</v>
          </cell>
          <cell r="AD55">
            <v>0.21645539783571799</v>
          </cell>
          <cell r="AE55">
            <v>0.19175121517427507</v>
          </cell>
          <cell r="AF55">
            <v>1.2521710820009746E-2</v>
          </cell>
          <cell r="AH55">
            <v>-0.33550806406237221</v>
          </cell>
          <cell r="AI55">
            <v>0.1241532389211244</v>
          </cell>
          <cell r="AJ55">
            <v>0.45097682000587969</v>
          </cell>
          <cell r="AK55">
            <v>0.37474641885302318</v>
          </cell>
          <cell r="AL55">
            <v>7.9236595531903875E-2</v>
          </cell>
          <cell r="AN55">
            <v>4.6580908729586534E-2</v>
          </cell>
          <cell r="AO55">
            <v>-2.6317988073443876E-2</v>
          </cell>
          <cell r="AP55">
            <v>-0.11030596158287642</v>
          </cell>
          <cell r="AQ55">
            <v>9.4596707052103657E-3</v>
          </cell>
          <cell r="AR55">
            <v>-2.3016963698309412E-2</v>
          </cell>
        </row>
        <row r="57">
          <cell r="P57">
            <v>5.0589999999999993</v>
          </cell>
          <cell r="Q57">
            <v>4.6299999999999972</v>
          </cell>
          <cell r="R57">
            <v>12.664</v>
          </cell>
          <cell r="S57">
            <v>11.713999999999997</v>
          </cell>
          <cell r="T57">
            <v>34.066999999999993</v>
          </cell>
          <cell r="V57">
            <v>16.856999999999992</v>
          </cell>
          <cell r="W57">
            <v>15.889999999999993</v>
          </cell>
          <cell r="X57">
            <v>16.791000000000004</v>
          </cell>
          <cell r="Y57">
            <v>19.004999999999995</v>
          </cell>
          <cell r="Z57">
            <v>68.542999999999978</v>
          </cell>
          <cell r="AB57">
            <v>34.038000000000004</v>
          </cell>
          <cell r="AC57">
            <v>22.541999999999998</v>
          </cell>
          <cell r="AD57">
            <v>21.570000000000004</v>
          </cell>
          <cell r="AE57">
            <v>22.586999999999996</v>
          </cell>
          <cell r="AF57">
            <v>100.73699999999999</v>
          </cell>
          <cell r="AH57">
            <v>25.443000000000005</v>
          </cell>
          <cell r="AI57">
            <v>25.596999999999987</v>
          </cell>
          <cell r="AJ57">
            <v>27.645</v>
          </cell>
          <cell r="AK57">
            <v>30.887999999999995</v>
          </cell>
          <cell r="AL57">
            <v>109.57299999999998</v>
          </cell>
          <cell r="AN57">
            <v>26.859000000000005</v>
          </cell>
          <cell r="AO57">
            <v>26.193999999999996</v>
          </cell>
          <cell r="AP57">
            <v>28.719000000000001</v>
          </cell>
          <cell r="AQ57">
            <v>30.020999999999994</v>
          </cell>
          <cell r="AR57">
            <v>111.79299999999998</v>
          </cell>
        </row>
        <row r="63">
          <cell r="AJ63">
            <v>5.6559999999999988</v>
          </cell>
          <cell r="AK63">
            <v>5.9120000000000026</v>
          </cell>
          <cell r="AL63">
            <v>11.568000000000001</v>
          </cell>
          <cell r="AN63">
            <v>6.0609999999999999</v>
          </cell>
          <cell r="AO63">
            <v>6.4459999999999997</v>
          </cell>
          <cell r="AP63">
            <v>7.2449999999999992</v>
          </cell>
          <cell r="AQ63">
            <v>7.743999999999998</v>
          </cell>
          <cell r="AR63">
            <v>27.495999999999995</v>
          </cell>
        </row>
        <row r="67">
          <cell r="P67">
            <v>3.1679999999999993</v>
          </cell>
          <cell r="Q67">
            <v>0.63399999999999745</v>
          </cell>
          <cell r="R67">
            <v>4.5069999999999997</v>
          </cell>
          <cell r="S67">
            <v>5.0339999999999989</v>
          </cell>
          <cell r="T67">
            <v>31.126999999999988</v>
          </cell>
          <cell r="V67">
            <v>8.7379999999999924</v>
          </cell>
          <cell r="W67">
            <v>8.2329999999999934</v>
          </cell>
          <cell r="X67">
            <v>8.9340000000000046</v>
          </cell>
          <cell r="Y67">
            <v>9.796999999999997</v>
          </cell>
          <cell r="Z67">
            <v>51.523999999999972</v>
          </cell>
          <cell r="AB67">
            <v>19.728000000000002</v>
          </cell>
          <cell r="AC67">
            <v>11.760999999999997</v>
          </cell>
          <cell r="AD67">
            <v>11.110000000000003</v>
          </cell>
          <cell r="AE67">
            <v>11.975999999999996</v>
          </cell>
          <cell r="AF67">
            <v>54.574999999999974</v>
          </cell>
          <cell r="AH67">
            <v>13.461000000000004</v>
          </cell>
          <cell r="AI67">
            <v>13.455999999999989</v>
          </cell>
          <cell r="AJ67">
            <v>16.417000000000002</v>
          </cell>
          <cell r="AK67">
            <v>16.754999999999988</v>
          </cell>
          <cell r="AL67">
            <v>60.088999999999956</v>
          </cell>
          <cell r="AN67">
            <v>14.222000000000007</v>
          </cell>
          <cell r="AO67">
            <v>13.319999999999993</v>
          </cell>
          <cell r="AP67">
            <v>14.806000000000003</v>
          </cell>
          <cell r="AQ67">
            <v>17.133999999999993</v>
          </cell>
          <cell r="AR67">
            <v>59.481999999999992</v>
          </cell>
        </row>
        <row r="68">
          <cell r="T68">
            <v>0</v>
          </cell>
          <cell r="V68">
            <v>0</v>
          </cell>
          <cell r="W68">
            <v>0</v>
          </cell>
          <cell r="X68">
            <v>0</v>
          </cell>
          <cell r="Y68">
            <v>3.6999999999999998E-2</v>
          </cell>
          <cell r="Z68">
            <v>3.6999999999999998E-2</v>
          </cell>
          <cell r="AB68">
            <v>2.1999999999999999E-2</v>
          </cell>
          <cell r="AC68">
            <v>3.3000000000000002E-2</v>
          </cell>
          <cell r="AD68">
            <v>0.49099999999999999</v>
          </cell>
          <cell r="AE68">
            <v>4.3999999999999928E-2</v>
          </cell>
          <cell r="AF68">
            <v>0.59</v>
          </cell>
          <cell r="AH68">
            <v>5.3999999999999999E-2</v>
          </cell>
          <cell r="AI68">
            <v>6.5000000000000002E-2</v>
          </cell>
          <cell r="AJ68">
            <v>8.6999999999999994E-2</v>
          </cell>
          <cell r="AK68">
            <v>8.6999999999999994E-2</v>
          </cell>
          <cell r="AL68">
            <v>0.29299999999999998</v>
          </cell>
          <cell r="AN68">
            <v>8.6999999999999994E-2</v>
          </cell>
          <cell r="AO68">
            <v>8.6999999999999994E-2</v>
          </cell>
          <cell r="AP68">
            <v>8.6999999999999994E-2</v>
          </cell>
          <cell r="AQ68">
            <v>8.6999999999999994E-2</v>
          </cell>
          <cell r="AR68">
            <v>8.6999999999999994E-2</v>
          </cell>
        </row>
        <row r="69">
          <cell r="P69">
            <v>-0.17499999999999999</v>
          </cell>
          <cell r="Q69">
            <v>-0.20499999999999999</v>
          </cell>
          <cell r="R69">
            <v>-0.17499999999999999</v>
          </cell>
          <cell r="S69">
            <v>-0.2370000000000001</v>
          </cell>
          <cell r="T69">
            <v>-0.79200000000000004</v>
          </cell>
          <cell r="V69">
            <v>-0.19400000000000001</v>
          </cell>
          <cell r="W69">
            <v>-0.23400000000000001</v>
          </cell>
          <cell r="X69">
            <v>-0.94599999999999995</v>
          </cell>
          <cell r="Y69">
            <v>-1.718</v>
          </cell>
          <cell r="Z69">
            <v>-3.0920000000000001</v>
          </cell>
          <cell r="AB69">
            <v>-1.895</v>
          </cell>
          <cell r="AC69">
            <v>-2.3969999999999998</v>
          </cell>
          <cell r="AD69">
            <v>-2.87</v>
          </cell>
          <cell r="AE69">
            <v>-3.7960000000000003</v>
          </cell>
          <cell r="AF69">
            <v>-10.958</v>
          </cell>
          <cell r="AH69">
            <v>-3.5950000000000002</v>
          </cell>
          <cell r="AI69">
            <v>-4.274</v>
          </cell>
          <cell r="AJ69">
            <v>-3.9239999999999999</v>
          </cell>
          <cell r="AK69">
            <v>-3.9239999999999999</v>
          </cell>
          <cell r="AL69">
            <v>-15.716999999999999</v>
          </cell>
          <cell r="AN69">
            <v>-4</v>
          </cell>
          <cell r="AO69">
            <v>-4</v>
          </cell>
          <cell r="AP69">
            <v>-4</v>
          </cell>
          <cell r="AQ69">
            <v>-4</v>
          </cell>
          <cell r="AR69">
            <v>-16</v>
          </cell>
        </row>
        <row r="71">
          <cell r="P71">
            <v>2.9929999999999994</v>
          </cell>
          <cell r="Q71">
            <v>0.42899999999999749</v>
          </cell>
          <cell r="R71">
            <v>4.3319999999999999</v>
          </cell>
          <cell r="S71">
            <v>4.7969999999999988</v>
          </cell>
          <cell r="T71">
            <v>30.334999999999987</v>
          </cell>
          <cell r="V71">
            <v>8.5439999999999916</v>
          </cell>
          <cell r="W71">
            <v>7.9989999999999934</v>
          </cell>
          <cell r="X71">
            <v>7.9880000000000049</v>
          </cell>
          <cell r="Y71">
            <v>8.1159999999999979</v>
          </cell>
          <cell r="Z71">
            <v>48.468999999999973</v>
          </cell>
          <cell r="AB71">
            <v>17.855</v>
          </cell>
          <cell r="AC71">
            <v>9.3969999999999967</v>
          </cell>
          <cell r="AD71">
            <v>8.7310000000000016</v>
          </cell>
          <cell r="AE71">
            <v>8.2239999999999966</v>
          </cell>
          <cell r="AF71">
            <v>44.206999999999979</v>
          </cell>
          <cell r="AH71">
            <v>9.9200000000000035</v>
          </cell>
          <cell r="AI71">
            <v>9.2469999999999892</v>
          </cell>
          <cell r="AJ71">
            <v>12.580000000000002</v>
          </cell>
          <cell r="AK71">
            <v>12.917999999999989</v>
          </cell>
          <cell r="AL71">
            <v>44.664999999999957</v>
          </cell>
          <cell r="AN71">
            <v>10.309000000000006</v>
          </cell>
          <cell r="AO71">
            <v>9.4069999999999929</v>
          </cell>
          <cell r="AP71">
            <v>10.893000000000002</v>
          </cell>
          <cell r="AQ71">
            <v>13.220999999999993</v>
          </cell>
          <cell r="AR71">
            <v>43.568999999999996</v>
          </cell>
        </row>
        <row r="79">
          <cell r="P79">
            <v>0</v>
          </cell>
          <cell r="Q79">
            <v>0</v>
          </cell>
          <cell r="R79">
            <v>0</v>
          </cell>
          <cell r="S79">
            <v>0</v>
          </cell>
        </row>
        <row r="82">
          <cell r="T82">
            <v>41.6</v>
          </cell>
        </row>
        <row r="85">
          <cell r="T85">
            <v>-2.7320000000000002</v>
          </cell>
        </row>
      </sheetData>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S"/>
      <sheetName val="Revenue"/>
      <sheetName val="BS"/>
      <sheetName val="CF"/>
      <sheetName val="ROIC"/>
      <sheetName val="Valuation"/>
      <sheetName val="Other"/>
      <sheetName val="Short Cash Flow"/>
      <sheetName val="EPS Quality"/>
      <sheetName val="Shr Repo"/>
      <sheetName val="ROIC terminal"/>
      <sheetName val="ROIC Calc"/>
      <sheetName val="ROIC His Data"/>
      <sheetName val="ESO"/>
      <sheetName val="Pension"/>
      <sheetName val="QtrComp"/>
      <sheetName val="Std Graphs"/>
      <sheetName val="Graphs"/>
      <sheetName val="Rev"/>
      <sheetName val="Deals"/>
      <sheetName val="Peer Comp"/>
      <sheetName val="XRAY_Model"/>
    </sheetNames>
    <sheetDataSet>
      <sheetData sheetId="0"/>
      <sheetData sheetId="1">
        <row r="5">
          <cell r="P5" t="str">
            <v>Historical results</v>
          </cell>
          <cell r="V5" t="str">
            <v>Historical results</v>
          </cell>
        </row>
        <row r="6">
          <cell r="P6">
            <v>2002</v>
          </cell>
          <cell r="V6">
            <v>2003</v>
          </cell>
        </row>
        <row r="7">
          <cell r="P7">
            <v>37346</v>
          </cell>
          <cell r="Q7">
            <v>37437</v>
          </cell>
          <cell r="R7">
            <v>37529</v>
          </cell>
          <cell r="S7">
            <v>37621</v>
          </cell>
          <cell r="T7" t="str">
            <v xml:space="preserve">Total </v>
          </cell>
          <cell r="V7">
            <v>37711</v>
          </cell>
          <cell r="W7">
            <v>37802</v>
          </cell>
          <cell r="X7">
            <v>37894</v>
          </cell>
          <cell r="Y7">
            <v>37986</v>
          </cell>
          <cell r="Z7" t="str">
            <v xml:space="preserve">Total </v>
          </cell>
          <cell r="BD7" t="str">
            <v xml:space="preserve">Total </v>
          </cell>
        </row>
        <row r="9">
          <cell r="B9" t="str">
            <v>Total sales</v>
          </cell>
          <cell r="D9">
            <v>213.95599999999999</v>
          </cell>
          <cell r="E9">
            <v>224.78800000000001</v>
          </cell>
          <cell r="F9">
            <v>216.69900000000001</v>
          </cell>
          <cell r="G9">
            <v>234.35300000000001</v>
          </cell>
          <cell r="H9">
            <v>889.79600000000005</v>
          </cell>
          <cell r="J9">
            <v>245.66900000000001</v>
          </cell>
          <cell r="K9">
            <v>254.63499999999999</v>
          </cell>
          <cell r="L9">
            <v>253.501</v>
          </cell>
          <cell r="M9">
            <v>379.06900000000002</v>
          </cell>
          <cell r="N9">
            <v>1132.874</v>
          </cell>
          <cell r="P9">
            <v>331.65</v>
          </cell>
          <cell r="Q9">
            <v>361.601</v>
          </cell>
          <cell r="R9">
            <v>340.30099999999999</v>
          </cell>
          <cell r="S9">
            <v>384.048</v>
          </cell>
          <cell r="T9">
            <v>1417.6</v>
          </cell>
          <cell r="V9">
            <v>371.23599999999999</v>
          </cell>
          <cell r="W9">
            <v>394.47800000000001</v>
          </cell>
          <cell r="X9">
            <v>375.50299999999999</v>
          </cell>
          <cell r="Y9">
            <v>429.70800000000003</v>
          </cell>
          <cell r="Z9">
            <v>1570.925</v>
          </cell>
          <cell r="AB9">
            <v>415.38099999999997</v>
          </cell>
          <cell r="AC9">
            <v>425.32499999999999</v>
          </cell>
          <cell r="AD9">
            <v>390.59199999999998</v>
          </cell>
          <cell r="AE9">
            <v>465.5</v>
          </cell>
          <cell r="AF9">
            <v>1696.7979999999998</v>
          </cell>
          <cell r="AH9">
            <v>406.97500000000002</v>
          </cell>
          <cell r="AI9">
            <v>444.834</v>
          </cell>
          <cell r="AJ9">
            <v>415.964</v>
          </cell>
          <cell r="AK9">
            <v>447.36200000000002</v>
          </cell>
          <cell r="AL9">
            <v>1715.135</v>
          </cell>
          <cell r="AN9">
            <v>430.99599999999998</v>
          </cell>
          <cell r="AO9">
            <v>472.44400000000002</v>
          </cell>
          <cell r="AP9">
            <v>435.72500000000002</v>
          </cell>
          <cell r="AQ9">
            <v>471.33199999999999</v>
          </cell>
          <cell r="AR9">
            <v>1810.4969999999998</v>
          </cell>
          <cell r="AT9">
            <v>472.86399999999998</v>
          </cell>
          <cell r="AU9">
            <v>507.36200000000002</v>
          </cell>
          <cell r="AV9">
            <v>488.10300000000001</v>
          </cell>
          <cell r="AW9">
            <v>541.50400000000002</v>
          </cell>
          <cell r="AX9">
            <v>2009.8330000000001</v>
          </cell>
          <cell r="AZ9">
            <v>560.78200000000004</v>
          </cell>
          <cell r="BA9">
            <v>594.84699999999998</v>
          </cell>
          <cell r="BB9">
            <v>531.75032357999999</v>
          </cell>
          <cell r="BC9">
            <v>579.12572287629393</v>
          </cell>
          <cell r="BD9">
            <v>2266.5050464562937</v>
          </cell>
          <cell r="BF9">
            <v>598.07035604856696</v>
          </cell>
          <cell r="BG9">
            <v>635.05530135683875</v>
          </cell>
          <cell r="BH9">
            <v>567.8150592407469</v>
          </cell>
          <cell r="BI9">
            <v>618.16022138707785</v>
          </cell>
          <cell r="BJ9">
            <v>2419.1009380332307</v>
          </cell>
          <cell r="BL9">
            <v>636.87206598178977</v>
          </cell>
          <cell r="BM9">
            <v>676.90116129196269</v>
          </cell>
          <cell r="BN9">
            <v>605.34963828234197</v>
          </cell>
          <cell r="BO9">
            <v>658.78352185483311</v>
          </cell>
          <cell r="BP9">
            <v>2577.9063874109274</v>
          </cell>
          <cell r="BR9">
            <v>677.14531435977528</v>
          </cell>
          <cell r="BS9">
            <v>720.33840174465774</v>
          </cell>
          <cell r="BT9">
            <v>644.3124429378629</v>
          </cell>
          <cell r="BU9">
            <v>700.95097596254891</v>
          </cell>
          <cell r="BV9">
            <v>2742.7471350048445</v>
          </cell>
          <cell r="BX9">
            <v>718.83676469341844</v>
          </cell>
          <cell r="BY9">
            <v>765.30824056262725</v>
          </cell>
          <cell r="BZ9">
            <v>684.65051724471039</v>
          </cell>
          <cell r="CA9">
            <v>744.60572944750709</v>
          </cell>
          <cell r="CB9">
            <v>2913.4012519482635</v>
          </cell>
          <cell r="CD9">
            <v>762.85048235596196</v>
          </cell>
          <cell r="CE9">
            <v>812.79807571615856</v>
          </cell>
          <cell r="CF9">
            <v>727.25179210604301</v>
          </cell>
          <cell r="CG9">
            <v>790.70426199545773</v>
          </cell>
          <cell r="CH9">
            <v>3093.6046121736213</v>
          </cell>
          <cell r="CJ9">
            <v>809.29389911670842</v>
          </cell>
          <cell r="CK9">
            <v>862.92477320406635</v>
          </cell>
          <cell r="CL9">
            <v>772.22127650792822</v>
          </cell>
          <cell r="CM9">
            <v>839.35985738705529</v>
          </cell>
          <cell r="CN9">
            <v>3283.7998062157581</v>
          </cell>
          <cell r="CP9">
            <v>858.27784192477998</v>
          </cell>
          <cell r="CQ9">
            <v>915.80889320485892</v>
          </cell>
          <cell r="CR9">
            <v>819.66729896478455</v>
          </cell>
          <cell r="CS9">
            <v>890.68938020688643</v>
          </cell>
          <cell r="CT9">
            <v>3484.4434143013095</v>
          </cell>
          <cell r="CV9">
            <v>909.91653466357207</v>
          </cell>
          <cell r="CW9">
            <v>971.57469151743044</v>
          </cell>
          <cell r="CX9">
            <v>869.70150872932413</v>
          </cell>
          <cell r="CY9">
            <v>944.81327731742044</v>
          </cell>
          <cell r="CZ9">
            <v>3696.0060122277473</v>
          </cell>
          <cell r="DB9">
            <v>964.32759161402623</v>
          </cell>
          <cell r="DC9">
            <v>1030.350111927323</v>
          </cell>
          <cell r="DD9">
            <v>922.43886883876644</v>
          </cell>
          <cell r="DE9">
            <v>1001.8555705458103</v>
          </cell>
          <cell r="DF9">
            <v>3918.9721429259262</v>
          </cell>
          <cell r="DH9">
            <v>1021.6320021089086</v>
          </cell>
          <cell r="DI9">
            <v>1092.2667689322893</v>
          </cell>
          <cell r="DJ9">
            <v>977.99764048797226</v>
          </cell>
          <cell r="DK9">
            <v>1061.9438400351235</v>
          </cell>
          <cell r="DL9">
            <v>4153.8402515642938</v>
          </cell>
        </row>
        <row r="10">
          <cell r="P10">
            <v>49.3</v>
          </cell>
          <cell r="Q10">
            <v>45.795000000000002</v>
          </cell>
          <cell r="R10">
            <v>41.966999999999985</v>
          </cell>
          <cell r="S10">
            <v>50.026999999999987</v>
          </cell>
          <cell r="T10">
            <v>187.08799999999999</v>
          </cell>
          <cell r="V10">
            <v>54.34899999999999</v>
          </cell>
          <cell r="W10">
            <v>46.281000000000006</v>
          </cell>
          <cell r="X10">
            <v>46.730999999999995</v>
          </cell>
          <cell r="Y10">
            <v>57.674000000000035</v>
          </cell>
          <cell r="Z10">
            <v>205.03500000000003</v>
          </cell>
          <cell r="BD10">
            <v>215.04346000000004</v>
          </cell>
        </row>
        <row r="11">
          <cell r="P11">
            <v>282.34999999999997</v>
          </cell>
          <cell r="Q11">
            <v>315.80599999999998</v>
          </cell>
          <cell r="R11">
            <v>298.334</v>
          </cell>
          <cell r="S11">
            <v>334.02100000000002</v>
          </cell>
          <cell r="T11">
            <v>1230.5119999999999</v>
          </cell>
          <cell r="V11">
            <v>316.887</v>
          </cell>
          <cell r="W11">
            <v>348.197</v>
          </cell>
          <cell r="X11">
            <v>328.77199999999999</v>
          </cell>
          <cell r="Y11">
            <v>372.03399999999999</v>
          </cell>
          <cell r="Z11">
            <v>1365.8899999999999</v>
          </cell>
          <cell r="BD11">
            <v>2051.4615864562938</v>
          </cell>
        </row>
        <row r="12">
          <cell r="P12">
            <v>111.40199999999996</v>
          </cell>
          <cell r="Q12">
            <v>128.09424999999999</v>
          </cell>
          <cell r="R12">
            <v>119.82599999999999</v>
          </cell>
          <cell r="S12">
            <v>133.88350000000003</v>
          </cell>
          <cell r="T12">
            <v>493.20675</v>
          </cell>
          <cell r="V12">
            <v>125.05000000000001</v>
          </cell>
          <cell r="W12">
            <v>140.52200000000002</v>
          </cell>
          <cell r="X12">
            <v>135.971</v>
          </cell>
          <cell r="Y12">
            <v>154.99600000000001</v>
          </cell>
          <cell r="Z12">
            <v>556.53899999999999</v>
          </cell>
          <cell r="BD12">
            <v>1036.5535945825175</v>
          </cell>
        </row>
        <row r="13">
          <cell r="P13">
            <v>170.94800000000001</v>
          </cell>
          <cell r="Q13">
            <v>187.71174999999999</v>
          </cell>
          <cell r="R13">
            <v>178.50800000000001</v>
          </cell>
          <cell r="S13">
            <v>200.13749999999999</v>
          </cell>
          <cell r="T13">
            <v>737.30524999999989</v>
          </cell>
          <cell r="V13">
            <v>191.83699999999999</v>
          </cell>
          <cell r="W13">
            <v>207.67499999999998</v>
          </cell>
          <cell r="X13">
            <v>192.80099999999999</v>
          </cell>
          <cell r="Y13">
            <v>217.03799999999998</v>
          </cell>
          <cell r="Z13">
            <v>809.35099999999989</v>
          </cell>
          <cell r="BD13">
            <v>1229.9514518737763</v>
          </cell>
        </row>
        <row r="14">
          <cell r="P14">
            <v>104.861</v>
          </cell>
          <cell r="Q14">
            <v>112.68975</v>
          </cell>
          <cell r="R14">
            <v>109.27700000000002</v>
          </cell>
          <cell r="S14">
            <v>117.16649999999998</v>
          </cell>
          <cell r="T14">
            <v>446.72624999999999</v>
          </cell>
          <cell r="V14">
            <v>119.21299999999999</v>
          </cell>
          <cell r="W14">
            <v>125.03499999999998</v>
          </cell>
          <cell r="X14">
            <v>117.01999999999998</v>
          </cell>
          <cell r="Y14">
            <v>131.89999999999998</v>
          </cell>
          <cell r="Z14">
            <v>493.16799999999995</v>
          </cell>
          <cell r="BD14">
            <v>752.87993558451979</v>
          </cell>
        </row>
        <row r="15">
          <cell r="P15">
            <v>66.087000000000003</v>
          </cell>
          <cell r="Q15">
            <v>75.021999999999991</v>
          </cell>
          <cell r="R15">
            <v>69.230999999999995</v>
          </cell>
          <cell r="S15">
            <v>82.971000000000004</v>
          </cell>
          <cell r="T15">
            <v>290.57899999999989</v>
          </cell>
          <cell r="V15">
            <v>72.623999999999995</v>
          </cell>
          <cell r="W15">
            <v>82.64</v>
          </cell>
          <cell r="X15">
            <v>75.781000000000006</v>
          </cell>
          <cell r="Y15">
            <v>85.137999999999991</v>
          </cell>
          <cell r="Z15">
            <v>316.18299999999999</v>
          </cell>
          <cell r="BD15">
            <v>477.07151628925646</v>
          </cell>
        </row>
        <row r="16">
          <cell r="P16">
            <v>10.372</v>
          </cell>
          <cell r="Q16">
            <v>12.076999999999998</v>
          </cell>
          <cell r="R16">
            <v>9.6920000000000002</v>
          </cell>
          <cell r="S16">
            <v>11.717999999999996</v>
          </cell>
          <cell r="T16">
            <v>43.858999999999995</v>
          </cell>
          <cell r="V16">
            <v>12.100000000000001</v>
          </cell>
          <cell r="W16">
            <v>12.8</v>
          </cell>
          <cell r="X16">
            <v>12</v>
          </cell>
          <cell r="Y16">
            <v>11.3</v>
          </cell>
          <cell r="Z16">
            <v>48.2</v>
          </cell>
          <cell r="BD16">
            <v>57.678361719547198</v>
          </cell>
        </row>
        <row r="17">
          <cell r="P17">
            <v>55.715000000000003</v>
          </cell>
          <cell r="Q17">
            <v>62.945</v>
          </cell>
          <cell r="R17">
            <v>59.539000000000001</v>
          </cell>
          <cell r="S17">
            <v>71.253</v>
          </cell>
          <cell r="T17">
            <v>249.452</v>
          </cell>
          <cell r="V17">
            <v>60.524000000000001</v>
          </cell>
          <cell r="W17">
            <v>69.84</v>
          </cell>
          <cell r="X17">
            <v>63.780999999999999</v>
          </cell>
          <cell r="Y17">
            <v>73.837999999999994</v>
          </cell>
          <cell r="Z17">
            <v>267.983</v>
          </cell>
          <cell r="BD17">
            <v>419.39315456970928</v>
          </cell>
        </row>
        <row r="18">
          <cell r="P18">
            <v>7.3709999999999996</v>
          </cell>
          <cell r="Q18">
            <v>9.0170000000000012</v>
          </cell>
          <cell r="R18">
            <v>9.9359999999999999</v>
          </cell>
          <cell r="S18">
            <v>10.725</v>
          </cell>
          <cell r="T18">
            <v>35.362000000000002</v>
          </cell>
          <cell r="V18">
            <v>5.29</v>
          </cell>
          <cell r="W18">
            <v>5.5419999999999998</v>
          </cell>
          <cell r="X18">
            <v>4.202</v>
          </cell>
          <cell r="Y18">
            <v>5.7949999999999999</v>
          </cell>
          <cell r="Z18">
            <v>22.576000000000001</v>
          </cell>
          <cell r="BD18">
            <v>16.215368731512257</v>
          </cell>
        </row>
        <row r="19">
          <cell r="P19">
            <v>48.344000000000001</v>
          </cell>
          <cell r="Q19">
            <v>53.927999999999997</v>
          </cell>
          <cell r="R19">
            <v>49.603000000000002</v>
          </cell>
          <cell r="S19">
            <v>60.527999999999999</v>
          </cell>
          <cell r="T19">
            <v>214.09</v>
          </cell>
          <cell r="V19">
            <v>55.234000000000002</v>
          </cell>
          <cell r="W19">
            <v>64.298000000000002</v>
          </cell>
          <cell r="X19">
            <v>59.579000000000001</v>
          </cell>
          <cell r="Y19">
            <v>68.042999999999992</v>
          </cell>
          <cell r="Z19">
            <v>247.154</v>
          </cell>
          <cell r="BD19">
            <v>403.177785838197</v>
          </cell>
        </row>
        <row r="20">
          <cell r="P20">
            <v>16.195999999999998</v>
          </cell>
          <cell r="Q20">
            <v>18.117999999999995</v>
          </cell>
          <cell r="R20">
            <v>14.703000000000003</v>
          </cell>
          <cell r="S20">
            <v>19.744999999999997</v>
          </cell>
          <cell r="T20">
            <v>69.547439999999995</v>
          </cell>
          <cell r="V20">
            <v>17.795000000000002</v>
          </cell>
          <cell r="W20">
            <v>20.847999999999999</v>
          </cell>
          <cell r="X20">
            <v>19.292000000000002</v>
          </cell>
          <cell r="Y20">
            <v>19.365999999999993</v>
          </cell>
          <cell r="Z20">
            <v>77.300999999999988</v>
          </cell>
          <cell r="BD20">
            <v>112.57030182053337</v>
          </cell>
        </row>
        <row r="21">
          <cell r="P21">
            <v>32.148000000000003</v>
          </cell>
          <cell r="Q21">
            <v>35.81</v>
          </cell>
          <cell r="R21">
            <v>34.9</v>
          </cell>
          <cell r="S21">
            <v>40.783000000000001</v>
          </cell>
          <cell r="T21">
            <v>144.54256000000001</v>
          </cell>
          <cell r="V21">
            <v>37.439</v>
          </cell>
          <cell r="W21">
            <v>43.45</v>
          </cell>
          <cell r="X21">
            <v>40.286999999999999</v>
          </cell>
          <cell r="Y21">
            <v>48.677</v>
          </cell>
          <cell r="Z21">
            <v>169.85300000000001</v>
          </cell>
          <cell r="BD21">
            <v>290.60748401766364</v>
          </cell>
        </row>
        <row r="22">
          <cell r="P22">
            <v>32.148000000000003</v>
          </cell>
          <cell r="Q22">
            <v>35.81</v>
          </cell>
          <cell r="R22">
            <v>34.9</v>
          </cell>
          <cell r="S22">
            <v>40.783000000000001</v>
          </cell>
          <cell r="T22">
            <v>144.54256000000001</v>
          </cell>
          <cell r="V22">
            <v>37.439</v>
          </cell>
          <cell r="W22">
            <v>43.45</v>
          </cell>
          <cell r="X22">
            <v>40.286999999999999</v>
          </cell>
          <cell r="Y22">
            <v>48.677</v>
          </cell>
          <cell r="Z22">
            <v>169.85300000000001</v>
          </cell>
          <cell r="BD22">
            <v>282.58364997549893</v>
          </cell>
        </row>
        <row r="23">
          <cell r="P23">
            <v>155.89400000000001</v>
          </cell>
          <cell r="Q23">
            <v>156.32599999999999</v>
          </cell>
          <cell r="R23">
            <v>156.494</v>
          </cell>
          <cell r="S23">
            <v>156.494</v>
          </cell>
          <cell r="T23">
            <v>156.36000000000001</v>
          </cell>
          <cell r="V23">
            <v>156.88399999999999</v>
          </cell>
          <cell r="W23">
            <v>157.376</v>
          </cell>
          <cell r="X23">
            <v>157.99799999999999</v>
          </cell>
          <cell r="Y23">
            <v>158.30600000000001</v>
          </cell>
          <cell r="Z23">
            <v>157.64099999999999</v>
          </cell>
          <cell r="BD23">
            <v>149.6937125</v>
          </cell>
        </row>
        <row r="24">
          <cell r="B24" t="str">
            <v>Diluted shares outstanding</v>
          </cell>
          <cell r="D24">
            <v>157.608</v>
          </cell>
          <cell r="E24">
            <v>157.13400000000001</v>
          </cell>
          <cell r="F24">
            <v>156.96600000000001</v>
          </cell>
          <cell r="G24">
            <v>156.77199999999999</v>
          </cell>
          <cell r="H24">
            <v>157.12</v>
          </cell>
          <cell r="J24">
            <v>156.982</v>
          </cell>
          <cell r="K24">
            <v>157.85599999999999</v>
          </cell>
          <cell r="L24">
            <v>158.30000000000001</v>
          </cell>
          <cell r="M24">
            <v>158.66199999999995</v>
          </cell>
          <cell r="N24">
            <v>157.94999999999999</v>
          </cell>
          <cell r="P24">
            <v>159.24199999999999</v>
          </cell>
          <cell r="Q24">
            <v>160.15199999999999</v>
          </cell>
          <cell r="R24">
            <v>160.25399999999999</v>
          </cell>
          <cell r="S24">
            <v>160.25399999999999</v>
          </cell>
          <cell r="T24">
            <v>159.988</v>
          </cell>
          <cell r="V24">
            <v>160.01400000000001</v>
          </cell>
          <cell r="W24">
            <v>160.654</v>
          </cell>
          <cell r="X24">
            <v>162.01400000000001</v>
          </cell>
          <cell r="Y24">
            <v>162.346</v>
          </cell>
          <cell r="Z24">
            <v>161.25700000000001</v>
          </cell>
          <cell r="AB24">
            <v>163.00200000000001</v>
          </cell>
          <cell r="AC24">
            <v>164.178</v>
          </cell>
          <cell r="AD24">
            <v>164.22</v>
          </cell>
          <cell r="AE24">
            <v>164.61199999999999</v>
          </cell>
          <cell r="AF24">
            <v>164.00299999999999</v>
          </cell>
          <cell r="AH24">
            <v>164.578</v>
          </cell>
          <cell r="AI24">
            <v>163.21600000000001</v>
          </cell>
          <cell r="AJ24">
            <v>160.43799999999999</v>
          </cell>
          <cell r="AK24">
            <v>159.95200000000003</v>
          </cell>
          <cell r="AL24">
            <v>162.04599999999999</v>
          </cell>
          <cell r="AN24">
            <v>161.06</v>
          </cell>
          <cell r="AO24">
            <v>159.834</v>
          </cell>
          <cell r="AP24">
            <v>157.15299999999999</v>
          </cell>
          <cell r="AQ24">
            <v>155.03299999999999</v>
          </cell>
          <cell r="AR24">
            <v>158.27000000000001</v>
          </cell>
          <cell r="AT24">
            <v>154.56399999999999</v>
          </cell>
          <cell r="AU24">
            <v>154.87299999999999</v>
          </cell>
          <cell r="AV24">
            <v>154.73599999999999</v>
          </cell>
          <cell r="AW24">
            <v>154.53800000000001</v>
          </cell>
          <cell r="AX24">
            <v>154.67775</v>
          </cell>
          <cell r="AZ24">
            <v>152.983</v>
          </cell>
          <cell r="BA24">
            <v>151.79</v>
          </cell>
          <cell r="BB24">
            <v>152.54894999999999</v>
          </cell>
          <cell r="BC24">
            <v>153.30789999999999</v>
          </cell>
          <cell r="BD24">
            <v>152.65746250000001</v>
          </cell>
          <cell r="BF24">
            <v>154.07443949999998</v>
          </cell>
          <cell r="BG24">
            <v>154.84097899999998</v>
          </cell>
          <cell r="BH24">
            <v>155.60751849999997</v>
          </cell>
          <cell r="BI24">
            <v>156.37405799999996</v>
          </cell>
          <cell r="BJ24">
            <v>155.22424874999999</v>
          </cell>
          <cell r="BL24">
            <v>157.15592828999996</v>
          </cell>
          <cell r="BM24">
            <v>157.93779857999996</v>
          </cell>
          <cell r="BN24">
            <v>158.71966886999996</v>
          </cell>
          <cell r="BO24">
            <v>159.50153915999996</v>
          </cell>
          <cell r="BP24">
            <v>158.32873372499998</v>
          </cell>
          <cell r="BR24">
            <v>160.29904685579996</v>
          </cell>
          <cell r="BS24">
            <v>161.09655455159995</v>
          </cell>
          <cell r="BT24">
            <v>161.89406224739994</v>
          </cell>
          <cell r="BU24">
            <v>162.69156994319994</v>
          </cell>
          <cell r="BV24">
            <v>161.49530839949995</v>
          </cell>
          <cell r="BX24">
            <v>163.50502779291594</v>
          </cell>
          <cell r="BY24">
            <v>164.31848564263194</v>
          </cell>
          <cell r="BZ24">
            <v>165.13194349234794</v>
          </cell>
          <cell r="CA24">
            <v>165.94540134206395</v>
          </cell>
          <cell r="CB24">
            <v>164.72521456748993</v>
          </cell>
          <cell r="CD24">
            <v>166.77512834877427</v>
          </cell>
          <cell r="CE24">
            <v>167.6048553554846</v>
          </cell>
          <cell r="CF24">
            <v>168.43458236219493</v>
          </cell>
          <cell r="CG24">
            <v>169.26430936890526</v>
          </cell>
          <cell r="CH24">
            <v>168.01971885883975</v>
          </cell>
          <cell r="CJ24">
            <v>170.11063091574979</v>
          </cell>
          <cell r="CK24">
            <v>170.95695246259433</v>
          </cell>
          <cell r="CL24">
            <v>171.80327400943887</v>
          </cell>
          <cell r="CM24">
            <v>172.6495955562834</v>
          </cell>
          <cell r="CN24">
            <v>171.3801132360166</v>
          </cell>
          <cell r="CP24">
            <v>173.51284353406481</v>
          </cell>
          <cell r="CQ24">
            <v>174.37609151184623</v>
          </cell>
          <cell r="CR24">
            <v>175.23933948962764</v>
          </cell>
          <cell r="CS24">
            <v>176.10258746740905</v>
          </cell>
          <cell r="CT24">
            <v>174.80771550073692</v>
          </cell>
          <cell r="CV24">
            <v>176.9831004047461</v>
          </cell>
          <cell r="CW24">
            <v>177.86361334208314</v>
          </cell>
          <cell r="CX24">
            <v>178.74412627942019</v>
          </cell>
          <cell r="CY24">
            <v>179.62463921675723</v>
          </cell>
          <cell r="CZ24">
            <v>178.30386981075168</v>
          </cell>
          <cell r="DB24">
            <v>180.52276241284102</v>
          </cell>
          <cell r="DC24">
            <v>181.42088560892481</v>
          </cell>
          <cell r="DD24">
            <v>182.31900880500859</v>
          </cell>
          <cell r="DE24">
            <v>183.21713200109238</v>
          </cell>
          <cell r="DF24">
            <v>181.86994720696671</v>
          </cell>
          <cell r="DH24">
            <v>184.13321766109783</v>
          </cell>
          <cell r="DI24">
            <v>185.04930332110328</v>
          </cell>
          <cell r="DJ24">
            <v>185.96538898110873</v>
          </cell>
          <cell r="DK24">
            <v>186.88147464111418</v>
          </cell>
          <cell r="DL24">
            <v>185.50734615110602</v>
          </cell>
        </row>
        <row r="25">
          <cell r="P25">
            <v>159.24199999999999</v>
          </cell>
          <cell r="Q25">
            <v>160.15199999999999</v>
          </cell>
          <cell r="R25">
            <v>160.25399999999999</v>
          </cell>
          <cell r="S25">
            <v>160.25399999999999</v>
          </cell>
          <cell r="T25">
            <v>159.988</v>
          </cell>
          <cell r="V25">
            <v>160.01400000000001</v>
          </cell>
          <cell r="W25">
            <v>160.654</v>
          </cell>
          <cell r="X25">
            <v>162.01400000000001</v>
          </cell>
          <cell r="Y25">
            <v>162.346</v>
          </cell>
          <cell r="Z25">
            <v>161.25700000000001</v>
          </cell>
          <cell r="BD25">
            <v>152.11675000000002</v>
          </cell>
        </row>
        <row r="26">
          <cell r="P26">
            <v>0.20621704491513465</v>
          </cell>
          <cell r="Q26">
            <v>0.22907257909752698</v>
          </cell>
          <cell r="R26">
            <v>0.22301174485922781</v>
          </cell>
          <cell r="S26">
            <v>0.26060424041816299</v>
          </cell>
          <cell r="T26">
            <v>0.92442159119979528</v>
          </cell>
          <cell r="V26">
            <v>0.23864128910532625</v>
          </cell>
          <cell r="W26">
            <v>0.27609038226921512</v>
          </cell>
          <cell r="X26">
            <v>0.25498424030683936</v>
          </cell>
          <cell r="Y26">
            <v>0.30748676613646986</v>
          </cell>
          <cell r="Z26">
            <v>1.0774671563869807</v>
          </cell>
          <cell r="BD26">
            <v>1.9413472961842912</v>
          </cell>
        </row>
        <row r="27">
          <cell r="P27">
            <v>0.20188141319501141</v>
          </cell>
          <cell r="Q27">
            <v>0.22360007992407216</v>
          </cell>
          <cell r="R27">
            <v>0.21777927540030204</v>
          </cell>
          <cell r="S27">
            <v>0.25448974752580283</v>
          </cell>
          <cell r="T27">
            <v>0.90345875940695552</v>
          </cell>
          <cell r="V27">
            <v>0.23397327733823289</v>
          </cell>
          <cell r="W27">
            <v>0.27045700698395314</v>
          </cell>
          <cell r="X27">
            <v>0.24866369572999861</v>
          </cell>
          <cell r="Y27">
            <v>0.2998349204784842</v>
          </cell>
          <cell r="Z27">
            <v>1.053306213063619</v>
          </cell>
          <cell r="BD27">
            <v>1.9036572418964688</v>
          </cell>
        </row>
        <row r="28">
          <cell r="P28">
            <v>0.1881727182527223</v>
          </cell>
          <cell r="Q28">
            <v>0.20964458764174038</v>
          </cell>
          <cell r="R28">
            <v>0.20307137419346788</v>
          </cell>
          <cell r="S28">
            <v>0.23701124464911955</v>
          </cell>
          <cell r="T28">
            <v>0.84360427032027407</v>
          </cell>
          <cell r="V28">
            <v>0.21713725049058205</v>
          </cell>
          <cell r="W28">
            <v>0.25350131338155291</v>
          </cell>
          <cell r="X28">
            <v>0.23143678941326057</v>
          </cell>
          <cell r="Y28">
            <v>0.28226134305742057</v>
          </cell>
          <cell r="Z28">
            <v>0.98470764059854765</v>
          </cell>
          <cell r="BD28">
            <v>1.8576760940231689</v>
          </cell>
        </row>
        <row r="29">
          <cell r="P29">
            <v>0.1881727182527223</v>
          </cell>
          <cell r="Q29">
            <v>0.20964458764174038</v>
          </cell>
          <cell r="R29">
            <v>0.20307137419346788</v>
          </cell>
          <cell r="S29">
            <v>0.23701124464911955</v>
          </cell>
          <cell r="T29">
            <v>0.84360427032027407</v>
          </cell>
          <cell r="V29">
            <v>0.21713725049058205</v>
          </cell>
          <cell r="W29">
            <v>0.25350131338155291</v>
          </cell>
          <cell r="X29">
            <v>0.23143678941326057</v>
          </cell>
          <cell r="Y29">
            <v>0.28226134305742057</v>
          </cell>
          <cell r="Z29">
            <v>0.98470764059854765</v>
          </cell>
        </row>
        <row r="31">
          <cell r="P31">
            <v>0.60544714007437583</v>
          </cell>
          <cell r="Q31">
            <v>0.59438943528622001</v>
          </cell>
          <cell r="R31">
            <v>0.59834950089497008</v>
          </cell>
          <cell r="S31">
            <v>0.59917639908868003</v>
          </cell>
          <cell r="T31">
            <v>0.59918574544579806</v>
          </cell>
          <cell r="V31">
            <v>0.6053798357143082</v>
          </cell>
          <cell r="W31">
            <v>0.59642960737743289</v>
          </cell>
          <cell r="X31">
            <v>0.58642767632280124</v>
          </cell>
          <cell r="Y31">
            <v>0.58338216399576381</v>
          </cell>
          <cell r="Z31">
            <v>0.59254478764761431</v>
          </cell>
          <cell r="BD31">
            <v>0.59954885823545989</v>
          </cell>
        </row>
        <row r="32">
          <cell r="P32">
            <v>0.37138657694350991</v>
          </cell>
          <cell r="Q32">
            <v>0.35683220078149247</v>
          </cell>
          <cell r="R32">
            <v>0.36629080158480098</v>
          </cell>
          <cell r="S32">
            <v>0.35077584942264101</v>
          </cell>
          <cell r="T32">
            <v>0.36304095368432004</v>
          </cell>
          <cell r="V32">
            <v>0.37620034902031324</v>
          </cell>
          <cell r="W32">
            <v>0.3590926975246771</v>
          </cell>
          <cell r="X32">
            <v>0.35593055369678678</v>
          </cell>
          <cell r="Y32">
            <v>0.35453748850911471</v>
          </cell>
          <cell r="Z32">
            <v>0.36105982180116991</v>
          </cell>
          <cell r="BD32">
            <v>0.36699684778648417</v>
          </cell>
        </row>
        <row r="33">
          <cell r="P33">
            <v>0.23406056313086598</v>
          </cell>
          <cell r="Q33">
            <v>0.23755723450472757</v>
          </cell>
          <cell r="R33">
            <v>0.23205869931016912</v>
          </cell>
          <cell r="S33">
            <v>0.24840054966603897</v>
          </cell>
          <cell r="T33">
            <v>0.23614479176147807</v>
          </cell>
          <cell r="V33">
            <v>0.22917948669399502</v>
          </cell>
          <cell r="W33">
            <v>0.23733690985275577</v>
          </cell>
          <cell r="X33">
            <v>0.23049712262601441</v>
          </cell>
          <cell r="Y33">
            <v>0.22884467548664905</v>
          </cell>
          <cell r="Z33">
            <v>0.23148496584644446</v>
          </cell>
          <cell r="BD33">
            <v>0.23255201044897578</v>
          </cell>
        </row>
        <row r="34">
          <cell r="P34">
            <v>3.6734549318222072E-2</v>
          </cell>
          <cell r="Q34">
            <v>3.8241832010791434E-2</v>
          </cell>
          <cell r="R34">
            <v>3.2487078241165944E-2</v>
          </cell>
          <cell r="S34">
            <v>3.5081626604315283E-2</v>
          </cell>
          <cell r="T34">
            <v>3.5642886863354435E-2</v>
          </cell>
          <cell r="V34">
            <v>3.8183958319527152E-2</v>
          </cell>
          <cell r="W34">
            <v>3.6760799202750168E-2</v>
          </cell>
          <cell r="X34">
            <v>3.6499458591364227E-2</v>
          </cell>
          <cell r="Y34">
            <v>3.0373568007225148E-2</v>
          </cell>
          <cell r="Z34">
            <v>3.5288346792201428E-2</v>
          </cell>
          <cell r="BD34">
            <v>2.8115740553144416E-2</v>
          </cell>
        </row>
        <row r="35">
          <cell r="B35" t="str">
            <v>Operating margin</v>
          </cell>
          <cell r="C35" t="str">
            <v>Depreciation &amp; amortization</v>
          </cell>
          <cell r="D35">
            <v>0.17171754940268083</v>
          </cell>
          <cell r="E35">
            <v>0.17674875883054253</v>
          </cell>
          <cell r="F35">
            <v>0.17599065985537551</v>
          </cell>
          <cell r="G35">
            <v>0.2101615938349414</v>
          </cell>
          <cell r="H35">
            <v>0.18415457026104867</v>
          </cell>
          <cell r="J35">
            <v>0.16453439383886448</v>
          </cell>
          <cell r="K35">
            <v>0.17411589137392733</v>
          </cell>
          <cell r="L35">
            <v>0.17518668565410001</v>
          </cell>
          <cell r="M35">
            <v>0.14276028902389801</v>
          </cell>
          <cell r="N35">
            <v>0.16526639326173961</v>
          </cell>
          <cell r="P35">
            <v>0.19732601381264392</v>
          </cell>
          <cell r="Q35">
            <v>0.19931540249393617</v>
          </cell>
          <cell r="R35">
            <v>0.1995716210690032</v>
          </cell>
          <cell r="S35">
            <v>0.21331892306172365</v>
          </cell>
          <cell r="T35">
            <v>0.20272211892285488</v>
          </cell>
          <cell r="V35">
            <v>0.19099552837446787</v>
          </cell>
          <cell r="W35">
            <v>0.20057611065000561</v>
          </cell>
          <cell r="X35">
            <v>0.19399766403465016</v>
          </cell>
          <cell r="Y35">
            <v>0.19847110747942392</v>
          </cell>
          <cell r="Z35">
            <v>0.19619661905424304</v>
          </cell>
          <cell r="AB35">
            <v>0.1952791612349723</v>
          </cell>
          <cell r="AC35">
            <v>0.2084021113628885</v>
          </cell>
          <cell r="AD35">
            <v>0.20325054995947664</v>
          </cell>
          <cell r="AE35">
            <v>0.20575268777368605</v>
          </cell>
          <cell r="AF35">
            <v>0.20330240837131514</v>
          </cell>
          <cell r="AH35">
            <v>0.17987144497151655</v>
          </cell>
          <cell r="AI35">
            <v>0.1920031739773779</v>
          </cell>
          <cell r="AJ35">
            <v>0.1891886826300809</v>
          </cell>
          <cell r="AK35">
            <v>0.17974132117039937</v>
          </cell>
          <cell r="AL35">
            <v>0.1852406478072641</v>
          </cell>
          <cell r="AN35">
            <v>0.19466542978572587</v>
          </cell>
          <cell r="AO35">
            <v>0.21067991424334875</v>
          </cell>
          <cell r="AP35">
            <v>0.19600096240296827</v>
          </cell>
          <cell r="AQ35">
            <v>0.19293077706383474</v>
          </cell>
          <cell r="AR35">
            <v>0.19871801584431878</v>
          </cell>
          <cell r="AT35">
            <v>0.19420648008580882</v>
          </cell>
          <cell r="AU35">
            <v>0.20925844174954783</v>
          </cell>
          <cell r="AV35">
            <v>0.19599310177575383</v>
          </cell>
          <cell r="AW35">
            <v>0.20285449710032644</v>
          </cell>
          <cell r="AX35">
            <v>0.20079026363550945</v>
          </cell>
          <cell r="AZ35">
            <v>0.20401291289838966</v>
          </cell>
          <cell r="BA35">
            <v>0.21136809571580312</v>
          </cell>
          <cell r="BB35">
            <v>0.19629353590411161</v>
          </cell>
          <cell r="BC35">
            <v>0.20524034241325465</v>
          </cell>
          <cell r="BD35">
            <v>0.20443626989583136</v>
          </cell>
          <cell r="BF35">
            <v>0.20631540965354747</v>
          </cell>
          <cell r="BG35">
            <v>0.20643646389975834</v>
          </cell>
          <cell r="BH35">
            <v>0.20132848210458412</v>
          </cell>
          <cell r="BI35">
            <v>0.20915480650785134</v>
          </cell>
          <cell r="BJ35">
            <v>0.20588884493276793</v>
          </cell>
          <cell r="BL35">
            <v>0.20891476587709248</v>
          </cell>
          <cell r="BM35">
            <v>0.21093362133399313</v>
          </cell>
          <cell r="BN35">
            <v>0.20787017738580515</v>
          </cell>
          <cell r="BO35">
            <v>0.20961031779140973</v>
          </cell>
          <cell r="BP35">
            <v>0.20937817323506774</v>
          </cell>
          <cell r="BR35">
            <v>0.21400041785687227</v>
          </cell>
          <cell r="BS35">
            <v>0.21594114098166042</v>
          </cell>
          <cell r="BT35">
            <v>0.21290383825707429</v>
          </cell>
          <cell r="BU35">
            <v>0.21457822589768272</v>
          </cell>
          <cell r="BV35">
            <v>0.21440066572423147</v>
          </cell>
          <cell r="BX35">
            <v>0.21888843999688981</v>
          </cell>
          <cell r="BY35">
            <v>0.2207712332509626</v>
          </cell>
          <cell r="BZ35">
            <v>0.21774391119121886</v>
          </cell>
          <cell r="CA35">
            <v>0.21936970937666653</v>
          </cell>
          <cell r="CB35">
            <v>0.21923725873699629</v>
          </cell>
          <cell r="CD35">
            <v>0.22364150963325732</v>
          </cell>
          <cell r="CE35">
            <v>0.22548090411478988</v>
          </cell>
          <cell r="CF35">
            <v>0.22245340347254469</v>
          </cell>
          <cell r="CG35">
            <v>0.22404293208506484</v>
          </cell>
          <cell r="CH35">
            <v>0.22394805330421946</v>
          </cell>
          <cell r="CJ35">
            <v>0.22828002423798807</v>
          </cell>
          <cell r="CK35">
            <v>0.23008822563480566</v>
          </cell>
          <cell r="CL35">
            <v>0.22705176898609783</v>
          </cell>
          <cell r="CM35">
            <v>0.2286153805950881</v>
          </cell>
          <cell r="CN35">
            <v>0.22855186260044325</v>
          </cell>
          <cell r="CP35">
            <v>0.23282066353528283</v>
          </cell>
          <cell r="CQ35">
            <v>0.2346079702618627</v>
          </cell>
          <cell r="CR35">
            <v>0.23155490335303641</v>
          </cell>
          <cell r="CS35">
            <v>0.23310133713235592</v>
          </cell>
          <cell r="CT35">
            <v>0.23306406194324236</v>
          </cell>
          <cell r="CV35">
            <v>0.23727704471053365</v>
          </cell>
          <cell r="CW35">
            <v>0.23905219202539432</v>
          </cell>
          <cell r="CX35">
            <v>0.23597577031461811</v>
          </cell>
          <cell r="CY35">
            <v>0.23751244331970087</v>
          </cell>
          <cell r="CZ35">
            <v>0.23749719416542436</v>
          </cell>
          <cell r="DB35">
            <v>0.24166025941653621</v>
          </cell>
          <cell r="DC35">
            <v>0.24343070285889837</v>
          </cell>
          <cell r="DD35">
            <v>0.24032491508148546</v>
          </cell>
          <cell r="DE35">
            <v>0.24185816217480255</v>
          </cell>
          <cell r="DF35">
            <v>0.24186146575244621</v>
          </cell>
          <cell r="DH35">
            <v>0.24597931401269224</v>
          </cell>
          <cell r="DI35">
            <v>0.24775146307676268</v>
          </cell>
          <cell r="DJ35">
            <v>0.24461088514341739</v>
          </cell>
          <cell r="DK35">
            <v>0.24614615680842994</v>
          </cell>
          <cell r="DL35">
            <v>0.24616515355209875</v>
          </cell>
        </row>
        <row r="36">
          <cell r="P36">
            <v>0.17122011687621749</v>
          </cell>
          <cell r="Q36">
            <v>0.17076306339968209</v>
          </cell>
          <cell r="R36">
            <v>0.16626666756051942</v>
          </cell>
          <cell r="S36">
            <v>0.18121016343283805</v>
          </cell>
          <cell r="T36">
            <v>0.17398448775794143</v>
          </cell>
          <cell r="V36">
            <v>0.17430188048105477</v>
          </cell>
          <cell r="W36">
            <v>0.18465983337018987</v>
          </cell>
          <cell r="X36">
            <v>0.18121677028457411</v>
          </cell>
          <cell r="Y36">
            <v>0.18289457415182481</v>
          </cell>
          <cell r="Z36">
            <v>0.18094722122572096</v>
          </cell>
          <cell r="BD36">
            <v>0.19653196945044851</v>
          </cell>
        </row>
        <row r="37">
          <cell r="P37">
            <v>0.33501572066854207</v>
          </cell>
          <cell r="Q37">
            <v>0.33596647381694106</v>
          </cell>
          <cell r="R37">
            <v>0.29641352337560234</v>
          </cell>
          <cell r="S37">
            <v>0.32621266190853815</v>
          </cell>
          <cell r="T37">
            <v>0.32485141762810033</v>
          </cell>
          <cell r="V37">
            <v>0.32217474743817215</v>
          </cell>
          <cell r="W37">
            <v>0.32424025630657249</v>
          </cell>
          <cell r="X37">
            <v>0.32380536766310281</v>
          </cell>
          <cell r="Y37">
            <v>0.28461414105786037</v>
          </cell>
          <cell r="Z37">
            <v>0.31276451119544896</v>
          </cell>
          <cell r="BD37">
            <v>0.27920759966103392</v>
          </cell>
        </row>
        <row r="38">
          <cell r="P38">
            <v>0.11385868602797948</v>
          </cell>
          <cell r="Q38">
            <v>0.11339239913111215</v>
          </cell>
          <cell r="R38">
            <v>0.11698297880898589</v>
          </cell>
          <cell r="S38">
            <v>0.1220971136545307</v>
          </cell>
          <cell r="T38">
            <v>0.11746538026447528</v>
          </cell>
          <cell r="V38">
            <v>0.11814621615907248</v>
          </cell>
          <cell r="W38">
            <v>0.12478568166871054</v>
          </cell>
          <cell r="X38">
            <v>0.12253780735585755</v>
          </cell>
          <cell r="Y38">
            <v>0.13084019202546004</v>
          </cell>
          <cell r="Z38">
            <v>0.12435335202688359</v>
          </cell>
          <cell r="BD38">
            <v>0.14165875000353315</v>
          </cell>
        </row>
        <row r="39">
          <cell r="P39">
            <v>0.11385868602797948</v>
          </cell>
          <cell r="Q39">
            <v>0.11339239913111215</v>
          </cell>
          <cell r="R39">
            <v>0.11698297880898589</v>
          </cell>
          <cell r="S39">
            <v>0.1220971136545307</v>
          </cell>
          <cell r="T39">
            <v>0.11746538026447528</v>
          </cell>
          <cell r="V39">
            <v>0.11814621615907248</v>
          </cell>
          <cell r="W39">
            <v>0.12478568166871054</v>
          </cell>
          <cell r="X39">
            <v>0.12253780735585755</v>
          </cell>
          <cell r="Y39">
            <v>0.13084019202546004</v>
          </cell>
          <cell r="Z39">
            <v>0.12435335202688359</v>
          </cell>
          <cell r="BD39">
            <v>0.1407271351055488</v>
          </cell>
        </row>
        <row r="41">
          <cell r="S41">
            <v>1.7041994494921386E-2</v>
          </cell>
          <cell r="T41">
            <v>2.7467176576620469</v>
          </cell>
          <cell r="V41">
            <v>0.12231981583141516</v>
          </cell>
          <cell r="W41">
            <v>0.10256613237240586</v>
          </cell>
          <cell r="X41">
            <v>0.10202658765008343</v>
          </cell>
          <cell r="Y41">
            <v>0.11380422189024042</v>
          </cell>
          <cell r="Z41">
            <v>0.11001761868230453</v>
          </cell>
          <cell r="BD41">
            <v>0.12723925143993919</v>
          </cell>
        </row>
        <row r="42">
          <cell r="P42">
            <v>4.7663606333830488E-2</v>
          </cell>
          <cell r="Q42">
            <v>0.15808162084459654</v>
          </cell>
          <cell r="R42">
            <v>8.4894001330924951E-2</v>
          </cell>
          <cell r="S42">
            <v>-0.31619612114371221</v>
          </cell>
          <cell r="T42">
            <v>-4.9097937523196244E-2</v>
          </cell>
          <cell r="V42">
            <v>0.12251126550690339</v>
          </cell>
          <cell r="W42">
            <v>9.7020358056665534E-2</v>
          </cell>
          <cell r="X42">
            <v>0.13473703536795023</v>
          </cell>
          <cell r="Y42">
            <v>0.15769306897414537</v>
          </cell>
          <cell r="Z42">
            <v>0.12840913065362547</v>
          </cell>
          <cell r="BD42">
            <v>0.11505514970443409</v>
          </cell>
        </row>
        <row r="43">
          <cell r="P43">
            <v>0.22688264455692297</v>
          </cell>
          <cell r="Q43">
            <v>0.3033184980489636</v>
          </cell>
          <cell r="R43">
            <v>0.24785828879809024</v>
          </cell>
          <cell r="S43">
            <v>9.1996120620864374E-2</v>
          </cell>
          <cell r="T43">
            <v>0.20042893089645641</v>
          </cell>
          <cell r="V43">
            <v>0.12219505346655102</v>
          </cell>
          <cell r="W43">
            <v>0.10635056143262211</v>
          </cell>
          <cell r="X43">
            <v>8.0069240594258906E-2</v>
          </cell>
          <cell r="Y43">
            <v>8.4444444444444322E-2</v>
          </cell>
          <cell r="Z43">
            <v>9.7714955915477297E-2</v>
          </cell>
          <cell r="BD43">
            <v>0.13859671383739025</v>
          </cell>
        </row>
        <row r="44">
          <cell r="P44">
            <v>0.2162133166317266</v>
          </cell>
          <cell r="Q44">
            <v>0.31098617929686601</v>
          </cell>
          <cell r="R44">
            <v>0.29445211118284309</v>
          </cell>
          <cell r="S44">
            <v>1.4641602241163065E-2</v>
          </cell>
          <cell r="T44">
            <v>0.19880971389391666</v>
          </cell>
          <cell r="V44">
            <v>0.1368668999914171</v>
          </cell>
          <cell r="W44">
            <v>0.10955077990677919</v>
          </cell>
          <cell r="X44">
            <v>7.0856630397979181E-2</v>
          </cell>
          <cell r="Y44">
            <v>0.12574840078008642</v>
          </cell>
          <cell r="Z44">
            <v>0.10396019933908063</v>
          </cell>
          <cell r="BD44">
            <v>0.13691248920783172</v>
          </cell>
        </row>
        <row r="45">
          <cell r="P45">
            <v>0.24420137058513447</v>
          </cell>
          <cell r="Q45">
            <v>0.29196803747330735</v>
          </cell>
          <cell r="R45">
            <v>0.18077159230454343</v>
          </cell>
          <cell r="S45">
            <v>0.22374301263993157</v>
          </cell>
          <cell r="T45">
            <v>0.20292680907434968</v>
          </cell>
          <cell r="V45">
            <v>9.8915066503245663E-2</v>
          </cell>
          <cell r="W45">
            <v>0.10154354722614722</v>
          </cell>
          <cell r="X45">
            <v>9.4610795741792098E-2</v>
          </cell>
          <cell r="Y45">
            <v>2.6117559147171843E-2</v>
          </cell>
          <cell r="Z45">
            <v>8.8113731549768204E-2</v>
          </cell>
          <cell r="BD45">
            <v>0.14126481098812604</v>
          </cell>
        </row>
        <row r="46">
          <cell r="P46">
            <v>-0.18298542733359591</v>
          </cell>
          <cell r="Q46">
            <v>-0.12052140984561621</v>
          </cell>
          <cell r="R46">
            <v>-0.31852060188440445</v>
          </cell>
          <cell r="S46">
            <v>-0.14373401534526897</v>
          </cell>
          <cell r="T46">
            <v>-0.19278904553318377</v>
          </cell>
          <cell r="V46">
            <v>0.1666023910528347</v>
          </cell>
          <cell r="W46">
            <v>5.9865860727001952E-2</v>
          </cell>
          <cell r="X46">
            <v>0.23813454395377631</v>
          </cell>
          <cell r="Y46">
            <v>-3.5671616316777288E-2</v>
          </cell>
          <cell r="Z46">
            <v>9.8976264848720019E-2</v>
          </cell>
          <cell r="BD46">
            <v>9.6505108542397577E-2</v>
          </cell>
        </row>
        <row r="47">
          <cell r="P47">
            <v>0.37836768016625033</v>
          </cell>
          <cell r="Q47">
            <v>0.41972663298448265</v>
          </cell>
          <cell r="R47">
            <v>0.34066651655032643</v>
          </cell>
          <cell r="S47">
            <v>0.31667159435287151</v>
          </cell>
          <cell r="T47">
            <v>0.33235768536421229</v>
          </cell>
          <cell r="V47">
            <v>8.6314278022076696E-2</v>
          </cell>
          <cell r="W47">
            <v>0.10954007466836124</v>
          </cell>
          <cell r="X47">
            <v>7.1247417659013434E-2</v>
          </cell>
          <cell r="Y47">
            <v>3.6279174210208653E-2</v>
          </cell>
          <cell r="Z47">
            <v>7.4286836746147555E-2</v>
          </cell>
          <cell r="BD47">
            <v>0.1477079798195744</v>
          </cell>
        </row>
        <row r="48">
          <cell r="P48">
            <v>-0.19313705854863472</v>
          </cell>
          <cell r="Q48">
            <v>0.30994947532063777</v>
          </cell>
          <cell r="R48">
            <v>0.3034555248981734</v>
          </cell>
          <cell r="S48">
            <v>0.18896833503575072</v>
          </cell>
          <cell r="T48">
            <v>0.10361358832929524</v>
          </cell>
          <cell r="V48">
            <v>0.1425202713883833</v>
          </cell>
          <cell r="W48">
            <v>0.19229342827473683</v>
          </cell>
          <cell r="X48">
            <v>0.20111686793137507</v>
          </cell>
          <cell r="Y48">
            <v>0.12415741475019826</v>
          </cell>
          <cell r="Z48">
            <v>0.15443972161240604</v>
          </cell>
          <cell r="BD48">
            <v>9.3624474011959391E-2</v>
          </cell>
        </row>
        <row r="49">
          <cell r="P49">
            <v>-0.19278863054286122</v>
          </cell>
          <cell r="Q49">
            <v>0.30674354108889279</v>
          </cell>
          <cell r="R49">
            <v>0.34650256568540416</v>
          </cell>
          <cell r="S49">
            <v>0.22592959990380868</v>
          </cell>
          <cell r="T49">
            <v>0.10880384169869362</v>
          </cell>
          <cell r="V49">
            <v>0.16458255567998004</v>
          </cell>
          <cell r="W49">
            <v>0.21334822675230392</v>
          </cell>
          <cell r="X49">
            <v>0.15435530085959881</v>
          </cell>
          <cell r="Y49">
            <v>0.19356104259127571</v>
          </cell>
          <cell r="Z49">
            <v>0.17510717950477694</v>
          </cell>
          <cell r="BD49">
            <v>0.13325540882584197</v>
          </cell>
        </row>
        <row r="50">
          <cell r="P50">
            <v>-0.2042447645714035</v>
          </cell>
          <cell r="Q50">
            <v>0.28800956854818094</v>
          </cell>
          <cell r="R50">
            <v>0.33008446683389803</v>
          </cell>
          <cell r="S50">
            <v>0.21375093401686129</v>
          </cell>
          <cell r="T50">
            <v>9.4679393431436276E-2</v>
          </cell>
          <cell r="V50">
            <v>0.158963936478004</v>
          </cell>
          <cell r="W50">
            <v>0.20955684396799934</v>
          </cell>
          <cell r="X50">
            <v>0.1418152405591746</v>
          </cell>
          <cell r="Y50">
            <v>0.17818074556454899</v>
          </cell>
          <cell r="Z50">
            <v>0.16585976072114872</v>
          </cell>
          <cell r="BD50">
            <v>0.14825304929008198</v>
          </cell>
        </row>
        <row r="51">
          <cell r="P51">
            <v>-0.2042447645714035</v>
          </cell>
          <cell r="Q51">
            <v>0.28800956854818094</v>
          </cell>
          <cell r="R51">
            <v>0.33008446683389803</v>
          </cell>
          <cell r="S51">
            <v>0.21375093401686129</v>
          </cell>
          <cell r="T51">
            <v>9.4679393431436276E-2</v>
          </cell>
          <cell r="V51">
            <v>0.158963936478004</v>
          </cell>
          <cell r="W51">
            <v>0.20955684396799934</v>
          </cell>
          <cell r="X51">
            <v>0.1418152405591746</v>
          </cell>
          <cell r="Y51">
            <v>0.17818074556454899</v>
          </cell>
          <cell r="Z51">
            <v>0.16585976072114872</v>
          </cell>
          <cell r="BD51">
            <v>0.12051801795493677</v>
          </cell>
        </row>
        <row r="60">
          <cell r="P60">
            <v>32.148000000000003</v>
          </cell>
          <cell r="Q60">
            <v>35.81</v>
          </cell>
          <cell r="R60">
            <v>34.9</v>
          </cell>
          <cell r="S60">
            <v>40.783000000000001</v>
          </cell>
          <cell r="T60">
            <v>144.54256000000001</v>
          </cell>
          <cell r="V60">
            <v>37.439</v>
          </cell>
          <cell r="W60">
            <v>43.45</v>
          </cell>
          <cell r="X60">
            <v>40.286999999999999</v>
          </cell>
          <cell r="Y60">
            <v>48.677</v>
          </cell>
          <cell r="Z60">
            <v>169.85300000000001</v>
          </cell>
        </row>
        <row r="61">
          <cell r="P61">
            <v>0</v>
          </cell>
          <cell r="Q61">
            <v>0</v>
          </cell>
          <cell r="R61">
            <v>0</v>
          </cell>
          <cell r="S61">
            <v>0</v>
          </cell>
          <cell r="T61">
            <v>0</v>
          </cell>
          <cell r="V61">
            <v>0</v>
          </cell>
          <cell r="W61">
            <v>0</v>
          </cell>
          <cell r="X61">
            <v>0</v>
          </cell>
          <cell r="Y61">
            <v>0</v>
          </cell>
          <cell r="Z61">
            <v>0</v>
          </cell>
        </row>
        <row r="62">
          <cell r="P62">
            <v>-2.1829999999999998</v>
          </cell>
          <cell r="Q62">
            <v>-2.2349999999999999</v>
          </cell>
          <cell r="R62">
            <v>-2.3570000000000002</v>
          </cell>
          <cell r="S62">
            <v>-2.801000000000001</v>
          </cell>
          <cell r="T62">
            <v>-9.5760000000000005</v>
          </cell>
          <cell r="V62">
            <v>-2.694</v>
          </cell>
          <cell r="W62">
            <v>-2.7240000000000002</v>
          </cell>
          <cell r="X62">
            <v>-2.7909999999999999</v>
          </cell>
          <cell r="Y62">
            <v>-2.8529999999999998</v>
          </cell>
          <cell r="Z62">
            <v>-11.061999999999999</v>
          </cell>
        </row>
        <row r="63">
          <cell r="P63">
            <v>0</v>
          </cell>
          <cell r="Q63">
            <v>0</v>
          </cell>
          <cell r="R63">
            <v>0</v>
          </cell>
          <cell r="S63">
            <v>0</v>
          </cell>
          <cell r="T63">
            <v>0</v>
          </cell>
          <cell r="V63">
            <v>0</v>
          </cell>
          <cell r="W63">
            <v>0</v>
          </cell>
          <cell r="X63">
            <v>0</v>
          </cell>
          <cell r="Y63">
            <v>0</v>
          </cell>
          <cell r="Z63">
            <v>0</v>
          </cell>
        </row>
        <row r="64">
          <cell r="P64">
            <v>29.965000000000003</v>
          </cell>
          <cell r="Q64">
            <v>33.575000000000003</v>
          </cell>
          <cell r="R64">
            <v>32.542999999999999</v>
          </cell>
          <cell r="S64">
            <v>37.981999999999999</v>
          </cell>
          <cell r="T64">
            <v>134.96656000000002</v>
          </cell>
          <cell r="V64">
            <v>34.744999999999997</v>
          </cell>
          <cell r="W64">
            <v>40.725999999999999</v>
          </cell>
          <cell r="X64">
            <v>37.496000000000002</v>
          </cell>
          <cell r="Y64">
            <v>45.823999999999998</v>
          </cell>
          <cell r="Z64">
            <v>158.791</v>
          </cell>
        </row>
        <row r="65">
          <cell r="P65">
            <v>29.965000000000003</v>
          </cell>
          <cell r="Q65">
            <v>33.575000000000003</v>
          </cell>
          <cell r="R65">
            <v>32.542999999999999</v>
          </cell>
          <cell r="S65">
            <v>37.981999999999999</v>
          </cell>
          <cell r="T65">
            <v>134.96656000000002</v>
          </cell>
          <cell r="V65">
            <v>34.744999999999997</v>
          </cell>
          <cell r="W65">
            <v>40.725999999999999</v>
          </cell>
          <cell r="X65">
            <v>37.496000000000002</v>
          </cell>
          <cell r="Y65">
            <v>45.823999999999998</v>
          </cell>
          <cell r="Z65">
            <v>158.791</v>
          </cell>
        </row>
        <row r="67">
          <cell r="P67">
            <v>6.5000000000000002E-2</v>
          </cell>
          <cell r="Q67">
            <v>8.3000000000000004E-2</v>
          </cell>
          <cell r="R67">
            <v>6.2E-2</v>
          </cell>
          <cell r="S67">
            <v>6.2E-2</v>
          </cell>
          <cell r="T67">
            <v>6.8000000000000005E-2</v>
          </cell>
          <cell r="V67">
            <v>5.1999999999999998E-2</v>
          </cell>
          <cell r="W67">
            <v>4.5999999999999999E-2</v>
          </cell>
          <cell r="X67">
            <v>3.9E-2</v>
          </cell>
          <cell r="Y67">
            <v>3.9E-2</v>
          </cell>
        </row>
        <row r="68">
          <cell r="P68">
            <v>0.38300000000000001</v>
          </cell>
          <cell r="Q68">
            <v>0.38400000000000001</v>
          </cell>
          <cell r="R68">
            <v>0.37</v>
          </cell>
          <cell r="S68">
            <v>6.2E-2</v>
          </cell>
          <cell r="T68">
            <v>0.14599999999999999</v>
          </cell>
          <cell r="V68">
            <v>-3.0000000000000001E-3</v>
          </cell>
          <cell r="W68">
            <v>-2E-3</v>
          </cell>
          <cell r="X68">
            <v>1E-3</v>
          </cell>
          <cell r="Y68">
            <v>0</v>
          </cell>
        </row>
        <row r="69">
          <cell r="P69">
            <v>-1.7999999999999999E-2</v>
          </cell>
          <cell r="Q69">
            <v>1.7000000000000001E-2</v>
          </cell>
          <cell r="R69">
            <v>1.7999999999999999E-2</v>
          </cell>
          <cell r="T69">
            <v>1.2E-2</v>
          </cell>
          <cell r="V69">
            <v>7.0000000000000007E-2</v>
          </cell>
          <cell r="W69">
            <v>7.0000000000000007E-2</v>
          </cell>
          <cell r="X69">
            <v>5.0999999999999997E-2</v>
          </cell>
          <cell r="Y69">
            <v>7.4999999999999997E-2</v>
          </cell>
        </row>
        <row r="70">
          <cell r="P70">
            <v>0.43</v>
          </cell>
          <cell r="Q70">
            <v>0.48400000000000004</v>
          </cell>
          <cell r="R70">
            <v>0.45</v>
          </cell>
          <cell r="S70">
            <v>6.2E-2</v>
          </cell>
          <cell r="T70">
            <v>0.22600000000000001</v>
          </cell>
          <cell r="V70">
            <v>0.11899999999999999</v>
          </cell>
          <cell r="W70">
            <v>0.114</v>
          </cell>
          <cell r="X70">
            <v>9.0999999999999998E-2</v>
          </cell>
          <cell r="Y70">
            <v>0.11399999999999999</v>
          </cell>
        </row>
        <row r="71">
          <cell r="P71">
            <v>0.43</v>
          </cell>
          <cell r="Q71">
            <v>0.48400000000000004</v>
          </cell>
          <cell r="R71">
            <v>0.45</v>
          </cell>
          <cell r="S71">
            <v>6.2E-2</v>
          </cell>
          <cell r="T71">
            <v>0.22600000000000001</v>
          </cell>
          <cell r="V71">
            <v>0.11899999999999999</v>
          </cell>
          <cell r="W71">
            <v>0.114</v>
          </cell>
          <cell r="X71">
            <v>9.0999999999999998E-2</v>
          </cell>
          <cell r="Y71">
            <v>0.11399999999999999</v>
          </cell>
        </row>
        <row r="73">
          <cell r="T73">
            <v>41.6</v>
          </cell>
        </row>
        <row r="74">
          <cell r="T74">
            <v>41.6</v>
          </cell>
        </row>
        <row r="76">
          <cell r="T76">
            <v>-2.7320000000000002</v>
          </cell>
        </row>
        <row r="77">
          <cell r="T77">
            <v>-2.7320000000000002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Y"/>
      <sheetName val="ROIC"/>
      <sheetName val="DCF"/>
      <sheetName val="WACC"/>
      <sheetName val="Scenarios"/>
      <sheetName val="EPS Sensitivity"/>
    </sheetNames>
    <sheetDataSet>
      <sheetData sheetId="0"/>
      <sheetData sheetId="1" refreshError="1"/>
      <sheetData sheetId="2" refreshError="1"/>
      <sheetData sheetId="3"/>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S"/>
      <sheetName val="Rev"/>
      <sheetName val="BS"/>
      <sheetName val="CF"/>
      <sheetName val="ROIC"/>
      <sheetName val="Valuation"/>
      <sheetName val="Other Accts"/>
      <sheetName val="ROIC terminal"/>
      <sheetName val="Short Cash Flow"/>
      <sheetName val="QtrComp"/>
      <sheetName val="EPS Quality"/>
      <sheetName val="Shr Repo"/>
      <sheetName val="ROIC Calc"/>
      <sheetName val="ROIC His Data"/>
      <sheetName val="ESO"/>
      <sheetName val="Pension"/>
      <sheetName val="Std Graphs"/>
      <sheetName val="Graphs"/>
    </sheetNames>
    <sheetDataSet>
      <sheetData sheetId="0"/>
      <sheetData sheetId="1">
        <row r="7">
          <cell r="AX7" t="str">
            <v xml:space="preserve">Total </v>
          </cell>
        </row>
        <row r="9">
          <cell r="AX9">
            <v>1546.4189999999999</v>
          </cell>
        </row>
        <row r="10">
          <cell r="AX10">
            <v>1017.686</v>
          </cell>
        </row>
        <row r="11">
          <cell r="AX11">
            <v>528.73299999999983</v>
          </cell>
        </row>
        <row r="12">
          <cell r="AX12">
            <v>233.89</v>
          </cell>
        </row>
        <row r="13">
          <cell r="AX13">
            <v>294.84299999999985</v>
          </cell>
        </row>
        <row r="14">
          <cell r="AX14">
            <v>66.197000000000003</v>
          </cell>
        </row>
        <row r="15">
          <cell r="AX15">
            <v>228.64599999999984</v>
          </cell>
        </row>
        <row r="16">
          <cell r="AX16">
            <v>-9.8010000000000002</v>
          </cell>
        </row>
        <row r="17">
          <cell r="AX17">
            <v>-1.375</v>
          </cell>
        </row>
        <row r="18">
          <cell r="AX18">
            <v>239.82199999999983</v>
          </cell>
        </row>
        <row r="19">
          <cell r="AX19">
            <v>70.496000000000009</v>
          </cell>
        </row>
        <row r="20">
          <cell r="AX20">
            <v>-2.4509999999999996</v>
          </cell>
        </row>
        <row r="21">
          <cell r="AX21">
            <v>171.77699999999982</v>
          </cell>
        </row>
        <row r="23">
          <cell r="AX23">
            <v>63.74773175</v>
          </cell>
        </row>
        <row r="24">
          <cell r="AX24">
            <v>64.793325249999995</v>
          </cell>
        </row>
        <row r="26">
          <cell r="AX26">
            <v>2.6946370527136412</v>
          </cell>
        </row>
        <row r="27">
          <cell r="AX27">
            <v>2.6511527126785306</v>
          </cell>
        </row>
        <row r="31">
          <cell r="AX31">
            <v>0.34190798224801938</v>
          </cell>
        </row>
        <row r="32">
          <cell r="AX32">
            <v>0.15124620170859257</v>
          </cell>
        </row>
        <row r="33">
          <cell r="AX33">
            <v>0.19066178053942681</v>
          </cell>
        </row>
        <row r="34">
          <cell r="AX34">
            <v>4.2806639080352746E-2</v>
          </cell>
        </row>
        <row r="35">
          <cell r="AX35">
            <v>0.14785514145907408</v>
          </cell>
        </row>
        <row r="36">
          <cell r="AX36">
            <v>0.1550821607856602</v>
          </cell>
        </row>
        <row r="37">
          <cell r="AX37">
            <v>0.29395134724921007</v>
          </cell>
        </row>
        <row r="38">
          <cell r="AX38">
            <v>0.11108050276154123</v>
          </cell>
        </row>
        <row r="41">
          <cell r="AX41">
            <v>0.1538692272737785</v>
          </cell>
        </row>
        <row r="42">
          <cell r="AX42">
            <v>0.15359049637833122</v>
          </cell>
        </row>
        <row r="43">
          <cell r="AX43">
            <v>0.15440609764351643</v>
          </cell>
        </row>
        <row r="44">
          <cell r="AX44">
            <v>0.12778945744208925</v>
          </cell>
        </row>
        <row r="45">
          <cell r="AX45">
            <v>0.17643092269326655</v>
          </cell>
        </row>
        <row r="46">
          <cell r="AX46">
            <v>0.15349898933574968</v>
          </cell>
        </row>
        <row r="47">
          <cell r="AX47">
            <v>0.18324130471907507</v>
          </cell>
        </row>
        <row r="48">
          <cell r="AX48">
            <v>0.1955889904232031</v>
          </cell>
        </row>
        <row r="49">
          <cell r="AX49">
            <v>0.2051904497968855</v>
          </cell>
        </row>
        <row r="50">
          <cell r="AX50">
            <v>0.20464784431907423</v>
          </cell>
        </row>
        <row r="60">
          <cell r="AX60">
            <v>171.77699999999982</v>
          </cell>
        </row>
        <row r="61">
          <cell r="AX61">
            <v>4.3035122812500006</v>
          </cell>
        </row>
        <row r="62">
          <cell r="AX62">
            <v>-15.096000000000002</v>
          </cell>
        </row>
        <row r="63">
          <cell r="AX63">
            <v>0</v>
          </cell>
        </row>
        <row r="64">
          <cell r="AX64">
            <v>160.98451228124981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evna Notes"/>
      <sheetName val="iQ_Measure_Validations_Errors"/>
      <sheetName val="Intro"/>
      <sheetName val="IS"/>
      <sheetName val="Revenue"/>
      <sheetName val="BS"/>
      <sheetName val="CF"/>
      <sheetName val="ROIC"/>
      <sheetName val="Valuation"/>
      <sheetName val="Other"/>
      <sheetName val="Short Cash Flow"/>
      <sheetName val="ROIC terminal"/>
      <sheetName val="ROIC Calc"/>
      <sheetName val="ROIC His Data"/>
      <sheetName val="ESO"/>
      <sheetName val="Pension"/>
      <sheetName val="QtrComp"/>
      <sheetName val="Std Graphs"/>
      <sheetName val="Graphs"/>
      <sheetName val="Rev"/>
      <sheetName val="Deals"/>
      <sheetName val="iQ_CoreIndustrials"/>
      <sheetName val="EPS Quality"/>
      <sheetName val="Shr Repo"/>
      <sheetName val="Peer Comp"/>
      <sheetName val="XRAY_Model"/>
    </sheetNames>
    <sheetDataSet>
      <sheetData sheetId="0" refreshError="1"/>
      <sheetData sheetId="1" refreshError="1"/>
      <sheetData sheetId="2" refreshError="1"/>
      <sheetData sheetId="3">
        <row r="5">
          <cell r="P5" t="str">
            <v>Historical results</v>
          </cell>
        </row>
        <row r="7">
          <cell r="BD7" t="str">
            <v xml:space="preserve">Total </v>
          </cell>
        </row>
        <row r="9">
          <cell r="B9" t="str">
            <v>Total sales</v>
          </cell>
          <cell r="D9">
            <v>213.95599999999999</v>
          </cell>
          <cell r="E9">
            <v>224.78800000000001</v>
          </cell>
          <cell r="F9">
            <v>216.69900000000001</v>
          </cell>
          <cell r="G9">
            <v>234.35300000000001</v>
          </cell>
          <cell r="H9">
            <v>889.79600000000005</v>
          </cell>
          <cell r="J9">
            <v>245.66900000000001</v>
          </cell>
          <cell r="K9">
            <v>254.63499999999999</v>
          </cell>
          <cell r="L9">
            <v>253.501</v>
          </cell>
          <cell r="M9">
            <v>379.06900000000002</v>
          </cell>
          <cell r="N9">
            <v>1132.874</v>
          </cell>
          <cell r="P9">
            <v>331.65</v>
          </cell>
          <cell r="Q9">
            <v>361.601</v>
          </cell>
          <cell r="R9">
            <v>340.30099999999999</v>
          </cell>
          <cell r="S9">
            <v>384.048</v>
          </cell>
          <cell r="T9">
            <v>1417.6</v>
          </cell>
          <cell r="V9">
            <v>371.23599999999999</v>
          </cell>
          <cell r="W9">
            <v>394.47800000000001</v>
          </cell>
          <cell r="X9">
            <v>375.50299999999999</v>
          </cell>
          <cell r="Y9">
            <v>429.70800000000003</v>
          </cell>
          <cell r="Z9">
            <v>1570.925</v>
          </cell>
          <cell r="AB9">
            <v>415.38099999999997</v>
          </cell>
          <cell r="AC9">
            <v>425.32499999999999</v>
          </cell>
          <cell r="AD9">
            <v>390.59199999999998</v>
          </cell>
          <cell r="AE9">
            <v>465.5</v>
          </cell>
          <cell r="AF9">
            <v>1696.7979999999998</v>
          </cell>
          <cell r="AH9">
            <v>406.97500000000002</v>
          </cell>
          <cell r="AI9">
            <v>444.834</v>
          </cell>
          <cell r="AJ9">
            <v>415.964</v>
          </cell>
          <cell r="AK9">
            <v>447.36200000000002</v>
          </cell>
          <cell r="AL9">
            <v>1715.135</v>
          </cell>
          <cell r="AN9">
            <v>430.99599999999998</v>
          </cell>
          <cell r="AO9">
            <v>472.44400000000002</v>
          </cell>
          <cell r="AP9">
            <v>435.72500000000002</v>
          </cell>
          <cell r="AQ9">
            <v>471.33199999999999</v>
          </cell>
          <cell r="AR9">
            <v>1810.4969999999998</v>
          </cell>
          <cell r="AT9">
            <v>472.86399999999998</v>
          </cell>
          <cell r="AU9">
            <v>507.36200000000002</v>
          </cell>
          <cell r="AV9">
            <v>488.10300000000001</v>
          </cell>
          <cell r="AW9">
            <v>541.50400000000002</v>
          </cell>
          <cell r="AX9">
            <v>2009.8330000000001</v>
          </cell>
          <cell r="AZ9">
            <v>560.78200000000004</v>
          </cell>
          <cell r="BA9">
            <v>594.84699999999998</v>
          </cell>
          <cell r="BB9">
            <v>531.75032357999999</v>
          </cell>
          <cell r="BC9">
            <v>579.12572287629393</v>
          </cell>
          <cell r="BD9">
            <v>2266.5050464562937</v>
          </cell>
          <cell r="BF9">
            <v>598.07035604856696</v>
          </cell>
          <cell r="BG9">
            <v>635.05530135683875</v>
          </cell>
          <cell r="BH9">
            <v>567.8150592407469</v>
          </cell>
          <cell r="BI9">
            <v>618.16022138707785</v>
          </cell>
          <cell r="BJ9">
            <v>2419.1009380332307</v>
          </cell>
          <cell r="BL9">
            <v>636.87206598178977</v>
          </cell>
          <cell r="BM9">
            <v>676.90116129196269</v>
          </cell>
          <cell r="BN9">
            <v>605.34963828234197</v>
          </cell>
          <cell r="BO9">
            <v>658.78352185483311</v>
          </cell>
          <cell r="BP9">
            <v>2577.9063874109274</v>
          </cell>
          <cell r="BR9">
            <v>677.14531435977528</v>
          </cell>
          <cell r="BS9">
            <v>720.33840174465774</v>
          </cell>
          <cell r="BT9">
            <v>644.3124429378629</v>
          </cell>
          <cell r="BU9">
            <v>700.95097596254891</v>
          </cell>
          <cell r="BV9">
            <v>2742.7471350048445</v>
          </cell>
          <cell r="BX9">
            <v>718.83676469341844</v>
          </cell>
          <cell r="BY9">
            <v>765.30824056262725</v>
          </cell>
          <cell r="BZ9">
            <v>684.65051724471039</v>
          </cell>
          <cell r="CA9">
            <v>744.60572944750709</v>
          </cell>
          <cell r="CB9">
            <v>2913.4012519482635</v>
          </cell>
          <cell r="CD9">
            <v>762.85048235596196</v>
          </cell>
          <cell r="CE9">
            <v>812.79807571615856</v>
          </cell>
          <cell r="CF9">
            <v>727.25179210604301</v>
          </cell>
          <cell r="CG9">
            <v>790.70426199545773</v>
          </cell>
          <cell r="CH9">
            <v>3093.6046121736213</v>
          </cell>
          <cell r="CJ9">
            <v>809.29389911670842</v>
          </cell>
          <cell r="CK9">
            <v>862.92477320406635</v>
          </cell>
          <cell r="CL9">
            <v>772.22127650792822</v>
          </cell>
          <cell r="CM9">
            <v>839.35985738705529</v>
          </cell>
          <cell r="CN9">
            <v>3283.7998062157581</v>
          </cell>
          <cell r="CP9">
            <v>858.27784192477998</v>
          </cell>
          <cell r="CQ9">
            <v>915.80889320485892</v>
          </cell>
          <cell r="CR9">
            <v>819.66729896478455</v>
          </cell>
          <cell r="CS9">
            <v>890.68938020688643</v>
          </cell>
          <cell r="CT9">
            <v>3484.4434143013095</v>
          </cell>
          <cell r="CV9">
            <v>909.91653466357207</v>
          </cell>
          <cell r="CW9">
            <v>971.57469151743044</v>
          </cell>
          <cell r="CX9">
            <v>869.70150872932413</v>
          </cell>
          <cell r="CY9">
            <v>944.81327731742044</v>
          </cell>
          <cell r="CZ9">
            <v>3696.0060122277473</v>
          </cell>
          <cell r="DB9">
            <v>964.32759161402623</v>
          </cell>
          <cell r="DC9">
            <v>1030.350111927323</v>
          </cell>
          <cell r="DD9">
            <v>922.43886883876644</v>
          </cell>
          <cell r="DE9">
            <v>1001.8555705458103</v>
          </cell>
          <cell r="DF9">
            <v>3918.9721429259262</v>
          </cell>
          <cell r="DH9">
            <v>1021.6320021089086</v>
          </cell>
          <cell r="DI9">
            <v>1092.2667689322893</v>
          </cell>
          <cell r="DJ9">
            <v>977.99764048797226</v>
          </cell>
          <cell r="DK9">
            <v>1061.9438400351235</v>
          </cell>
          <cell r="DL9">
            <v>4153.8402515642938</v>
          </cell>
        </row>
        <row r="10">
          <cell r="BD10">
            <v>215.04346000000004</v>
          </cell>
        </row>
        <row r="11">
          <cell r="BD11">
            <v>2051.4615864562938</v>
          </cell>
        </row>
        <row r="12">
          <cell r="BD12">
            <v>1036.5535945825175</v>
          </cell>
        </row>
        <row r="13">
          <cell r="BD13">
            <v>1229.9514518737763</v>
          </cell>
        </row>
        <row r="14">
          <cell r="BD14">
            <v>752.87993558451979</v>
          </cell>
        </row>
        <row r="15">
          <cell r="BD15">
            <v>477.07151628925646</v>
          </cell>
        </row>
        <row r="16">
          <cell r="BD16">
            <v>57.678361719547198</v>
          </cell>
        </row>
        <row r="17">
          <cell r="BD17">
            <v>419.39315456970928</v>
          </cell>
        </row>
        <row r="18">
          <cell r="BD18">
            <v>16.215368731512257</v>
          </cell>
        </row>
        <row r="19">
          <cell r="BD19">
            <v>403.177785838197</v>
          </cell>
        </row>
        <row r="20">
          <cell r="BD20">
            <v>112.57030182053337</v>
          </cell>
        </row>
        <row r="21">
          <cell r="BD21">
            <v>290.60748401766364</v>
          </cell>
        </row>
        <row r="22">
          <cell r="BD22">
            <v>282.58364997549893</v>
          </cell>
        </row>
        <row r="23">
          <cell r="BD23">
            <v>149.6937125</v>
          </cell>
        </row>
        <row r="24">
          <cell r="BD24">
            <v>152.65746250000001</v>
          </cell>
        </row>
        <row r="25">
          <cell r="BD25">
            <v>152.11675000000002</v>
          </cell>
        </row>
        <row r="26">
          <cell r="BD26">
            <v>1.9413472961842912</v>
          </cell>
        </row>
        <row r="27">
          <cell r="BD27">
            <v>1.9036572418964688</v>
          </cell>
        </row>
        <row r="28">
          <cell r="BD28">
            <v>1.8576760940231689</v>
          </cell>
        </row>
        <row r="31">
          <cell r="BD31">
            <v>0.59954885823545989</v>
          </cell>
        </row>
        <row r="32">
          <cell r="BD32">
            <v>0.36699684778648417</v>
          </cell>
        </row>
        <row r="33">
          <cell r="BD33">
            <v>0.23255201044897578</v>
          </cell>
        </row>
        <row r="34">
          <cell r="BD34">
            <v>2.8115740553144416E-2</v>
          </cell>
        </row>
        <row r="35">
          <cell r="B35" t="str">
            <v>Operating margin</v>
          </cell>
          <cell r="C35" t="str">
            <v>Depreciation &amp; amortization</v>
          </cell>
          <cell r="D35">
            <v>0.17171754940268083</v>
          </cell>
          <cell r="E35">
            <v>0.17674875883054253</v>
          </cell>
          <cell r="F35">
            <v>0.17599065985537551</v>
          </cell>
          <cell r="G35">
            <v>0.2101615938349414</v>
          </cell>
          <cell r="H35">
            <v>0.18415457026104867</v>
          </cell>
          <cell r="J35">
            <v>0.16453439383886448</v>
          </cell>
          <cell r="K35">
            <v>0.17411589137392733</v>
          </cell>
          <cell r="L35">
            <v>0.17518668565410001</v>
          </cell>
          <cell r="M35">
            <v>0.14276028902389801</v>
          </cell>
          <cell r="N35">
            <v>0.16526639326173961</v>
          </cell>
          <cell r="P35">
            <v>0.19732601381264392</v>
          </cell>
          <cell r="Q35">
            <v>0.19931540249393617</v>
          </cell>
          <cell r="R35">
            <v>0.1995716210690032</v>
          </cell>
          <cell r="S35">
            <v>0.21331892306172365</v>
          </cell>
          <cell r="T35">
            <v>0.20272211892285488</v>
          </cell>
          <cell r="V35">
            <v>0.19099552837446787</v>
          </cell>
          <cell r="W35">
            <v>0.20057611065000561</v>
          </cell>
          <cell r="X35">
            <v>0.19399766403465016</v>
          </cell>
          <cell r="Y35">
            <v>0.19847110747942392</v>
          </cell>
          <cell r="Z35">
            <v>0.19619661905424304</v>
          </cell>
          <cell r="AB35">
            <v>0.1952791612349723</v>
          </cell>
          <cell r="AC35">
            <v>0.2084021113628885</v>
          </cell>
          <cell r="AD35">
            <v>0.20325054995947664</v>
          </cell>
          <cell r="AE35">
            <v>0.20575268777368605</v>
          </cell>
          <cell r="AF35">
            <v>0.20330240837131514</v>
          </cell>
          <cell r="AH35">
            <v>0.17987144497151655</v>
          </cell>
          <cell r="AI35">
            <v>0.1920031739773779</v>
          </cell>
          <cell r="AJ35">
            <v>0.1891886826300809</v>
          </cell>
          <cell r="AK35">
            <v>0.17974132117039937</v>
          </cell>
          <cell r="AL35">
            <v>0.1852406478072641</v>
          </cell>
          <cell r="AN35">
            <v>0.19466542978572587</v>
          </cell>
          <cell r="AO35">
            <v>0.21067991424334875</v>
          </cell>
          <cell r="AP35">
            <v>0.19600096240296827</v>
          </cell>
          <cell r="AQ35">
            <v>0.19293077706383474</v>
          </cell>
          <cell r="AR35">
            <v>0.19871801584431878</v>
          </cell>
          <cell r="AT35">
            <v>0.19420648008580882</v>
          </cell>
          <cell r="AU35">
            <v>0.20925844174954783</v>
          </cell>
          <cell r="AV35">
            <v>0.19599310177575383</v>
          </cell>
          <cell r="AW35">
            <v>0.20285449710032644</v>
          </cell>
          <cell r="AX35">
            <v>0.20079026363550945</v>
          </cell>
          <cell r="AZ35">
            <v>0.20401291289838966</v>
          </cell>
          <cell r="BA35">
            <v>0.21136809571580312</v>
          </cell>
          <cell r="BB35">
            <v>0.19629353590411161</v>
          </cell>
          <cell r="BC35">
            <v>0.20524034241325465</v>
          </cell>
          <cell r="BD35">
            <v>0.20443626989583136</v>
          </cell>
          <cell r="BF35">
            <v>0.20631540965354747</v>
          </cell>
          <cell r="BG35">
            <v>0.20643646389975834</v>
          </cell>
          <cell r="BH35">
            <v>0.20132848210458412</v>
          </cell>
          <cell r="BI35">
            <v>0.20915480650785134</v>
          </cell>
          <cell r="BJ35">
            <v>0.20588884493276793</v>
          </cell>
          <cell r="BL35">
            <v>0.20891476587709248</v>
          </cell>
          <cell r="BM35">
            <v>0.21093362133399313</v>
          </cell>
          <cell r="BN35">
            <v>0.20787017738580515</v>
          </cell>
          <cell r="BO35">
            <v>0.20961031779140973</v>
          </cell>
          <cell r="BP35">
            <v>0.20937817323506774</v>
          </cell>
          <cell r="BR35">
            <v>0.21400041785687227</v>
          </cell>
          <cell r="BS35">
            <v>0.21594114098166042</v>
          </cell>
          <cell r="BT35">
            <v>0.21290383825707429</v>
          </cell>
          <cell r="BU35">
            <v>0.21457822589768272</v>
          </cell>
          <cell r="BV35">
            <v>0.21440066572423147</v>
          </cell>
          <cell r="BX35">
            <v>0.21888843999688981</v>
          </cell>
          <cell r="BY35">
            <v>0.2207712332509626</v>
          </cell>
          <cell r="BZ35">
            <v>0.21774391119121886</v>
          </cell>
          <cell r="CA35">
            <v>0.21936970937666653</v>
          </cell>
          <cell r="CB35">
            <v>0.21923725873699629</v>
          </cell>
          <cell r="CD35">
            <v>0.22364150963325732</v>
          </cell>
          <cell r="CE35">
            <v>0.22548090411478988</v>
          </cell>
          <cell r="CF35">
            <v>0.22245340347254469</v>
          </cell>
          <cell r="CG35">
            <v>0.22404293208506484</v>
          </cell>
          <cell r="CH35">
            <v>0.22394805330421946</v>
          </cell>
          <cell r="CJ35">
            <v>0.22828002423798807</v>
          </cell>
          <cell r="CK35">
            <v>0.23008822563480566</v>
          </cell>
          <cell r="CL35">
            <v>0.22705176898609783</v>
          </cell>
          <cell r="CM35">
            <v>0.2286153805950881</v>
          </cell>
          <cell r="CN35">
            <v>0.22855186260044325</v>
          </cell>
          <cell r="CP35">
            <v>0.23282066353528283</v>
          </cell>
          <cell r="CQ35">
            <v>0.2346079702618627</v>
          </cell>
          <cell r="CR35">
            <v>0.23155490335303641</v>
          </cell>
          <cell r="CS35">
            <v>0.23310133713235592</v>
          </cell>
          <cell r="CT35">
            <v>0.23306406194324236</v>
          </cell>
          <cell r="CV35">
            <v>0.23727704471053365</v>
          </cell>
          <cell r="CW35">
            <v>0.23905219202539432</v>
          </cell>
          <cell r="CX35">
            <v>0.23597577031461811</v>
          </cell>
          <cell r="CY35">
            <v>0.23751244331970087</v>
          </cell>
          <cell r="CZ35">
            <v>0.23749719416542436</v>
          </cell>
          <cell r="DB35">
            <v>0.24166025941653621</v>
          </cell>
          <cell r="DC35">
            <v>0.24343070285889837</v>
          </cell>
          <cell r="DD35">
            <v>0.24032491508148546</v>
          </cell>
          <cell r="DE35">
            <v>0.24185816217480255</v>
          </cell>
          <cell r="DF35">
            <v>0.24186146575244621</v>
          </cell>
          <cell r="DH35">
            <v>0.24597931401269224</v>
          </cell>
          <cell r="DI35">
            <v>0.24775146307676268</v>
          </cell>
          <cell r="DJ35">
            <v>0.24461088514341739</v>
          </cell>
          <cell r="DK35">
            <v>0.24614615680842994</v>
          </cell>
          <cell r="DL35">
            <v>0.24616515355209875</v>
          </cell>
        </row>
        <row r="36">
          <cell r="BD36">
            <v>0.19653196945044851</v>
          </cell>
        </row>
        <row r="37">
          <cell r="BD37">
            <v>0.27920759966103392</v>
          </cell>
        </row>
        <row r="38">
          <cell r="BD38">
            <v>0.14165875000353315</v>
          </cell>
        </row>
        <row r="39">
          <cell r="BD39">
            <v>0.1407271351055488</v>
          </cell>
        </row>
        <row r="41">
          <cell r="BD41">
            <v>0.12723925143993919</v>
          </cell>
        </row>
        <row r="42">
          <cell r="BD42">
            <v>0.11505514970443409</v>
          </cell>
        </row>
        <row r="43">
          <cell r="BD43">
            <v>0.13859671383739025</v>
          </cell>
        </row>
        <row r="44">
          <cell r="BD44">
            <v>0.13691248920783172</v>
          </cell>
        </row>
        <row r="45">
          <cell r="BD45">
            <v>0.14126481098812604</v>
          </cell>
        </row>
        <row r="46">
          <cell r="BD46">
            <v>9.6505108542397577E-2</v>
          </cell>
        </row>
        <row r="47">
          <cell r="BD47">
            <v>0.1477079798195744</v>
          </cell>
        </row>
        <row r="48">
          <cell r="BD48">
            <v>9.3624474011959391E-2</v>
          </cell>
        </row>
        <row r="49">
          <cell r="BD49">
            <v>0.13325540882584197</v>
          </cell>
        </row>
        <row r="50">
          <cell r="BD50">
            <v>0.14825304929008198</v>
          </cell>
        </row>
        <row r="51">
          <cell r="BD51">
            <v>0.12051801795493677</v>
          </cell>
        </row>
      </sheetData>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S"/>
      <sheetName val="Rev"/>
      <sheetName val="CA_Covid19_Lab_Workup"/>
      <sheetName val="BS"/>
      <sheetName val="CF"/>
      <sheetName val="Valuation"/>
      <sheetName val="Other Accts"/>
      <sheetName val="ROIC"/>
      <sheetName val="ROIC terminal"/>
      <sheetName val="ROIC Calc"/>
      <sheetName val="ROIC His Data"/>
      <sheetName val="QtrComp"/>
      <sheetName val="OXFD"/>
      <sheetName val="EUROIMMUN"/>
      <sheetName val="MedImaging"/>
      <sheetName val="BM Database Upload V3"/>
      <sheetName val="Short Cash Flow"/>
      <sheetName val="CALP"/>
      <sheetName val="Pension"/>
      <sheetName val="ESO"/>
      <sheetName val="CCC-LTM"/>
      <sheetName val="IDS_Scenarios"/>
      <sheetName val="Graphs"/>
      <sheetName val="Std Graphs"/>
      <sheetName val="BioLegend"/>
      <sheetName val="BioLegend_Table"/>
      <sheetName val="__FDSCACHE__"/>
      <sheetName val="Rev_Old"/>
      <sheetName val="BM Upload2"/>
      <sheetName val="Divestiture"/>
    </sheetNames>
    <sheetDataSet>
      <sheetData sheetId="0"/>
      <sheetData sheetId="1">
        <row r="9">
          <cell r="BJ9">
            <v>1550.7660000000001</v>
          </cell>
        </row>
      </sheetData>
      <sheetData sheetId="2">
        <row r="9">
          <cell r="CM9">
            <v>335.13757999999996</v>
          </cell>
        </row>
      </sheetData>
      <sheetData sheetId="3"/>
      <sheetData sheetId="4">
        <row r="10">
          <cell r="CG10">
            <v>173.24199999999999</v>
          </cell>
        </row>
      </sheetData>
      <sheetData sheetId="5">
        <row r="11">
          <cell r="CB11">
            <v>21.030999999999999</v>
          </cell>
        </row>
      </sheetData>
      <sheetData sheetId="6">
        <row r="11">
          <cell r="L11">
            <v>2011.1289999999999</v>
          </cell>
        </row>
      </sheetData>
      <sheetData sheetId="7">
        <row r="49">
          <cell r="CB49">
            <v>42.408000000000001</v>
          </cell>
        </row>
      </sheetData>
      <sheetData sheetId="8"/>
      <sheetData sheetId="9"/>
      <sheetData sheetId="10">
        <row r="183">
          <cell r="AB183">
            <v>6.3006793014385679E-2</v>
          </cell>
        </row>
      </sheetData>
      <sheetData sheetId="11"/>
      <sheetData sheetId="12"/>
      <sheetData sheetId="13"/>
      <sheetData sheetId="14"/>
      <sheetData sheetId="15"/>
      <sheetData sheetId="16"/>
      <sheetData sheetId="17"/>
      <sheetData sheetId="18">
        <row r="37">
          <cell r="G37">
            <v>599.01</v>
          </cell>
        </row>
      </sheetData>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nks in CausticSoda.xls"/>
      <sheetName val="Links in NCX.xls"/>
      <sheetName val="Links in Acetone.xls"/>
    </sheet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XONMOBIL"/>
      <sheetName val="CashFlow"/>
      <sheetName val="BalanceSheet"/>
      <sheetName val="E&amp;P"/>
      <sheetName val="UpstreamTable"/>
      <sheetName val="Sheet1"/>
      <sheetName val="E&amp;P_Quarters"/>
      <sheetName val="Consolidated"/>
      <sheetName val="Historical"/>
      <sheetName val="Graphs"/>
      <sheetName val="iQ_US_CoreIndustrials"/>
      <sheetName val="Exxon"/>
      <sheetName val="iQ_Measure_Validations_Errors"/>
      <sheetName val="E_P"/>
    </sheetNames>
    <sheetDataSet>
      <sheetData sheetId="0" refreshError="1">
        <row r="9">
          <cell r="BI9">
            <v>5009.971400124401</v>
          </cell>
        </row>
        <row r="10">
          <cell r="BI10">
            <v>11972.100202902471</v>
          </cell>
        </row>
        <row r="11">
          <cell r="BI11">
            <v>645</v>
          </cell>
        </row>
      </sheetData>
      <sheetData sheetId="1" refreshError="1"/>
      <sheetData sheetId="2" refreshError="1">
        <row r="76">
          <cell r="A76" t="str">
            <v>Capital Expenditures</v>
          </cell>
          <cell r="E76">
            <v>12707</v>
          </cell>
          <cell r="F76">
            <v>14175.2</v>
          </cell>
          <cell r="G76">
            <v>13576.5</v>
          </cell>
          <cell r="H76">
            <v>12227.6</v>
          </cell>
          <cell r="I76">
            <v>11752</v>
          </cell>
          <cell r="J76">
            <v>13488</v>
          </cell>
          <cell r="K76">
            <v>16245</v>
          </cell>
          <cell r="L76">
            <v>14117</v>
          </cell>
          <cell r="M76">
            <v>15535</v>
          </cell>
          <cell r="N76">
            <v>13307</v>
          </cell>
          <cell r="O76">
            <v>11168</v>
          </cell>
          <cell r="P76">
            <v>12311</v>
          </cell>
          <cell r="Q76">
            <v>13955</v>
          </cell>
          <cell r="R76">
            <v>15525</v>
          </cell>
          <cell r="S76">
            <v>14885</v>
          </cell>
          <cell r="T76">
            <v>17000</v>
          </cell>
          <cell r="U76">
            <v>17500</v>
          </cell>
          <cell r="V76">
            <v>18000</v>
          </cell>
          <cell r="W76">
            <v>18000</v>
          </cell>
        </row>
        <row r="77">
          <cell r="A77" t="str">
            <v>Exploration and production</v>
          </cell>
          <cell r="E77">
            <v>7003</v>
          </cell>
          <cell r="F77">
            <v>8054.6</v>
          </cell>
          <cell r="G77">
            <v>7402.25</v>
          </cell>
          <cell r="H77">
            <v>6740.3</v>
          </cell>
          <cell r="I77">
            <v>6255</v>
          </cell>
          <cell r="J77">
            <v>7626</v>
          </cell>
          <cell r="K77">
            <v>9895</v>
          </cell>
          <cell r="L77">
            <v>8992</v>
          </cell>
          <cell r="M77">
            <v>9990</v>
          </cell>
          <cell r="N77">
            <v>8390</v>
          </cell>
          <cell r="O77">
            <v>6899</v>
          </cell>
          <cell r="P77">
            <v>8763</v>
          </cell>
          <cell r="Q77">
            <v>10394</v>
          </cell>
          <cell r="R77">
            <v>11988</v>
          </cell>
          <cell r="S77">
            <v>11715</v>
          </cell>
          <cell r="T77">
            <v>13250</v>
          </cell>
          <cell r="U77">
            <v>13000</v>
          </cell>
          <cell r="V77">
            <v>13500</v>
          </cell>
          <cell r="W77">
            <v>13500</v>
          </cell>
          <cell r="X77">
            <v>13500</v>
          </cell>
          <cell r="Y77">
            <v>13500</v>
          </cell>
        </row>
        <row r="80">
          <cell r="A80" t="str">
            <v>Refining and Marketing</v>
          </cell>
          <cell r="E80">
            <v>3127</v>
          </cell>
          <cell r="F80">
            <v>4073.6</v>
          </cell>
          <cell r="G80">
            <v>4340.25</v>
          </cell>
          <cell r="H80">
            <v>3714.3</v>
          </cell>
          <cell r="I80">
            <v>3548</v>
          </cell>
          <cell r="J80">
            <v>3445</v>
          </cell>
          <cell r="K80">
            <v>3689</v>
          </cell>
          <cell r="L80">
            <v>3255</v>
          </cell>
          <cell r="M80">
            <v>3008</v>
          </cell>
          <cell r="N80">
            <v>2401</v>
          </cell>
          <cell r="O80">
            <v>2618</v>
          </cell>
          <cell r="P80">
            <v>2322</v>
          </cell>
          <cell r="Q80">
            <v>2450</v>
          </cell>
          <cell r="R80">
            <v>2781</v>
          </cell>
          <cell r="S80">
            <v>2405</v>
          </cell>
          <cell r="T80">
            <v>2500</v>
          </cell>
          <cell r="U80">
            <v>2500</v>
          </cell>
          <cell r="V80">
            <v>2500</v>
          </cell>
          <cell r="W80">
            <v>2500</v>
          </cell>
        </row>
        <row r="83">
          <cell r="A83" t="str">
            <v>Chemicals</v>
          </cell>
          <cell r="E83">
            <v>1507</v>
          </cell>
          <cell r="F83">
            <v>994</v>
          </cell>
          <cell r="G83">
            <v>1032</v>
          </cell>
          <cell r="H83">
            <v>892</v>
          </cell>
          <cell r="I83">
            <v>810</v>
          </cell>
          <cell r="J83">
            <v>1307</v>
          </cell>
          <cell r="K83">
            <v>1961</v>
          </cell>
          <cell r="L83">
            <v>1372</v>
          </cell>
          <cell r="M83">
            <v>2110</v>
          </cell>
          <cell r="N83">
            <v>2243</v>
          </cell>
          <cell r="O83">
            <v>1468</v>
          </cell>
          <cell r="P83">
            <v>872</v>
          </cell>
          <cell r="Q83">
            <v>954</v>
          </cell>
          <cell r="R83">
            <v>692</v>
          </cell>
          <cell r="S83">
            <v>690</v>
          </cell>
          <cell r="T83">
            <v>1250</v>
          </cell>
          <cell r="U83">
            <v>2000</v>
          </cell>
          <cell r="V83">
            <v>2000</v>
          </cell>
          <cell r="W83">
            <v>2000</v>
          </cell>
        </row>
        <row r="86">
          <cell r="A86" t="str">
            <v>Other</v>
          </cell>
          <cell r="E86">
            <v>1070</v>
          </cell>
          <cell r="F86">
            <v>1053</v>
          </cell>
          <cell r="G86">
            <v>802</v>
          </cell>
          <cell r="H86">
            <v>881</v>
          </cell>
          <cell r="I86">
            <v>1139</v>
          </cell>
          <cell r="J86">
            <v>1110</v>
          </cell>
          <cell r="K86">
            <v>700</v>
          </cell>
          <cell r="L86">
            <v>498</v>
          </cell>
          <cell r="M86">
            <v>427</v>
          </cell>
          <cell r="N86">
            <v>273</v>
          </cell>
          <cell r="O86">
            <v>183</v>
          </cell>
          <cell r="P86">
            <v>354</v>
          </cell>
          <cell r="Q86">
            <v>157</v>
          </cell>
          <cell r="R86">
            <v>64</v>
          </cell>
          <cell r="S86">
            <v>75</v>
          </cell>
        </row>
        <row r="94">
          <cell r="S94">
            <v>2191.1333333333332</v>
          </cell>
          <cell r="T94">
            <v>2205.3911111111111</v>
          </cell>
          <cell r="U94">
            <v>2225.0317037037034</v>
          </cell>
          <cell r="V94">
            <v>2243.3629234567898</v>
          </cell>
          <cell r="W94">
            <v>2260.4720618930037</v>
          </cell>
        </row>
      </sheetData>
      <sheetData sheetId="3" refreshError="1">
        <row r="35">
          <cell r="I35">
            <v>1725</v>
          </cell>
        </row>
        <row r="36">
          <cell r="I36">
            <v>7671</v>
          </cell>
        </row>
        <row r="37">
          <cell r="I37">
            <v>3003.5</v>
          </cell>
        </row>
        <row r="377">
          <cell r="H377">
            <v>-1574</v>
          </cell>
        </row>
        <row r="413">
          <cell r="I413">
            <v>0.28745541960404714</v>
          </cell>
        </row>
        <row r="588">
          <cell r="I588">
            <v>-3641</v>
          </cell>
        </row>
        <row r="597">
          <cell r="I597">
            <v>287</v>
          </cell>
        </row>
        <row r="617">
          <cell r="I617">
            <v>0.25738226584671609</v>
          </cell>
        </row>
        <row r="655">
          <cell r="I655">
            <v>0.26530861924365956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K2-25"/>
      <sheetName val="MRK ex Medco"/>
      <sheetName val="Cozaar Gross PM Analysis"/>
      <sheetName val="New Drugs"/>
      <sheetName val="WACC"/>
      <sheetName val="DC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s"/>
      <sheetName val="Share Repurchase"/>
      <sheetName val="P&amp;L"/>
      <sheetName val="QTR"/>
      <sheetName val="SPMSD..."/>
      <sheetName val="Januvia-scenario"/>
      <sheetName val="SALES"/>
      <sheetName val="GUIDE08"/>
      <sheetName val="PIPE"/>
      <sheetName val="EVENTS"/>
      <sheetName val="ZETIA P&amp;L (2)"/>
      <sheetName val="Cholesterol Matrix"/>
      <sheetName val="Cholesterol Matrix (2)"/>
      <sheetName val="QTR SUM"/>
      <sheetName val="QTR PRES PAGE"/>
      <sheetName val="Total Sales Analysis"/>
      <sheetName val="GM"/>
      <sheetName val="AZLP P&amp;L"/>
      <sheetName val="BSCF"/>
      <sheetName val="DCF"/>
      <sheetName val="__FDSCACHE__"/>
      <sheetName val="WACC 1"/>
      <sheetName val="MEDICARE"/>
      <sheetName val="KEY"/>
      <sheetName val="ANN SUM"/>
      <sheetName val="GUIDE06"/>
      <sheetName val="Sheet1"/>
      <sheetName val="PR CTG"/>
      <sheetName val="Fig 1"/>
      <sheetName val="PRO KEY"/>
      <sheetName val="VAL ANALYSIS"/>
      <sheetName val="GUIDE"/>
      <sheetName val="Currency Analysis"/>
      <sheetName val="SPM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LENDERS&gt;&gt;"/>
      <sheetName val="Lender Summary"/>
      <sheetName val="EQUITY ANALYSTS&gt;&gt;"/>
      <sheetName val="Summary - Equity"/>
      <sheetName val="Revenue Build - Equity"/>
      <sheetName val="CleanCap &amp; COVID Detail"/>
      <sheetName val="Opex Detail - Equity"/>
      <sheetName val="OUTPUTS&gt;&gt;"/>
      <sheetName val="Summary Output"/>
      <sheetName val="BST"/>
      <sheetName val="PD"/>
      <sheetName val="NAP"/>
      <sheetName val="INTERNAL&gt;&gt;&gt;"/>
      <sheetName val="Control and S&amp;U"/>
      <sheetName val="LIBOR"/>
      <sheetName val="To-Dos &amp; Questions"/>
      <sheetName val="TTM Trends"/>
      <sheetName val="Sum $M"/>
      <sheetName val="Cash Flow Model"/>
      <sheetName val="TriLink Hedge (for Lender)"/>
      <sheetName val="Capex Summary"/>
      <sheetName val="Rolling TTM"/>
      <sheetName val="Summary"/>
      <sheetName val="Vector"/>
      <sheetName val="TriLink"/>
      <sheetName val="New TL Rev"/>
      <sheetName val="Glen"/>
      <sheetName val="Cygnus"/>
      <sheetName val="Corp"/>
      <sheetName val="PubCo"/>
      <sheetName val="PubCo Input"/>
      <sheetName val="2021 Labor"/>
      <sheetName val="Historical Pre Allocation"/>
      <sheetName val="Rev Feed"/>
      <sheetName val="TL Feed"/>
      <sheetName val="Glen Feed"/>
      <sheetName val="Cyg Feed"/>
      <sheetName val="Vect Feed"/>
      <sheetName val="Corp Feed"/>
      <sheetName val="D&amp;A Feed"/>
      <sheetName val="Amort Est"/>
      <sheetName val="Capex Feed"/>
      <sheetName val="CapEx 2018"/>
    </sheetNames>
    <sheetDataSet>
      <sheetData sheetId="0"/>
      <sheetData sheetId="1"/>
      <sheetData sheetId="2"/>
      <sheetData sheetId="3"/>
      <sheetData sheetId="4">
        <row r="2">
          <cell r="B2" t="str">
            <v>Maravai Life Sciences - Consolidated Financials</v>
          </cell>
        </row>
        <row r="3">
          <cell r="B3" t="str">
            <v>USD in millions</v>
          </cell>
        </row>
        <row r="5">
          <cell r="H5" t="str">
            <v>Historical Financials</v>
          </cell>
          <cell r="M5" t="str">
            <v>Forecast</v>
          </cell>
          <cell r="N5" t="str">
            <v>Projected Financials</v>
          </cell>
          <cell r="T5" t="str">
            <v>CAGR</v>
          </cell>
          <cell r="AA5" t="str">
            <v>Historical Financials</v>
          </cell>
          <cell r="AS5" t="str">
            <v>Forecast</v>
          </cell>
          <cell r="AU5" t="str">
            <v>Projection</v>
          </cell>
        </row>
        <row r="6">
          <cell r="T6">
            <v>42735</v>
          </cell>
          <cell r="U6">
            <v>43830</v>
          </cell>
        </row>
        <row r="7">
          <cell r="T7">
            <v>43830</v>
          </cell>
          <cell r="U7">
            <v>46022</v>
          </cell>
          <cell r="AA7">
            <v>2016</v>
          </cell>
          <cell r="AB7">
            <v>2016</v>
          </cell>
          <cell r="AC7">
            <v>2016</v>
          </cell>
          <cell r="AD7">
            <v>2016</v>
          </cell>
          <cell r="AE7">
            <v>2017</v>
          </cell>
          <cell r="AF7">
            <v>2017</v>
          </cell>
          <cell r="AG7">
            <v>2017</v>
          </cell>
          <cell r="AH7">
            <v>2017</v>
          </cell>
          <cell r="AI7">
            <v>2018</v>
          </cell>
          <cell r="AJ7">
            <v>2018</v>
          </cell>
          <cell r="AK7">
            <v>2018</v>
          </cell>
          <cell r="AL7">
            <v>2018</v>
          </cell>
          <cell r="AM7">
            <v>2019</v>
          </cell>
          <cell r="AN7">
            <v>2019</v>
          </cell>
          <cell r="AO7">
            <v>2019</v>
          </cell>
          <cell r="AP7">
            <v>2019</v>
          </cell>
          <cell r="AQ7">
            <v>2020</v>
          </cell>
          <cell r="AR7">
            <v>2020</v>
          </cell>
          <cell r="AS7">
            <v>2020</v>
          </cell>
          <cell r="AT7">
            <v>2020</v>
          </cell>
          <cell r="AU7">
            <v>2021</v>
          </cell>
          <cell r="AV7">
            <v>2021</v>
          </cell>
          <cell r="AW7">
            <v>2021</v>
          </cell>
          <cell r="AX7">
            <v>2021</v>
          </cell>
        </row>
        <row r="8">
          <cell r="H8">
            <v>42369</v>
          </cell>
          <cell r="I8">
            <v>42735</v>
          </cell>
          <cell r="J8">
            <v>43100</v>
          </cell>
          <cell r="K8">
            <v>43465</v>
          </cell>
          <cell r="L8">
            <v>43830</v>
          </cell>
          <cell r="M8">
            <v>44196</v>
          </cell>
          <cell r="N8">
            <v>44561</v>
          </cell>
          <cell r="O8">
            <v>44926</v>
          </cell>
          <cell r="P8">
            <v>45291</v>
          </cell>
          <cell r="Q8">
            <v>45657</v>
          </cell>
          <cell r="R8">
            <v>46022</v>
          </cell>
          <cell r="T8" t="str">
            <v>'16-'19</v>
          </cell>
          <cell r="U8" t="str">
            <v>'19-'25</v>
          </cell>
          <cell r="AA8">
            <v>42460</v>
          </cell>
          <cell r="AB8">
            <v>42551</v>
          </cell>
          <cell r="AC8">
            <v>42643</v>
          </cell>
          <cell r="AD8">
            <v>42735</v>
          </cell>
          <cell r="AE8">
            <v>42825</v>
          </cell>
          <cell r="AF8">
            <v>42916</v>
          </cell>
          <cell r="AG8">
            <v>43008</v>
          </cell>
          <cell r="AH8">
            <v>43100</v>
          </cell>
          <cell r="AI8">
            <v>43190</v>
          </cell>
          <cell r="AJ8">
            <v>43281</v>
          </cell>
          <cell r="AK8">
            <v>43373</v>
          </cell>
          <cell r="AL8">
            <v>43465</v>
          </cell>
          <cell r="AM8">
            <v>43555</v>
          </cell>
          <cell r="AN8">
            <v>43646</v>
          </cell>
          <cell r="AO8">
            <v>43738</v>
          </cell>
          <cell r="AP8">
            <v>43830</v>
          </cell>
          <cell r="AQ8">
            <v>43921</v>
          </cell>
          <cell r="AR8">
            <v>44012</v>
          </cell>
          <cell r="AS8">
            <v>44104</v>
          </cell>
          <cell r="AT8">
            <v>44196</v>
          </cell>
          <cell r="AU8">
            <v>44286</v>
          </cell>
          <cell r="AV8">
            <v>44377</v>
          </cell>
          <cell r="AW8">
            <v>44469</v>
          </cell>
          <cell r="AX8">
            <v>44561</v>
          </cell>
        </row>
        <row r="10">
          <cell r="B10" t="str">
            <v>Revenue</v>
          </cell>
        </row>
        <row r="11">
          <cell r="B11" t="str">
            <v>Nucleic Acid Production</v>
          </cell>
          <cell r="H11">
            <v>31.219819659999999</v>
          </cell>
          <cell r="I11">
            <v>37.020502639999997</v>
          </cell>
          <cell r="J11">
            <v>47.770966819999998</v>
          </cell>
          <cell r="K11">
            <v>60.057554490000001</v>
          </cell>
          <cell r="L11">
            <v>72.917405970000004</v>
          </cell>
          <cell r="M11">
            <v>191.52033904000001</v>
          </cell>
          <cell r="N11">
            <v>352.33022699999998</v>
          </cell>
          <cell r="O11">
            <v>368.96323845109401</v>
          </cell>
          <cell r="P11">
            <v>419.72680049106702</v>
          </cell>
          <cell r="Q11">
            <v>472.06899246142598</v>
          </cell>
          <cell r="R11">
            <v>534.38048315275705</v>
          </cell>
          <cell r="T11">
            <v>0.25351528239240301</v>
          </cell>
          <cell r="U11">
            <v>0.39370191357782902</v>
          </cell>
          <cell r="W11">
            <v>0.23623263732167801</v>
          </cell>
          <cell r="X11">
            <v>0.10975004463398901</v>
          </cell>
          <cell r="AI11">
            <v>15.62916504</v>
          </cell>
          <cell r="AJ11">
            <v>13.12031721</v>
          </cell>
          <cell r="AK11">
            <v>15.07184204</v>
          </cell>
          <cell r="AL11">
            <v>16.236230200000001</v>
          </cell>
          <cell r="AM11">
            <v>15.892023650000001</v>
          </cell>
          <cell r="AN11">
            <v>18.153348879999999</v>
          </cell>
          <cell r="AO11">
            <v>21.13825782</v>
          </cell>
          <cell r="AP11">
            <v>17.733775619999999</v>
          </cell>
          <cell r="AQ11">
            <v>30.489550860000001</v>
          </cell>
          <cell r="AR11">
            <v>30.423821180000001</v>
          </cell>
          <cell r="AS11">
            <v>61.898372000000002</v>
          </cell>
          <cell r="AT11">
            <v>68.708595000000003</v>
          </cell>
          <cell r="AU11">
            <v>94.158206000000007</v>
          </cell>
          <cell r="AV11">
            <v>98.819699999999997</v>
          </cell>
          <cell r="AW11">
            <v>82.702416999999997</v>
          </cell>
          <cell r="AX11">
            <v>76.649904000000006</v>
          </cell>
        </row>
        <row r="12">
          <cell r="B12" t="str">
            <v>YoY growth</v>
          </cell>
          <cell r="I12">
            <v>0.18580129684195601</v>
          </cell>
          <cell r="J12">
            <v>0.29039217226576203</v>
          </cell>
          <cell r="K12">
            <v>0.257197802093804</v>
          </cell>
          <cell r="L12">
            <v>0.214125459972587</v>
          </cell>
          <cell r="M12">
            <v>1.6265380191774299</v>
          </cell>
          <cell r="N12">
            <v>0.83964913996113</v>
          </cell>
          <cell r="O12">
            <v>4.7208584948045702E-2</v>
          </cell>
          <cell r="P12">
            <v>0.13758433564568301</v>
          </cell>
          <cell r="Q12">
            <v>0.124705384333619</v>
          </cell>
          <cell r="R12">
            <v>0.13199657610730001</v>
          </cell>
        </row>
        <row r="14">
          <cell r="B14" t="str">
            <v>Biologics Safety Testings</v>
          </cell>
          <cell r="H14">
            <v>20.882378970000001</v>
          </cell>
          <cell r="I14">
            <v>23.962073060000002</v>
          </cell>
          <cell r="J14">
            <v>31.45943407</v>
          </cell>
          <cell r="K14">
            <v>38.49153364</v>
          </cell>
          <cell r="L14">
            <v>44.314403480000003</v>
          </cell>
          <cell r="M14">
            <v>51.657844709999999</v>
          </cell>
          <cell r="N14">
            <v>57.10867911623</v>
          </cell>
          <cell r="O14">
            <v>67.170613055099906</v>
          </cell>
          <cell r="P14">
            <v>79.083386620344399</v>
          </cell>
          <cell r="Q14">
            <v>88.211758308533405</v>
          </cell>
          <cell r="R14">
            <v>98.315192374331602</v>
          </cell>
          <cell r="T14">
            <v>0.227458562724417</v>
          </cell>
          <cell r="U14">
            <v>0.14203466778730001</v>
          </cell>
          <cell r="AA14">
            <v>5.5032878900000002</v>
          </cell>
          <cell r="AB14">
            <v>6.3173253999999996</v>
          </cell>
          <cell r="AC14">
            <v>6.1278517099999998</v>
          </cell>
          <cell r="AD14">
            <v>6.0136080600000001</v>
          </cell>
          <cell r="AE14">
            <v>7.2473051000000002</v>
          </cell>
          <cell r="AF14">
            <v>7.95457357</v>
          </cell>
          <cell r="AG14">
            <v>8.1487386500000003</v>
          </cell>
          <cell r="AH14">
            <v>8.1088167500000008</v>
          </cell>
          <cell r="AI14">
            <v>9.8897268199999999</v>
          </cell>
          <cell r="AJ14">
            <v>9.2239215199999993</v>
          </cell>
          <cell r="AK14">
            <v>9.0894715399999999</v>
          </cell>
          <cell r="AL14">
            <v>10.288413759999999</v>
          </cell>
          <cell r="AM14">
            <v>10.74849395</v>
          </cell>
          <cell r="AN14">
            <v>10.801714219999999</v>
          </cell>
          <cell r="AO14">
            <v>11.167056540000001</v>
          </cell>
          <cell r="AP14">
            <v>11.597138770000001</v>
          </cell>
          <cell r="AQ14">
            <v>14.29358277</v>
          </cell>
          <cell r="AR14">
            <v>12.36009194</v>
          </cell>
          <cell r="AS14">
            <v>13.219697999999999</v>
          </cell>
          <cell r="AT14">
            <v>11.784471999999999</v>
          </cell>
          <cell r="AU14">
            <v>15.643709572100001</v>
          </cell>
          <cell r="AV14">
            <v>13.67871515013</v>
          </cell>
          <cell r="AW14">
            <v>14.013721514</v>
          </cell>
          <cell r="AX14">
            <v>13.77253288</v>
          </cell>
        </row>
        <row r="15">
          <cell r="B15" t="str">
            <v>YoY growth</v>
          </cell>
          <cell r="I15">
            <v>0.147478124710999</v>
          </cell>
          <cell r="J15">
            <v>0.31288449005338198</v>
          </cell>
          <cell r="K15">
            <v>0.223529118621554</v>
          </cell>
          <cell r="L15">
            <v>0.15127663902560001</v>
          </cell>
          <cell r="M15">
            <v>0.16571228885692299</v>
          </cell>
          <cell r="N15">
            <v>0.105518037711992</v>
          </cell>
          <cell r="O15">
            <v>0.17618922543089199</v>
          </cell>
          <cell r="P15">
            <v>0.177350972745662</v>
          </cell>
          <cell r="Q15">
            <v>0.115427172232919</v>
          </cell>
          <cell r="R15">
            <v>0.11453613735325301</v>
          </cell>
        </row>
        <row r="17">
          <cell r="B17" t="str">
            <v>Protein Detection</v>
          </cell>
          <cell r="H17">
            <v>23.463968000000001</v>
          </cell>
          <cell r="I17">
            <v>23.545636287249899</v>
          </cell>
          <cell r="J17">
            <v>24.526629657756601</v>
          </cell>
          <cell r="K17">
            <v>25.284370997403499</v>
          </cell>
          <cell r="L17">
            <v>26.122393368205699</v>
          </cell>
          <cell r="M17">
            <v>22.720575120571599</v>
          </cell>
          <cell r="N17">
            <v>27.911263000000002</v>
          </cell>
          <cell r="O17">
            <v>29.864488139999999</v>
          </cell>
          <cell r="P17">
            <v>31.647197651999999</v>
          </cell>
          <cell r="Q17">
            <v>33.255039871957997</v>
          </cell>
          <cell r="R17">
            <v>34.949871318116401</v>
          </cell>
          <cell r="T17">
            <v>3.5223633195289102E-2</v>
          </cell>
          <cell r="U17">
            <v>4.9716690800816497E-2</v>
          </cell>
          <cell r="AA17">
            <v>6.1762283106792299</v>
          </cell>
          <cell r="AB17">
            <v>5.9834144503990503</v>
          </cell>
          <cell r="AC17">
            <v>5.8507821390838997</v>
          </cell>
          <cell r="AD17">
            <v>5.5352113870877</v>
          </cell>
          <cell r="AE17">
            <v>6.5491895514764504</v>
          </cell>
          <cell r="AF17">
            <v>6.2526188201924304</v>
          </cell>
          <cell r="AG17">
            <v>6.3108299988540697</v>
          </cell>
          <cell r="AH17">
            <v>5.4139912872336797</v>
          </cell>
          <cell r="AI17">
            <v>6.6462148019844696</v>
          </cell>
          <cell r="AJ17">
            <v>6.6199728471978903</v>
          </cell>
          <cell r="AK17">
            <v>6.1007884266527999</v>
          </cell>
          <cell r="AL17">
            <v>5.9173949215683299</v>
          </cell>
          <cell r="AM17">
            <v>6.6498590178587103</v>
          </cell>
          <cell r="AN17">
            <v>6.7890518792060899</v>
          </cell>
          <cell r="AO17">
            <v>6.0550580383848196</v>
          </cell>
          <cell r="AP17">
            <v>6.6284244327560398</v>
          </cell>
          <cell r="AQ17">
            <v>6.1979185277550801</v>
          </cell>
          <cell r="AR17">
            <v>4.1167645928164696</v>
          </cell>
          <cell r="AS17">
            <v>5.8364240000000001</v>
          </cell>
          <cell r="AT17">
            <v>6.5694679999999996</v>
          </cell>
          <cell r="AU17">
            <v>6.9660549999999999</v>
          </cell>
          <cell r="AV17">
            <v>7.1513200000000001</v>
          </cell>
          <cell r="AW17">
            <v>6.7539619999999996</v>
          </cell>
          <cell r="AX17">
            <v>7.0399260000000004</v>
          </cell>
        </row>
        <row r="18">
          <cell r="B18" t="str">
            <v>YoY growth</v>
          </cell>
          <cell r="I18">
            <v>3.4805829623483198E-3</v>
          </cell>
          <cell r="J18">
            <v>4.1663489511980498E-2</v>
          </cell>
          <cell r="K18">
            <v>3.08946377965644E-2</v>
          </cell>
          <cell r="L18">
            <v>3.3143888407911402E-2</v>
          </cell>
          <cell r="M18">
            <v>-0.130226132027189</v>
          </cell>
          <cell r="N18">
            <v>0.22845759193519299</v>
          </cell>
          <cell r="O18">
            <v>6.9979819257910594E-2</v>
          </cell>
          <cell r="P18">
            <v>5.96932886859785E-2</v>
          </cell>
          <cell r="Q18">
            <v>5.0805200436329703E-2</v>
          </cell>
          <cell r="R18">
            <v>5.0964649348912199E-2</v>
          </cell>
        </row>
        <row r="20">
          <cell r="B20" t="str">
            <v>Total Revenue</v>
          </cell>
          <cell r="H20">
            <v>75.566166629999998</v>
          </cell>
          <cell r="I20">
            <v>84.528211987249904</v>
          </cell>
          <cell r="J20">
            <v>103.757030547757</v>
          </cell>
          <cell r="K20">
            <v>123.833459127404</v>
          </cell>
          <cell r="L20">
            <v>143.35420281820601</v>
          </cell>
          <cell r="M20">
            <v>265.89875887057201</v>
          </cell>
          <cell r="N20">
            <v>437.35016911623001</v>
          </cell>
          <cell r="O20">
            <v>465.99833964619398</v>
          </cell>
          <cell r="P20">
            <v>530.45738476341103</v>
          </cell>
          <cell r="Q20">
            <v>593.53579064191695</v>
          </cell>
          <cell r="R20">
            <v>667.64554684520499</v>
          </cell>
          <cell r="T20">
            <v>0.192530739398798</v>
          </cell>
          <cell r="U20">
            <v>0.29227791143107401</v>
          </cell>
          <cell r="W20">
            <v>0.20217011981435301</v>
          </cell>
          <cell r="X20">
            <v>0.111550413218912</v>
          </cell>
          <cell r="AI20">
            <v>32.165106661984503</v>
          </cell>
          <cell r="AJ20">
            <v>28.964211577197901</v>
          </cell>
          <cell r="AK20">
            <v>30.2621020066528</v>
          </cell>
          <cell r="AL20">
            <v>32.442038881568301</v>
          </cell>
          <cell r="AM20">
            <v>33.290376617858698</v>
          </cell>
          <cell r="AN20">
            <v>35.744114979206103</v>
          </cell>
          <cell r="AO20">
            <v>38.360372398384797</v>
          </cell>
          <cell r="AP20">
            <v>35.959338822756003</v>
          </cell>
          <cell r="AQ20">
            <v>50.981052157755101</v>
          </cell>
          <cell r="AR20">
            <v>46.900677712816503</v>
          </cell>
          <cell r="AS20">
            <v>80.954493999999997</v>
          </cell>
          <cell r="AT20">
            <v>87.062534999999997</v>
          </cell>
          <cell r="AU20">
            <v>116.7679705721</v>
          </cell>
          <cell r="AV20">
            <v>119.64973515013</v>
          </cell>
          <cell r="AW20">
            <v>103.47010051399999</v>
          </cell>
          <cell r="AX20">
            <v>97.462362880000001</v>
          </cell>
        </row>
        <row r="21">
          <cell r="B21" t="str">
            <v>YoY growth</v>
          </cell>
          <cell r="I21">
            <v>0.1185986501225</v>
          </cell>
          <cell r="J21">
            <v>0.227484032945204</v>
          </cell>
          <cell r="K21">
            <v>0.19349463331457101</v>
          </cell>
          <cell r="L21">
            <v>0.157637070209907</v>
          </cell>
          <cell r="M21">
            <v>0.85483755371839798</v>
          </cell>
          <cell r="N21">
            <v>0.64479958828658501</v>
          </cell>
          <cell r="O21">
            <v>6.5503965821835694E-2</v>
          </cell>
          <cell r="P21">
            <v>0.13832462400221801</v>
          </cell>
          <cell r="Q21">
            <v>0.11891323919760199</v>
          </cell>
          <cell r="R21">
            <v>0.12486147823223399</v>
          </cell>
        </row>
        <row r="23">
          <cell r="B23" t="str">
            <v>Cost of Sales</v>
          </cell>
        </row>
        <row r="24">
          <cell r="B24" t="str">
            <v>Nucleic Acid Production</v>
          </cell>
          <cell r="I24">
            <v>21.873060639999999</v>
          </cell>
          <cell r="J24">
            <v>28.400039095441301</v>
          </cell>
          <cell r="K24">
            <v>32.87665226</v>
          </cell>
          <cell r="L24">
            <v>38.268112119999998</v>
          </cell>
          <cell r="M24">
            <v>69.180540890000003</v>
          </cell>
          <cell r="N24">
            <v>92.556418445148594</v>
          </cell>
          <cell r="O24">
            <v>95.639528459093995</v>
          </cell>
          <cell r="P24">
            <v>108.90747647604501</v>
          </cell>
          <cell r="Q24">
            <v>123.322116229662</v>
          </cell>
          <cell r="R24">
            <v>140.212269051791</v>
          </cell>
          <cell r="T24">
            <v>0.204968869223282</v>
          </cell>
          <cell r="U24">
            <v>0.241627996633485</v>
          </cell>
          <cell r="AI24">
            <v>7.3665883007200001</v>
          </cell>
          <cell r="AJ24">
            <v>7.11809064928</v>
          </cell>
          <cell r="AK24">
            <v>8.1800615499999996</v>
          </cell>
          <cell r="AL24">
            <v>10.21191176</v>
          </cell>
          <cell r="AM24">
            <v>8.1580788399999999</v>
          </cell>
          <cell r="AN24">
            <v>9.2002691500000005</v>
          </cell>
          <cell r="AO24">
            <v>10.248039260000001</v>
          </cell>
          <cell r="AP24">
            <v>10.66172487</v>
          </cell>
          <cell r="AQ24">
            <v>10.65507094</v>
          </cell>
          <cell r="AR24">
            <v>14.927569370000001</v>
          </cell>
          <cell r="AS24">
            <v>18.212568749999999</v>
          </cell>
          <cell r="AT24">
            <v>25.385331829999998</v>
          </cell>
          <cell r="AU24">
            <v>23.4435866066509</v>
          </cell>
          <cell r="AV24">
            <v>25.6727558266155</v>
          </cell>
          <cell r="AW24">
            <v>22.804199240748101</v>
          </cell>
          <cell r="AX24">
            <v>20.635876771134001</v>
          </cell>
        </row>
        <row r="25">
          <cell r="B25" t="str">
            <v>% of sales</v>
          </cell>
          <cell r="I25">
            <v>0.59083640361939704</v>
          </cell>
          <cell r="J25">
            <v>0.59450417242866505</v>
          </cell>
          <cell r="K25">
            <v>0.54741909721739002</v>
          </cell>
          <cell r="L25">
            <v>0.52481450225676496</v>
          </cell>
          <cell r="M25">
            <v>0.36121772359410498</v>
          </cell>
          <cell r="N25">
            <v>0.26269792187074698</v>
          </cell>
          <cell r="O25">
            <v>0.25921153787729201</v>
          </cell>
          <cell r="P25">
            <v>0.25947229566619801</v>
          </cell>
          <cell r="Q25">
            <v>0.261237484772395</v>
          </cell>
          <cell r="R25">
            <v>0.26238284045211002</v>
          </cell>
          <cell r="AI25">
            <v>0.47133601071244402</v>
          </cell>
          <cell r="AJ25">
            <v>0.54252428011837694</v>
          </cell>
          <cell r="AK25">
            <v>0.54273800961358798</v>
          </cell>
          <cell r="AL25">
            <v>0.62895830092381899</v>
          </cell>
          <cell r="AM25">
            <v>0.51334424234889697</v>
          </cell>
          <cell r="AN25">
            <v>0.50680836967421306</v>
          </cell>
          <cell r="AO25">
            <v>0.48481002300500903</v>
          </cell>
          <cell r="AP25">
            <v>0.60121009188679497</v>
          </cell>
          <cell r="AQ25">
            <v>0.34946631352246799</v>
          </cell>
          <cell r="AR25">
            <v>0.49065399384522701</v>
          </cell>
          <cell r="AS25">
            <v>0.29423340487856497</v>
          </cell>
          <cell r="AT25">
            <v>0.36946370144812302</v>
          </cell>
          <cell r="AU25">
            <v>0.248980812215676</v>
          </cell>
          <cell r="AV25">
            <v>0.259793905735552</v>
          </cell>
          <cell r="AW25">
            <v>0.27573800220068601</v>
          </cell>
          <cell r="AX25">
            <v>0.26922247379636599</v>
          </cell>
        </row>
        <row r="27">
          <cell r="B27" t="str">
            <v>Biologics Safety Testings</v>
          </cell>
          <cell r="I27">
            <v>1.2709915300000001</v>
          </cell>
          <cell r="J27">
            <v>2.9391262899999999</v>
          </cell>
          <cell r="K27">
            <v>4.09244758</v>
          </cell>
          <cell r="L27">
            <v>4.7207337899999997</v>
          </cell>
          <cell r="M27">
            <v>6.83167466</v>
          </cell>
          <cell r="N27">
            <v>6.0476591481620297</v>
          </cell>
          <cell r="O27">
            <v>7.1196626226959498</v>
          </cell>
          <cell r="P27">
            <v>8.3798961605683804</v>
          </cell>
          <cell r="Q27">
            <v>9.3468352563163108</v>
          </cell>
          <cell r="R27">
            <v>10.416985902938301</v>
          </cell>
          <cell r="T27">
            <v>0.54865834844717398</v>
          </cell>
          <cell r="U27">
            <v>0.14100818802599499</v>
          </cell>
          <cell r="AI27">
            <v>0.88805941999999904</v>
          </cell>
          <cell r="AJ27">
            <v>0.90704448000000004</v>
          </cell>
          <cell r="AK27">
            <v>0.95210123000000002</v>
          </cell>
          <cell r="AL27">
            <v>1.34524245</v>
          </cell>
          <cell r="AM27">
            <v>0.99973833999999895</v>
          </cell>
          <cell r="AN27">
            <v>1.06825595</v>
          </cell>
          <cell r="AO27">
            <v>1.3289140399999999</v>
          </cell>
          <cell r="AP27">
            <v>1.3238254599999999</v>
          </cell>
          <cell r="AQ27">
            <v>1.4759916200000001</v>
          </cell>
          <cell r="AR27">
            <v>1.66151213</v>
          </cell>
          <cell r="AS27">
            <v>1.9179121100000001</v>
          </cell>
          <cell r="AT27">
            <v>1.7762587999999999</v>
          </cell>
          <cell r="AU27">
            <v>1.4550518716209</v>
          </cell>
          <cell r="AV27">
            <v>1.35278239637426</v>
          </cell>
          <cell r="AW27">
            <v>1.6676759185285399</v>
          </cell>
          <cell r="AX27">
            <v>1.57214896163833</v>
          </cell>
        </row>
        <row r="28">
          <cell r="B28" t="str">
            <v>% of sales</v>
          </cell>
          <cell r="I28">
            <v>5.3041801801434099E-2</v>
          </cell>
          <cell r="J28">
            <v>9.3425911078380705E-2</v>
          </cell>
          <cell r="K28">
            <v>0.10632072024657301</v>
          </cell>
          <cell r="L28">
            <v>0.10652820345715699</v>
          </cell>
          <cell r="M28">
            <v>0.13224854227566199</v>
          </cell>
          <cell r="N28">
            <v>0.105897373950001</v>
          </cell>
          <cell r="O28">
            <v>0.10599371211419099</v>
          </cell>
          <cell r="P28">
            <v>0.10596278837675201</v>
          </cell>
          <cell r="Q28">
            <v>0.1059590630041</v>
          </cell>
          <cell r="R28">
            <v>0.105954996896878</v>
          </cell>
          <cell r="AI28">
            <v>8.9796152731345003E-2</v>
          </cell>
          <cell r="AJ28">
            <v>9.8336101194408193E-2</v>
          </cell>
          <cell r="AK28">
            <v>0.10474769911651</v>
          </cell>
          <cell r="AL28">
            <v>0.13075314439919999</v>
          </cell>
          <cell r="AM28">
            <v>9.3011946106179702E-2</v>
          </cell>
          <cell r="AN28">
            <v>9.8896890645566393E-2</v>
          </cell>
          <cell r="AO28">
            <v>0.119003072585858</v>
          </cell>
          <cell r="AP28">
            <v>0.114151040722607</v>
          </cell>
          <cell r="AQ28">
            <v>0.10326253702450899</v>
          </cell>
          <cell r="AR28">
            <v>0.134425547808668</v>
          </cell>
          <cell r="AS28">
            <v>0.14507987323159699</v>
          </cell>
          <cell r="AT28">
            <v>0.15072875560313601</v>
          </cell>
          <cell r="AU28">
            <v>9.3011946106179993E-2</v>
          </cell>
          <cell r="AV28">
            <v>9.8896890645566296E-2</v>
          </cell>
          <cell r="AW28">
            <v>0.119003072585858</v>
          </cell>
          <cell r="AX28">
            <v>0.114151040722607</v>
          </cell>
        </row>
        <row r="30">
          <cell r="B30" t="str">
            <v>Protein Detection</v>
          </cell>
          <cell r="I30">
            <v>3.9292131245661501</v>
          </cell>
          <cell r="J30">
            <v>4.9836969199999999</v>
          </cell>
          <cell r="K30">
            <v>5.4100433920329403</v>
          </cell>
          <cell r="L30">
            <v>5.4486021950000101</v>
          </cell>
          <cell r="M30">
            <v>6.4853977799999996</v>
          </cell>
          <cell r="N30">
            <v>6.9778157500000004</v>
          </cell>
          <cell r="O30">
            <v>7.0181547129000004</v>
          </cell>
          <cell r="P30">
            <v>7.1206194717000004</v>
          </cell>
          <cell r="Q30">
            <v>7.31610877183076</v>
          </cell>
          <cell r="R30">
            <v>7.6889716899856104</v>
          </cell>
          <cell r="T30">
            <v>0.11513258137584</v>
          </cell>
          <cell r="U30">
            <v>5.9084292102366799E-2</v>
          </cell>
          <cell r="AI30">
            <v>1.5161855302593701</v>
          </cell>
          <cell r="AJ30">
            <v>1.4566010115052099</v>
          </cell>
          <cell r="AK30">
            <v>1.2952660059282699</v>
          </cell>
          <cell r="AL30">
            <v>1.1419908443400899</v>
          </cell>
          <cell r="AM30">
            <v>1.29547507</v>
          </cell>
          <cell r="AN30">
            <v>1.6861265400000001</v>
          </cell>
          <cell r="AO30">
            <v>1.28233503</v>
          </cell>
          <cell r="AP30">
            <v>1.184665555</v>
          </cell>
          <cell r="AQ30">
            <v>1.55047954</v>
          </cell>
          <cell r="AR30">
            <v>1.68152328</v>
          </cell>
          <cell r="AS30">
            <v>1.6123481799999999</v>
          </cell>
          <cell r="AT30">
            <v>1.6410467799999999</v>
          </cell>
          <cell r="AU30">
            <v>1.74151375</v>
          </cell>
          <cell r="AV30">
            <v>1.78783</v>
          </cell>
          <cell r="AW30">
            <v>1.6884904999999999</v>
          </cell>
          <cell r="AX30">
            <v>1.7599815000000001</v>
          </cell>
        </row>
        <row r="31">
          <cell r="B31" t="str">
            <v>% of sales</v>
          </cell>
          <cell r="I31">
            <v>0.166876489411069</v>
          </cell>
          <cell r="J31">
            <v>0.20319534275773901</v>
          </cell>
          <cell r="K31">
            <v>0.21396788524375401</v>
          </cell>
          <cell r="L31">
            <v>0.208579746817214</v>
          </cell>
          <cell r="M31">
            <v>0.285441620451237</v>
          </cell>
          <cell r="N31">
            <v>0.25</v>
          </cell>
          <cell r="O31">
            <v>0.23499999999999999</v>
          </cell>
          <cell r="P31">
            <v>0.22500000000000001</v>
          </cell>
          <cell r="Q31">
            <v>0.22</v>
          </cell>
          <cell r="R31">
            <v>0.22</v>
          </cell>
          <cell r="AI31">
            <v>0.22812767498977801</v>
          </cell>
          <cell r="AJ31">
            <v>0.22003126676293899</v>
          </cell>
          <cell r="AK31">
            <v>0.21231124821008099</v>
          </cell>
          <cell r="AL31">
            <v>0.192988782982464</v>
          </cell>
          <cell r="AM31">
            <v>0.19481241128885601</v>
          </cell>
          <cell r="AN31">
            <v>0.24835964874040301</v>
          </cell>
          <cell r="AO31">
            <v>0.21177914759378</v>
          </cell>
          <cell r="AP31">
            <v>0.17872506008300801</v>
          </cell>
          <cell r="AQ31">
            <v>0.25016132965555299</v>
          </cell>
          <cell r="AR31">
            <v>0.40845747724661402</v>
          </cell>
          <cell r="AS31">
            <v>0.276256176727393</v>
          </cell>
          <cell r="AT31">
            <v>0.24979903699964701</v>
          </cell>
          <cell r="AU31">
            <v>0.25</v>
          </cell>
          <cell r="AV31">
            <v>0.25</v>
          </cell>
          <cell r="AW31">
            <v>0.25</v>
          </cell>
          <cell r="AX31">
            <v>0.25</v>
          </cell>
        </row>
        <row r="33">
          <cell r="B33" t="str">
            <v>Cost of Sales</v>
          </cell>
          <cell r="I33">
            <v>27.073265294566099</v>
          </cell>
          <cell r="J33">
            <v>36.322862305441298</v>
          </cell>
          <cell r="K33">
            <v>42.379143232032902</v>
          </cell>
          <cell r="L33">
            <v>48.437448105000001</v>
          </cell>
          <cell r="M33">
            <v>82.497613329999993</v>
          </cell>
          <cell r="N33">
            <v>105.58189334331099</v>
          </cell>
          <cell r="O33">
            <v>109.77734579469001</v>
          </cell>
          <cell r="P33">
            <v>124.40799210831401</v>
          </cell>
          <cell r="Q33">
            <v>139.98506025780901</v>
          </cell>
          <cell r="R33">
            <v>158.318226644715</v>
          </cell>
          <cell r="T33">
            <v>0.21398560907103001</v>
          </cell>
          <cell r="U33">
            <v>0.21821780775597199</v>
          </cell>
          <cell r="AI33">
            <v>9.7708332509793596</v>
          </cell>
          <cell r="AJ33">
            <v>9.4817361407852108</v>
          </cell>
          <cell r="AK33">
            <v>10.427428785928299</v>
          </cell>
          <cell r="AL33">
            <v>12.6991450543401</v>
          </cell>
          <cell r="AM33">
            <v>10.453292250000001</v>
          </cell>
          <cell r="AN33">
            <v>11.95465164</v>
          </cell>
          <cell r="AO33">
            <v>12.85928833</v>
          </cell>
          <cell r="AP33">
            <v>13.170215884999999</v>
          </cell>
          <cell r="AQ33">
            <v>13.6815421</v>
          </cell>
          <cell r="AR33">
            <v>18.270604779999999</v>
          </cell>
          <cell r="AS33">
            <v>21.74282904</v>
          </cell>
          <cell r="AT33">
            <v>28.802637409999999</v>
          </cell>
          <cell r="AU33">
            <v>26.640152228271798</v>
          </cell>
          <cell r="AV33">
            <v>28.813368222989801</v>
          </cell>
          <cell r="AW33">
            <v>26.1603656592766</v>
          </cell>
          <cell r="AX33">
            <v>23.968007232772301</v>
          </cell>
        </row>
        <row r="34">
          <cell r="B34" t="str">
            <v>% of sales</v>
          </cell>
          <cell r="I34">
            <v>0.320286738096978</v>
          </cell>
          <cell r="J34">
            <v>0.35007615497171402</v>
          </cell>
          <cell r="K34">
            <v>0.342226919369442</v>
          </cell>
          <cell r="L34">
            <v>0.33788648782363101</v>
          </cell>
          <cell r="M34">
            <v>0.31025949004205899</v>
          </cell>
          <cell r="N34">
            <v>0.24141271868412401</v>
          </cell>
          <cell r="O34">
            <v>0.235574542772057</v>
          </cell>
          <cell r="P34">
            <v>0.23452966379910201</v>
          </cell>
          <cell r="Q34">
            <v>0.235849400263483</v>
          </cell>
          <cell r="R34">
            <v>0.23712915841768001</v>
          </cell>
          <cell r="AI34">
            <v>0.30377120628446103</v>
          </cell>
          <cell r="AJ34">
            <v>0.32736040874144601</v>
          </cell>
          <cell r="AK34">
            <v>0.34457053854474201</v>
          </cell>
          <cell r="AL34">
            <v>0.39144102812708798</v>
          </cell>
          <cell r="AM34">
            <v>0.31400342417250698</v>
          </cell>
          <cell r="AN34">
            <v>0.33445090602899402</v>
          </cell>
          <cell r="AO34">
            <v>0.33522324018265898</v>
          </cell>
          <cell r="AP34">
            <v>0.36625300453704501</v>
          </cell>
          <cell r="AQ34">
            <v>0.26836523612074598</v>
          </cell>
          <cell r="AR34">
            <v>0.389559504702151</v>
          </cell>
          <cell r="AS34">
            <v>0.268580877548317</v>
          </cell>
          <cell r="AT34">
            <v>0.33082700164887202</v>
          </cell>
          <cell r="AU34">
            <v>0.22814605835615301</v>
          </cell>
          <cell r="AV34">
            <v>0.24081430842146301</v>
          </cell>
          <cell r="AW34">
            <v>0.25283019470670198</v>
          </cell>
          <cell r="AX34">
            <v>0.24592064592444601</v>
          </cell>
        </row>
        <row r="36">
          <cell r="B36" t="str">
            <v>Gross Profit</v>
          </cell>
        </row>
        <row r="37">
          <cell r="B37" t="str">
            <v>Nucleic Acid Production</v>
          </cell>
          <cell r="I37">
            <v>15.147442</v>
          </cell>
          <cell r="J37">
            <v>19.370927724558701</v>
          </cell>
          <cell r="K37">
            <v>27.180902230000001</v>
          </cell>
          <cell r="L37">
            <v>34.649293849999999</v>
          </cell>
          <cell r="M37">
            <v>122.33979814999999</v>
          </cell>
          <cell r="N37">
            <v>259.77380855485097</v>
          </cell>
          <cell r="O37">
            <v>273.32370999199998</v>
          </cell>
          <cell r="P37">
            <v>310.819324015022</v>
          </cell>
          <cell r="Q37">
            <v>348.74687623176402</v>
          </cell>
          <cell r="R37">
            <v>394.168214100966</v>
          </cell>
          <cell r="T37">
            <v>0.31760438035091199</v>
          </cell>
          <cell r="U37">
            <v>0.49967747541961</v>
          </cell>
          <cell r="AI37">
            <v>8.26257673928</v>
          </cell>
          <cell r="AJ37">
            <v>6.0022265607199996</v>
          </cell>
          <cell r="AK37">
            <v>6.8917804900000004</v>
          </cell>
          <cell r="AL37">
            <v>6.0243184400000001</v>
          </cell>
          <cell r="AM37">
            <v>7.7339448099999997</v>
          </cell>
          <cell r="AN37">
            <v>8.9530797300000007</v>
          </cell>
          <cell r="AO37">
            <v>10.890218559999999</v>
          </cell>
          <cell r="AP37">
            <v>7.0720507499999998</v>
          </cell>
          <cell r="AQ37">
            <v>19.83447992</v>
          </cell>
          <cell r="AR37">
            <v>15.49625181</v>
          </cell>
          <cell r="AS37">
            <v>43.685803249999999</v>
          </cell>
          <cell r="AT37">
            <v>43.323263169999997</v>
          </cell>
          <cell r="AU37">
            <v>70.714619393349096</v>
          </cell>
          <cell r="AV37">
            <v>73.146944173384497</v>
          </cell>
          <cell r="AW37">
            <v>59.898217759251899</v>
          </cell>
          <cell r="AX37">
            <v>56.014027228865999</v>
          </cell>
        </row>
        <row r="38">
          <cell r="B38" t="str">
            <v>% margin</v>
          </cell>
          <cell r="I38">
            <v>0.40916359638060301</v>
          </cell>
          <cell r="J38">
            <v>0.40549582757133501</v>
          </cell>
          <cell r="K38">
            <v>0.45258090278260998</v>
          </cell>
          <cell r="L38">
            <v>0.47518549774323499</v>
          </cell>
          <cell r="M38">
            <v>0.63878227640589502</v>
          </cell>
          <cell r="N38">
            <v>0.73730207812925297</v>
          </cell>
          <cell r="O38">
            <v>0.74078846212270799</v>
          </cell>
          <cell r="P38">
            <v>0.74052770433380199</v>
          </cell>
          <cell r="Q38">
            <v>0.73876251522760505</v>
          </cell>
          <cell r="R38">
            <v>0.73761715954788998</v>
          </cell>
          <cell r="AI38">
            <v>0.52866398928755598</v>
          </cell>
          <cell r="AJ38">
            <v>0.457475719881623</v>
          </cell>
          <cell r="AK38">
            <v>0.45726199038641202</v>
          </cell>
          <cell r="AL38">
            <v>0.37104169907618101</v>
          </cell>
          <cell r="AM38">
            <v>0.48665575765110303</v>
          </cell>
          <cell r="AN38">
            <v>0.493191630325787</v>
          </cell>
          <cell r="AO38">
            <v>0.51518997699499103</v>
          </cell>
          <cell r="AP38">
            <v>0.39878990811320503</v>
          </cell>
          <cell r="AQ38">
            <v>0.65053368647753196</v>
          </cell>
          <cell r="AR38">
            <v>0.50934600615477299</v>
          </cell>
          <cell r="AS38">
            <v>0.70576659512143503</v>
          </cell>
          <cell r="AT38">
            <v>0.63053629855187698</v>
          </cell>
          <cell r="AU38">
            <v>0.75101918778432397</v>
          </cell>
          <cell r="AV38">
            <v>0.74020609426444794</v>
          </cell>
          <cell r="AW38">
            <v>0.72426199779931399</v>
          </cell>
          <cell r="AX38">
            <v>0.73077752620363401</v>
          </cell>
        </row>
        <row r="40">
          <cell r="B40" t="str">
            <v>Biologics Safety Testings</v>
          </cell>
          <cell r="I40">
            <v>22.691081530000002</v>
          </cell>
          <cell r="J40">
            <v>28.52030778</v>
          </cell>
          <cell r="K40">
            <v>34.399086060000002</v>
          </cell>
          <cell r="L40">
            <v>39.593669689999999</v>
          </cell>
          <cell r="M40">
            <v>44.826170050000002</v>
          </cell>
          <cell r="N40">
            <v>51.061019968068003</v>
          </cell>
          <cell r="O40">
            <v>60.050950432404001</v>
          </cell>
          <cell r="P40">
            <v>70.703490459776006</v>
          </cell>
          <cell r="Q40">
            <v>78.864923052217094</v>
          </cell>
          <cell r="R40">
            <v>87.898206471393294</v>
          </cell>
          <cell r="T40">
            <v>0.20389936801089301</v>
          </cell>
          <cell r="U40">
            <v>0.142156747157208</v>
          </cell>
          <cell r="AI40">
            <v>9.0016674000000005</v>
          </cell>
          <cell r="AJ40">
            <v>8.3168770399999996</v>
          </cell>
          <cell r="AK40">
            <v>8.1373703099999997</v>
          </cell>
          <cell r="AL40">
            <v>8.9431713100000003</v>
          </cell>
          <cell r="AM40">
            <v>9.7487556099999999</v>
          </cell>
          <cell r="AN40">
            <v>9.7334582699999999</v>
          </cell>
          <cell r="AO40">
            <v>9.8381425</v>
          </cell>
          <cell r="AP40">
            <v>10.273313310000001</v>
          </cell>
          <cell r="AQ40">
            <v>12.81759115</v>
          </cell>
          <cell r="AR40">
            <v>10.69857981</v>
          </cell>
          <cell r="AS40">
            <v>11.30178589</v>
          </cell>
          <cell r="AT40">
            <v>10.0082132</v>
          </cell>
          <cell r="AU40">
            <v>14.1886577004791</v>
          </cell>
          <cell r="AV40">
            <v>12.3259327537557</v>
          </cell>
          <cell r="AW40">
            <v>12.3460455954715</v>
          </cell>
          <cell r="AX40">
            <v>12.2003839183617</v>
          </cell>
        </row>
        <row r="41">
          <cell r="B41" t="str">
            <v>% margin</v>
          </cell>
          <cell r="I41">
            <v>0.94695819819856597</v>
          </cell>
          <cell r="J41">
            <v>0.90657408892161895</v>
          </cell>
          <cell r="K41">
            <v>0.89367927975342698</v>
          </cell>
          <cell r="L41">
            <v>0.89347179654284303</v>
          </cell>
          <cell r="M41">
            <v>0.86775145772433804</v>
          </cell>
          <cell r="N41">
            <v>0.89410262604999902</v>
          </cell>
          <cell r="O41">
            <v>0.89400628788580905</v>
          </cell>
          <cell r="P41">
            <v>0.89403721162324801</v>
          </cell>
          <cell r="Q41">
            <v>0.89404093699590004</v>
          </cell>
          <cell r="R41">
            <v>0.89404500310312196</v>
          </cell>
          <cell r="AI41">
            <v>0.910203847268655</v>
          </cell>
          <cell r="AJ41">
            <v>0.90166389880559195</v>
          </cell>
          <cell r="AK41">
            <v>0.89525230088348995</v>
          </cell>
          <cell r="AL41">
            <v>0.86924685560079995</v>
          </cell>
          <cell r="AM41">
            <v>0.90698805389381998</v>
          </cell>
          <cell r="AN41">
            <v>0.90110310935443405</v>
          </cell>
          <cell r="AO41">
            <v>0.88099692741414204</v>
          </cell>
          <cell r="AP41">
            <v>0.88584895927739205</v>
          </cell>
          <cell r="AQ41">
            <v>0.89673746297549195</v>
          </cell>
          <cell r="AR41">
            <v>0.865574452191332</v>
          </cell>
          <cell r="AS41">
            <v>0.85492012676840301</v>
          </cell>
          <cell r="AT41">
            <v>0.84927124439686397</v>
          </cell>
          <cell r="AU41">
            <v>0.90698805389381998</v>
          </cell>
          <cell r="AV41">
            <v>0.90110310935443405</v>
          </cell>
          <cell r="AW41">
            <v>0.88099692741414204</v>
          </cell>
          <cell r="AX41">
            <v>0.88584895927739304</v>
          </cell>
        </row>
        <row r="43">
          <cell r="B43" t="str">
            <v>Protein Detection</v>
          </cell>
          <cell r="I43">
            <v>19.616423162683699</v>
          </cell>
          <cell r="J43">
            <v>19.542932737756601</v>
          </cell>
          <cell r="K43">
            <v>19.874327605370599</v>
          </cell>
          <cell r="L43">
            <v>20.6737911732057</v>
          </cell>
          <cell r="M43">
            <v>16.2351773405716</v>
          </cell>
          <cell r="N43">
            <v>20.93344725</v>
          </cell>
          <cell r="O43">
            <v>22.846333427099999</v>
          </cell>
          <cell r="P43">
            <v>24.5265781803</v>
          </cell>
          <cell r="Q43">
            <v>25.938931100127199</v>
          </cell>
          <cell r="R43">
            <v>27.260899628130801</v>
          </cell>
          <cell r="T43">
            <v>1.76538997993387E-2</v>
          </cell>
          <cell r="U43">
            <v>4.7176794768245003E-2</v>
          </cell>
          <cell r="AI43">
            <v>5.1300292717251104</v>
          </cell>
          <cell r="AJ43">
            <v>5.1633718356926801</v>
          </cell>
          <cell r="AK43">
            <v>4.8055224207245297</v>
          </cell>
          <cell r="AL43">
            <v>4.7754040772282504</v>
          </cell>
          <cell r="AM43">
            <v>5.3543839478587101</v>
          </cell>
          <cell r="AN43">
            <v>5.1029253392060898</v>
          </cell>
          <cell r="AO43">
            <v>4.77272300838482</v>
          </cell>
          <cell r="AP43">
            <v>5.4437588777560402</v>
          </cell>
          <cell r="AQ43">
            <v>4.6474389877550797</v>
          </cell>
          <cell r="AR43">
            <v>2.43524131281647</v>
          </cell>
          <cell r="AS43">
            <v>4.2240758200000004</v>
          </cell>
          <cell r="AT43">
            <v>4.9284212199999997</v>
          </cell>
          <cell r="AU43">
            <v>5.2245412499999997</v>
          </cell>
          <cell r="AV43">
            <v>5.3634899999999996</v>
          </cell>
          <cell r="AW43">
            <v>5.0654715000000001</v>
          </cell>
          <cell r="AX43">
            <v>5.2799445</v>
          </cell>
        </row>
        <row r="44">
          <cell r="B44" t="str">
            <v>% margin</v>
          </cell>
          <cell r="I44">
            <v>0.83312351058893097</v>
          </cell>
          <cell r="J44">
            <v>0.79680465724226002</v>
          </cell>
          <cell r="K44">
            <v>0.78603211475624601</v>
          </cell>
          <cell r="L44">
            <v>0.79142025318278597</v>
          </cell>
          <cell r="M44">
            <v>0.714558379548763</v>
          </cell>
          <cell r="N44">
            <v>0.75</v>
          </cell>
          <cell r="O44">
            <v>0.76500000000000001</v>
          </cell>
          <cell r="P44">
            <v>0.77500000000000002</v>
          </cell>
          <cell r="Q44">
            <v>0.78</v>
          </cell>
          <cell r="R44">
            <v>0.78</v>
          </cell>
          <cell r="AI44">
            <v>0.77187232501022196</v>
          </cell>
          <cell r="AJ44">
            <v>0.77996873323706095</v>
          </cell>
          <cell r="AK44">
            <v>0.78768875178991904</v>
          </cell>
          <cell r="AL44">
            <v>0.80701121701753598</v>
          </cell>
          <cell r="AM44">
            <v>0.80518758871114404</v>
          </cell>
          <cell r="AN44">
            <v>0.75164035125959705</v>
          </cell>
          <cell r="AO44">
            <v>0.78822085240621997</v>
          </cell>
          <cell r="AP44">
            <v>0.82127493991699196</v>
          </cell>
          <cell r="AQ44">
            <v>0.74983867034444696</v>
          </cell>
          <cell r="AR44">
            <v>0.59154252275338604</v>
          </cell>
          <cell r="AS44">
            <v>0.723743823272607</v>
          </cell>
          <cell r="AT44">
            <v>0.75020096300035299</v>
          </cell>
          <cell r="AU44">
            <v>0.75</v>
          </cell>
          <cell r="AV44">
            <v>0.75</v>
          </cell>
          <cell r="AW44">
            <v>0.75</v>
          </cell>
          <cell r="AX44">
            <v>0.75</v>
          </cell>
        </row>
        <row r="46">
          <cell r="B46" t="str">
            <v>Gross Profit</v>
          </cell>
          <cell r="I46">
            <v>57.454946692683698</v>
          </cell>
          <cell r="J46">
            <v>67.434168242315295</v>
          </cell>
          <cell r="K46">
            <v>81.454315895370598</v>
          </cell>
          <cell r="L46">
            <v>94.916754713205705</v>
          </cell>
          <cell r="M46">
            <v>183.401145540572</v>
          </cell>
          <cell r="N46">
            <v>331.76827577291903</v>
          </cell>
          <cell r="O46">
            <v>356.22099385150398</v>
          </cell>
          <cell r="P46">
            <v>406.04939265509802</v>
          </cell>
          <cell r="Q46">
            <v>453.55073038410899</v>
          </cell>
          <cell r="R46">
            <v>509.32732020049002</v>
          </cell>
          <cell r="T46">
            <v>0.18214790874773801</v>
          </cell>
          <cell r="U46">
            <v>0.323149799206921</v>
          </cell>
          <cell r="AI46">
            <v>22.394273411005098</v>
          </cell>
          <cell r="AJ46">
            <v>19.482475436412699</v>
          </cell>
          <cell r="AK46">
            <v>19.8346732207245</v>
          </cell>
          <cell r="AL46">
            <v>19.742893827228201</v>
          </cell>
          <cell r="AM46">
            <v>22.837084367858701</v>
          </cell>
          <cell r="AN46">
            <v>23.789463339206101</v>
          </cell>
          <cell r="AO46">
            <v>25.501084068384799</v>
          </cell>
          <cell r="AP46">
            <v>22.789122937756002</v>
          </cell>
          <cell r="AQ46">
            <v>37.2995100577551</v>
          </cell>
          <cell r="AR46">
            <v>28.6300729328165</v>
          </cell>
          <cell r="AS46">
            <v>59.21166496</v>
          </cell>
          <cell r="AT46">
            <v>58.259897590000001</v>
          </cell>
          <cell r="AU46">
            <v>90.127818343828196</v>
          </cell>
          <cell r="AV46">
            <v>90.836366927140205</v>
          </cell>
          <cell r="AW46">
            <v>77.309734854723402</v>
          </cell>
          <cell r="AX46">
            <v>73.494355647227707</v>
          </cell>
        </row>
        <row r="47">
          <cell r="B47" t="str">
            <v>% margin</v>
          </cell>
          <cell r="I47">
            <v>0.67971326190302195</v>
          </cell>
          <cell r="J47">
            <v>0.64992384502828604</v>
          </cell>
          <cell r="K47">
            <v>0.65777308063055895</v>
          </cell>
          <cell r="L47">
            <v>0.66211351217636905</v>
          </cell>
          <cell r="M47">
            <v>0.68974050995794101</v>
          </cell>
          <cell r="N47">
            <v>0.75858728131587605</v>
          </cell>
          <cell r="O47">
            <v>0.76442545722794297</v>
          </cell>
          <cell r="P47">
            <v>0.76547033620089799</v>
          </cell>
          <cell r="Q47">
            <v>0.764150599736517</v>
          </cell>
          <cell r="R47">
            <v>0.76287084158231999</v>
          </cell>
          <cell r="AI47">
            <v>0.69622879371553903</v>
          </cell>
          <cell r="AJ47">
            <v>0.67263959125855399</v>
          </cell>
          <cell r="AK47">
            <v>0.65542946145525804</v>
          </cell>
          <cell r="AL47">
            <v>0.60855897187291197</v>
          </cell>
          <cell r="AM47">
            <v>0.68599657582749296</v>
          </cell>
          <cell r="AN47">
            <v>0.66554909397100603</v>
          </cell>
          <cell r="AO47">
            <v>0.66477675981734097</v>
          </cell>
          <cell r="AP47">
            <v>0.63374699546295499</v>
          </cell>
          <cell r="AQ47">
            <v>0.73163476387925397</v>
          </cell>
          <cell r="AR47">
            <v>0.61044049529784905</v>
          </cell>
          <cell r="AS47">
            <v>0.73141912245168295</v>
          </cell>
          <cell r="AT47">
            <v>0.66917299835112798</v>
          </cell>
          <cell r="AU47">
            <v>0.77185394164384702</v>
          </cell>
          <cell r="AV47">
            <v>0.75918569157853699</v>
          </cell>
          <cell r="AW47">
            <v>0.74716980529329802</v>
          </cell>
          <cell r="AX47">
            <v>0.75407935407555404</v>
          </cell>
        </row>
        <row r="49">
          <cell r="B49" t="str">
            <v>Operating Expenses</v>
          </cell>
        </row>
        <row r="50">
          <cell r="B50" t="str">
            <v>Labor</v>
          </cell>
          <cell r="I50">
            <v>11.9312758171131</v>
          </cell>
          <cell r="J50">
            <v>13.8397805816667</v>
          </cell>
          <cell r="K50">
            <v>18.707919416666702</v>
          </cell>
          <cell r="L50">
            <v>20.595166379999998</v>
          </cell>
          <cell r="M50">
            <v>31.058186160000002</v>
          </cell>
          <cell r="N50">
            <v>38.413382412240701</v>
          </cell>
          <cell r="O50">
            <v>40.152688157929802</v>
          </cell>
          <cell r="P50">
            <v>42.307558061628697</v>
          </cell>
          <cell r="Q50">
            <v>44.462885316462398</v>
          </cell>
          <cell r="R50">
            <v>46.773662983001799</v>
          </cell>
          <cell r="T50">
            <v>0.19957150205090099</v>
          </cell>
          <cell r="U50">
            <v>0.146496358212025</v>
          </cell>
          <cell r="AI50">
            <v>4.4946272599999997</v>
          </cell>
          <cell r="AJ50">
            <v>4.7644079000000001</v>
          </cell>
          <cell r="AK50">
            <v>4.6973786799999999</v>
          </cell>
          <cell r="AL50">
            <v>4.7515055766666698</v>
          </cell>
          <cell r="AM50">
            <v>4.93845271</v>
          </cell>
          <cell r="AN50">
            <v>5.4843849799999997</v>
          </cell>
          <cell r="AO50">
            <v>5.0085969600000002</v>
          </cell>
          <cell r="AP50">
            <v>5.1637317300000003</v>
          </cell>
          <cell r="AQ50">
            <v>5.9893688300000001</v>
          </cell>
          <cell r="AR50">
            <v>7.3869160000000003</v>
          </cell>
          <cell r="AS50">
            <v>8.9821972799999994</v>
          </cell>
          <cell r="AT50">
            <v>8.6997040499999994</v>
          </cell>
          <cell r="AU50">
            <v>7.9914256263951202</v>
          </cell>
          <cell r="AV50">
            <v>9.5504175700732308</v>
          </cell>
          <cell r="AW50">
            <v>9.9560628495230894</v>
          </cell>
          <cell r="AX50">
            <v>10.915476366249299</v>
          </cell>
        </row>
        <row r="51">
          <cell r="B51" t="str">
            <v>% of sales</v>
          </cell>
          <cell r="I51">
            <v>0.14115140420706901</v>
          </cell>
          <cell r="J51">
            <v>0.133386436645337</v>
          </cell>
          <cell r="K51">
            <v>0.151073220020604</v>
          </cell>
          <cell r="L51">
            <v>0.14366628933870701</v>
          </cell>
          <cell r="M51">
            <v>0.116804554831028</v>
          </cell>
          <cell r="N51">
            <v>8.7832096852424005E-2</v>
          </cell>
          <cell r="O51">
            <v>8.61648738671804E-2</v>
          </cell>
          <cell r="P51">
            <v>7.9756751959440195E-2</v>
          </cell>
          <cell r="Q51">
            <v>7.4911885715223905E-2</v>
          </cell>
          <cell r="R51">
            <v>7.0057627440217707E-2</v>
          </cell>
          <cell r="AI51">
            <v>0.13973612173069999</v>
          </cell>
          <cell r="AJ51">
            <v>0.16449292559894099</v>
          </cell>
          <cell r="AK51">
            <v>0.15522314606458401</v>
          </cell>
          <cell r="AL51">
            <v>0.14646137359036901</v>
          </cell>
          <cell r="AM51">
            <v>0.14834475340091999</v>
          </cell>
          <cell r="AN51">
            <v>0.153434627859453</v>
          </cell>
          <cell r="AO51">
            <v>0.13056695352130901</v>
          </cell>
          <cell r="AP51">
            <v>0.14359918449702599</v>
          </cell>
          <cell r="AQ51">
            <v>0.117482252258478</v>
          </cell>
          <cell r="AR51">
            <v>0.15750126352612101</v>
          </cell>
          <cell r="AS51">
            <v>0.11095365848374</v>
          </cell>
          <cell r="AT51">
            <v>9.9924773038138598E-2</v>
          </cell>
          <cell r="AU51">
            <v>6.8438507471196494E-2</v>
          </cell>
          <cell r="AV51">
            <v>7.9819796994033299E-2</v>
          </cell>
          <cell r="AW51">
            <v>9.6221640841800404E-2</v>
          </cell>
          <cell r="AX51">
            <v>0.11199683697068701</v>
          </cell>
        </row>
        <row r="53">
          <cell r="B53" t="str">
            <v>Facilities</v>
          </cell>
          <cell r="I53">
            <v>1.7512931992032901</v>
          </cell>
          <cell r="J53">
            <v>1.93746325404042</v>
          </cell>
          <cell r="K53">
            <v>1.43841763354426</v>
          </cell>
          <cell r="L53">
            <v>1.9868855599999999</v>
          </cell>
          <cell r="M53">
            <v>5.7181641799999996</v>
          </cell>
          <cell r="N53">
            <v>10.1971707561</v>
          </cell>
          <cell r="O53">
            <v>11.2715071628839</v>
          </cell>
          <cell r="P53">
            <v>12.2342947699109</v>
          </cell>
          <cell r="Q53">
            <v>12.549258015377999</v>
          </cell>
          <cell r="R53">
            <v>12.9267712878518</v>
          </cell>
          <cell r="T53">
            <v>4.2968833361547998E-2</v>
          </cell>
          <cell r="U53">
            <v>0.36632139388192497</v>
          </cell>
          <cell r="AI53">
            <v>0.43758593656051198</v>
          </cell>
          <cell r="AJ53">
            <v>0.42056457756055698</v>
          </cell>
          <cell r="AK53">
            <v>0.49078896744595002</v>
          </cell>
          <cell r="AL53">
            <v>8.9478151977243098E-2</v>
          </cell>
          <cell r="AM53">
            <v>0.48269168000000001</v>
          </cell>
          <cell r="AN53">
            <v>0.36934402999999999</v>
          </cell>
          <cell r="AO53">
            <v>0.48901761999999999</v>
          </cell>
          <cell r="AP53">
            <v>0.64583223000000001</v>
          </cell>
          <cell r="AQ53">
            <v>1.1592428299999999</v>
          </cell>
          <cell r="AR53">
            <v>1.3038911399999999</v>
          </cell>
          <cell r="AS53">
            <v>1.4514785299999999</v>
          </cell>
          <cell r="AT53">
            <v>1.80355168</v>
          </cell>
          <cell r="AU53">
            <v>2.3581383200000001</v>
          </cell>
          <cell r="AV53">
            <v>2.6938773061000001</v>
          </cell>
          <cell r="AW53">
            <v>2.5826643300000001</v>
          </cell>
          <cell r="AX53">
            <v>2.5624908</v>
          </cell>
        </row>
        <row r="54">
          <cell r="B54" t="str">
            <v>% of sales</v>
          </cell>
          <cell r="I54">
            <v>2.07184460434044E-2</v>
          </cell>
          <cell r="J54">
            <v>1.86730792488192E-2</v>
          </cell>
          <cell r="K54">
            <v>1.16157429799678E-2</v>
          </cell>
          <cell r="L54">
            <v>1.3859974252165201E-2</v>
          </cell>
          <cell r="M54">
            <v>2.15050427624725E-2</v>
          </cell>
          <cell r="N54">
            <v>2.3315803848220299E-2</v>
          </cell>
          <cell r="O54">
            <v>2.4187869792501301E-2</v>
          </cell>
          <cell r="P54">
            <v>2.30636713170983E-2</v>
          </cell>
          <cell r="Q54">
            <v>2.1143220363856699E-2</v>
          </cell>
          <cell r="R54">
            <v>1.9361727714554699E-2</v>
          </cell>
          <cell r="AI54">
            <v>1.36043676509144E-2</v>
          </cell>
          <cell r="AJ54">
            <v>1.45201458855399E-2</v>
          </cell>
          <cell r="AK54">
            <v>1.6217940423902299E-2</v>
          </cell>
          <cell r="AL54">
            <v>2.75809274207113E-3</v>
          </cell>
          <cell r="AM54">
            <v>1.44994358442031E-2</v>
          </cell>
          <cell r="AN54">
            <v>1.0333002515655099E-2</v>
          </cell>
          <cell r="AO54">
            <v>1.27479893813698E-2</v>
          </cell>
          <cell r="AP54">
            <v>1.7960069654876398E-2</v>
          </cell>
          <cell r="AQ54">
            <v>2.27386995939757E-2</v>
          </cell>
          <cell r="AR54">
            <v>2.7801115113602899E-2</v>
          </cell>
          <cell r="AS54">
            <v>1.79295608962734E-2</v>
          </cell>
          <cell r="AT54">
            <v>2.07155888580547E-2</v>
          </cell>
          <cell r="AU54">
            <v>2.01950783973242E-2</v>
          </cell>
          <cell r="AV54">
            <v>2.25146951033353E-2</v>
          </cell>
          <cell r="AW54">
            <v>2.4960489234767399E-2</v>
          </cell>
          <cell r="AX54">
            <v>2.6292106247773301E-2</v>
          </cell>
        </row>
        <row r="56">
          <cell r="B56" t="str">
            <v>Marketing</v>
          </cell>
          <cell r="I56">
            <v>0.79485490790986002</v>
          </cell>
          <cell r="J56">
            <v>0.85301675383138598</v>
          </cell>
          <cell r="K56">
            <v>1.7234002180318799</v>
          </cell>
          <cell r="L56">
            <v>2.4489471209999998</v>
          </cell>
          <cell r="M56">
            <v>2.66101141</v>
          </cell>
          <cell r="N56">
            <v>3.29372229502918</v>
          </cell>
          <cell r="O56">
            <v>3.4794653237033302</v>
          </cell>
          <cell r="P56">
            <v>3.7154696677317798</v>
          </cell>
          <cell r="Q56">
            <v>3.9273262868824901</v>
          </cell>
          <cell r="R56">
            <v>4.1552531784334796</v>
          </cell>
          <cell r="T56">
            <v>0.45511454722349398</v>
          </cell>
          <cell r="U56">
            <v>9.2118290079878498E-2</v>
          </cell>
          <cell r="AI56">
            <v>0.36696585803187898</v>
          </cell>
          <cell r="AJ56">
            <v>0.3831715</v>
          </cell>
          <cell r="AK56">
            <v>0.46970276</v>
          </cell>
          <cell r="AL56">
            <v>0.50356009999999995</v>
          </cell>
          <cell r="AM56">
            <v>0.43122669000000002</v>
          </cell>
          <cell r="AN56">
            <v>0.65484173999999995</v>
          </cell>
          <cell r="AO56">
            <v>0.54361537100000001</v>
          </cell>
          <cell r="AP56">
            <v>0.81926332000000002</v>
          </cell>
          <cell r="AQ56">
            <v>0.44630578999999998</v>
          </cell>
          <cell r="AR56">
            <v>0.49460849000000001</v>
          </cell>
          <cell r="AS56">
            <v>0.76351780999999996</v>
          </cell>
          <cell r="AT56">
            <v>0.95657932000000001</v>
          </cell>
          <cell r="AU56">
            <v>0.70081567648355203</v>
          </cell>
          <cell r="AV56">
            <v>0.763988849938815</v>
          </cell>
          <cell r="AW56">
            <v>0.82387596643361405</v>
          </cell>
          <cell r="AX56">
            <v>1.0050418021731999</v>
          </cell>
        </row>
        <row r="57">
          <cell r="B57" t="str">
            <v>% of sales</v>
          </cell>
          <cell r="I57">
            <v>9.4034274382824405E-3</v>
          </cell>
          <cell r="J57">
            <v>8.2212911195330002E-3</v>
          </cell>
          <cell r="K57">
            <v>1.39170804900055E-2</v>
          </cell>
          <cell r="L57">
            <v>1.70831902578094E-2</v>
          </cell>
          <cell r="M57">
            <v>1.0007611247614999E-2</v>
          </cell>
          <cell r="N57">
            <v>7.5310872788386801E-3</v>
          </cell>
          <cell r="O57">
            <v>7.4666903885217397E-3</v>
          </cell>
          <cell r="P57">
            <v>7.0042755072378003E-3</v>
          </cell>
          <cell r="Q57">
            <v>6.6168314511160899E-3</v>
          </cell>
          <cell r="R57">
            <v>6.2237413221253503E-3</v>
          </cell>
          <cell r="AI57">
            <v>1.1408818316327601E-2</v>
          </cell>
          <cell r="AJ57">
            <v>1.3229136204130401E-2</v>
          </cell>
          <cell r="AK57">
            <v>1.55211544755464E-2</v>
          </cell>
          <cell r="AL57">
            <v>1.55218388658702E-2</v>
          </cell>
          <cell r="AM57">
            <v>1.2953493886538599E-2</v>
          </cell>
          <cell r="AN57">
            <v>1.83202672770315E-2</v>
          </cell>
          <cell r="AO57">
            <v>1.41712745995889E-2</v>
          </cell>
          <cell r="AP57">
            <v>2.2783047375764E-2</v>
          </cell>
          <cell r="AQ57">
            <v>8.7543463916546407E-3</v>
          </cell>
          <cell r="AR57">
            <v>1.0545870851346799E-2</v>
          </cell>
          <cell r="AS57">
            <v>9.4314444112268796E-3</v>
          </cell>
          <cell r="AT57">
            <v>1.0987267025937201E-2</v>
          </cell>
          <cell r="AU57">
            <v>6.0017800519263399E-3</v>
          </cell>
          <cell r="AV57">
            <v>6.3852113753549303E-3</v>
          </cell>
          <cell r="AW57">
            <v>7.9624544901465508E-3</v>
          </cell>
          <cell r="AX57">
            <v>1.03121017434254E-2</v>
          </cell>
        </row>
        <row r="59">
          <cell r="B59" t="str">
            <v>All Other Opex</v>
          </cell>
          <cell r="I59">
            <v>6.6332256199776403</v>
          </cell>
          <cell r="J59">
            <v>5.8500446927642802</v>
          </cell>
          <cell r="K59">
            <v>6.5845970968162799</v>
          </cell>
          <cell r="L59">
            <v>7.5461277039283603</v>
          </cell>
          <cell r="M59">
            <v>12.751239307621899</v>
          </cell>
          <cell r="N59">
            <v>27.124140788586601</v>
          </cell>
          <cell r="O59">
            <v>29.216009837910899</v>
          </cell>
          <cell r="P59">
            <v>31.386881472235899</v>
          </cell>
          <cell r="Q59">
            <v>33.6662743641145</v>
          </cell>
          <cell r="R59">
            <v>36.156615484058598</v>
          </cell>
          <cell r="T59">
            <v>4.3918178549379697E-2</v>
          </cell>
          <cell r="U59">
            <v>0.29840626797756697</v>
          </cell>
          <cell r="AI59">
            <v>2.1439904721896101</v>
          </cell>
          <cell r="AJ59">
            <v>1.6128253353377999</v>
          </cell>
          <cell r="AK59">
            <v>1.5008947275548199</v>
          </cell>
          <cell r="AL59">
            <v>1.32688656173405</v>
          </cell>
          <cell r="AM59">
            <v>2.0195415991032699</v>
          </cell>
          <cell r="AN59">
            <v>1.42072004821051</v>
          </cell>
          <cell r="AO59">
            <v>1.81038073745477</v>
          </cell>
          <cell r="AP59">
            <v>2.2954853191598099</v>
          </cell>
          <cell r="AQ59">
            <v>2.86223993438416</v>
          </cell>
          <cell r="AR59">
            <v>2.8332242332376998</v>
          </cell>
          <cell r="AS59">
            <v>2.64928871</v>
          </cell>
          <cell r="AT59">
            <v>4.4064864300000002</v>
          </cell>
          <cell r="AU59">
            <v>6.4675423961233296</v>
          </cell>
          <cell r="AV59">
            <v>6.8371618399558001</v>
          </cell>
          <cell r="AW59">
            <v>6.0595559976804898</v>
          </cell>
          <cell r="AX59">
            <v>7.7598805548269496</v>
          </cell>
        </row>
        <row r="60">
          <cell r="B60" t="str">
            <v>% of sales</v>
          </cell>
          <cell r="I60">
            <v>7.8473511553493899E-2</v>
          </cell>
          <cell r="J60">
            <v>5.6382152244340199E-2</v>
          </cell>
          <cell r="K60">
            <v>5.3173004640384401E-2</v>
          </cell>
          <cell r="L60">
            <v>5.2639738184013803E-2</v>
          </cell>
          <cell r="M60">
            <v>4.7955241919081799E-2</v>
          </cell>
          <cell r="N60">
            <v>6.2019275866286597E-2</v>
          </cell>
          <cell r="O60">
            <v>6.2695523464939798E-2</v>
          </cell>
          <cell r="P60">
            <v>5.9169468413065397E-2</v>
          </cell>
          <cell r="Q60">
            <v>5.6721557309465598E-2</v>
          </cell>
          <cell r="R60">
            <v>5.41554057462195E-2</v>
          </cell>
          <cell r="AI60">
            <v>6.6655786182222204E-2</v>
          </cell>
          <cell r="AJ60">
            <v>5.5683384684549898E-2</v>
          </cell>
          <cell r="AK60">
            <v>4.9596512734801597E-2</v>
          </cell>
          <cell r="AL60">
            <v>4.0900221055092403E-2</v>
          </cell>
          <cell r="AM60">
            <v>6.0664426308108602E-2</v>
          </cell>
          <cell r="AN60">
            <v>3.9746963913835899E-2</v>
          </cell>
          <cell r="AO60">
            <v>4.7194034475301398E-2</v>
          </cell>
          <cell r="AP60">
            <v>6.38355819186298E-2</v>
          </cell>
          <cell r="AQ60">
            <v>5.61432103348374E-2</v>
          </cell>
          <cell r="AR60">
            <v>6.0409025442791503E-2</v>
          </cell>
          <cell r="AS60">
            <v>3.2725653377562898E-2</v>
          </cell>
          <cell r="AT60">
            <v>5.0612889114703602E-2</v>
          </cell>
          <cell r="AU60">
            <v>5.5387983232352701E-2</v>
          </cell>
          <cell r="AV60">
            <v>5.7143142284242401E-2</v>
          </cell>
          <cell r="AW60">
            <v>5.8563352771273301E-2</v>
          </cell>
          <cell r="AX60">
            <v>7.9619253274017796E-2</v>
          </cell>
        </row>
        <row r="62">
          <cell r="B62" t="str">
            <v>Total Opex</v>
          </cell>
          <cell r="I62">
            <v>21.110649544203898</v>
          </cell>
          <cell r="J62">
            <v>22.480305282302801</v>
          </cell>
          <cell r="K62">
            <v>28.454334365059101</v>
          </cell>
          <cell r="L62">
            <v>32.577126764928401</v>
          </cell>
          <cell r="M62">
            <v>52.188601057621902</v>
          </cell>
          <cell r="N62">
            <v>79.0284162519565</v>
          </cell>
          <cell r="O62">
            <v>84.119670482427907</v>
          </cell>
          <cell r="P62">
            <v>89.644203971507395</v>
          </cell>
          <cell r="Q62">
            <v>94.605743982837396</v>
          </cell>
          <cell r="R62">
            <v>100.01230293334601</v>
          </cell>
          <cell r="T62">
            <v>0.15558987291138399</v>
          </cell>
          <cell r="U62">
            <v>0.20556354896128001</v>
          </cell>
          <cell r="AI62">
            <v>7.4431695267820004</v>
          </cell>
          <cell r="AJ62">
            <v>7.1809693128983598</v>
          </cell>
          <cell r="AK62">
            <v>7.1587651350007704</v>
          </cell>
          <cell r="AL62">
            <v>6.6714303903779602</v>
          </cell>
          <cell r="AM62">
            <v>7.8719126791032696</v>
          </cell>
          <cell r="AN62">
            <v>7.9292907982105101</v>
          </cell>
          <cell r="AO62">
            <v>7.8516106884547696</v>
          </cell>
          <cell r="AP62">
            <v>8.9243125991598102</v>
          </cell>
          <cell r="AQ62">
            <v>10.4571573843842</v>
          </cell>
          <cell r="AR62">
            <v>12.0186398632377</v>
          </cell>
          <cell r="AS62">
            <v>13.846482330000001</v>
          </cell>
          <cell r="AT62">
            <v>15.86632148</v>
          </cell>
          <cell r="AU62">
            <v>17.517922019002</v>
          </cell>
          <cell r="AV62">
            <v>19.845445566067799</v>
          </cell>
          <cell r="AW62">
            <v>19.422159143637199</v>
          </cell>
          <cell r="AX62">
            <v>22.242889523249399</v>
          </cell>
        </row>
        <row r="63">
          <cell r="B63" t="str">
            <v>% of sales</v>
          </cell>
          <cell r="I63">
            <v>0.24974678924224999</v>
          </cell>
          <cell r="J63">
            <v>0.21666295925803</v>
          </cell>
          <cell r="K63">
            <v>0.22977904813096101</v>
          </cell>
          <cell r="L63">
            <v>0.227249192032695</v>
          </cell>
          <cell r="M63">
            <v>0.196272450760197</v>
          </cell>
          <cell r="N63">
            <v>0.18069826384577001</v>
          </cell>
          <cell r="O63">
            <v>0.180514957513143</v>
          </cell>
          <cell r="P63">
            <v>0.16899416719684199</v>
          </cell>
          <cell r="Q63">
            <v>0.159393494839662</v>
          </cell>
          <cell r="R63">
            <v>0.149798502223117</v>
          </cell>
          <cell r="AI63">
            <v>0.231405093880164</v>
          </cell>
          <cell r="AJ63">
            <v>0.247925592373161</v>
          </cell>
          <cell r="AK63">
            <v>0.236558753698834</v>
          </cell>
          <cell r="AL63">
            <v>0.20564152625340301</v>
          </cell>
          <cell r="AM63">
            <v>0.23646210943977</v>
          </cell>
          <cell r="AN63">
            <v>0.22183486156597601</v>
          </cell>
          <cell r="AO63">
            <v>0.20468025197756901</v>
          </cell>
          <cell r="AP63">
            <v>0.24817788344629599</v>
          </cell>
          <cell r="AQ63">
            <v>0.20511850857894601</v>
          </cell>
          <cell r="AR63">
            <v>0.25625727493386302</v>
          </cell>
          <cell r="AS63">
            <v>0.171040317168804</v>
          </cell>
          <cell r="AT63">
            <v>0.182240518036834</v>
          </cell>
          <cell r="AU63">
            <v>0.1500233491528</v>
          </cell>
          <cell r="AV63">
            <v>0.165862845756966</v>
          </cell>
          <cell r="AW63">
            <v>0.18770793733798799</v>
          </cell>
          <cell r="AX63">
            <v>0.22822029823590301</v>
          </cell>
        </row>
        <row r="65">
          <cell r="B65" t="str">
            <v>Adjusted EBITDA</v>
          </cell>
        </row>
        <row r="66">
          <cell r="B66" t="str">
            <v>Nucleic Acid Production</v>
          </cell>
          <cell r="I66">
            <v>8.2929216575000009</v>
          </cell>
          <cell r="J66">
            <v>11.1012242273233</v>
          </cell>
          <cell r="K66">
            <v>16.7507502172454</v>
          </cell>
          <cell r="L66">
            <v>22.5562217411665</v>
          </cell>
          <cell r="M66">
            <v>97.510720599999999</v>
          </cell>
          <cell r="N66">
            <v>226.63238372030699</v>
          </cell>
          <cell r="O66">
            <v>238.332234156623</v>
          </cell>
          <cell r="P66">
            <v>273.69533808225702</v>
          </cell>
          <cell r="Q66">
            <v>309.77277599459597</v>
          </cell>
          <cell r="R66">
            <v>353.13837045265899</v>
          </cell>
          <cell r="T66">
            <v>0.39589557611145099</v>
          </cell>
          <cell r="U66">
            <v>0.58165985693617706</v>
          </cell>
          <cell r="AI66">
            <v>5.8113840892799997</v>
          </cell>
          <cell r="AJ66">
            <v>3.64852950072</v>
          </cell>
          <cell r="AK66">
            <v>3.86573672724536</v>
          </cell>
          <cell r="AL66">
            <v>3.4250999000000002</v>
          </cell>
          <cell r="AM66">
            <v>4.9461627586105497</v>
          </cell>
          <cell r="AN66">
            <v>5.9164131458241496</v>
          </cell>
          <cell r="AO66">
            <v>8.0045341742924094</v>
          </cell>
          <cell r="AP66">
            <v>3.6891116624393798</v>
          </cell>
          <cell r="AQ66">
            <v>15.7569289</v>
          </cell>
          <cell r="AR66">
            <v>9.7379330300000007</v>
          </cell>
          <cell r="AS66">
            <v>36.017630140000001</v>
          </cell>
          <cell r="AT66">
            <v>35.998228529999999</v>
          </cell>
          <cell r="AU66">
            <v>64.532210818910798</v>
          </cell>
          <cell r="AV66">
            <v>64.615023578705504</v>
          </cell>
          <cell r="AW66">
            <v>51.306501000578798</v>
          </cell>
          <cell r="AX66">
            <v>46.178648322111798</v>
          </cell>
        </row>
        <row r="67">
          <cell r="B67" t="str">
            <v>% margin</v>
          </cell>
          <cell r="I67">
            <v>0.22400888875397501</v>
          </cell>
          <cell r="J67">
            <v>0.232384332290206</v>
          </cell>
          <cell r="K67">
            <v>0.27891162668027802</v>
          </cell>
          <cell r="L67">
            <v>0.309339333196338</v>
          </cell>
          <cell r="M67">
            <v>0.50914028812174605</v>
          </cell>
          <cell r="N67">
            <v>0.64323854825066396</v>
          </cell>
          <cell r="O67">
            <v>0.64595116618430803</v>
          </cell>
          <cell r="P67">
            <v>0.65207972843774198</v>
          </cell>
          <cell r="Q67">
            <v>0.65620233682242701</v>
          </cell>
          <cell r="R67">
            <v>0.66083695341791004</v>
          </cell>
          <cell r="AI67">
            <v>0.37182946589960603</v>
          </cell>
          <cell r="AJ67">
            <v>0.27808241541135698</v>
          </cell>
          <cell r="AK67">
            <v>0.25648734355003699</v>
          </cell>
          <cell r="AL67">
            <v>0.21095413515386099</v>
          </cell>
          <cell r="AM67">
            <v>0.31123555234644701</v>
          </cell>
          <cell r="AN67">
            <v>0.32591304144120797</v>
          </cell>
          <cell r="AO67">
            <v>0.37867520788392101</v>
          </cell>
          <cell r="AP67">
            <v>0.208027424136281</v>
          </cell>
          <cell r="AQ67">
            <v>0.51679767184343495</v>
          </cell>
          <cell r="AR67">
            <v>0.32007593564221698</v>
          </cell>
          <cell r="AS67">
            <v>0.58188331899908496</v>
          </cell>
          <cell r="AT67">
            <v>0.52392613369550101</v>
          </cell>
          <cell r="AU67">
            <v>0.68535939203122398</v>
          </cell>
          <cell r="AV67">
            <v>0.65386783787752301</v>
          </cell>
          <cell r="AW67">
            <v>0.62037486764841299</v>
          </cell>
          <cell r="AX67">
            <v>0.60246191987548803</v>
          </cell>
        </row>
        <row r="69">
          <cell r="B69" t="str">
            <v>Biologics Safety Testings</v>
          </cell>
          <cell r="I69">
            <v>19.490884361124699</v>
          </cell>
          <cell r="J69">
            <v>25.343395067744002</v>
          </cell>
          <cell r="K69">
            <v>31.199332609999999</v>
          </cell>
          <cell r="L69">
            <v>36.370468763334699</v>
          </cell>
          <cell r="M69">
            <v>40.614758850000001</v>
          </cell>
          <cell r="N69">
            <v>46.323858427867698</v>
          </cell>
          <cell r="O69">
            <v>54.938421491741998</v>
          </cell>
          <cell r="P69">
            <v>65.241636947066397</v>
          </cell>
          <cell r="Q69">
            <v>73.104901258432506</v>
          </cell>
          <cell r="R69">
            <v>81.824066858331804</v>
          </cell>
          <cell r="T69">
            <v>0.23113530189810699</v>
          </cell>
          <cell r="U69">
            <v>0.14469212161058301</v>
          </cell>
          <cell r="AI69">
            <v>8.1687721700000004</v>
          </cell>
          <cell r="AJ69">
            <v>7.2416020799999998</v>
          </cell>
          <cell r="AK69">
            <v>7.3102182600000001</v>
          </cell>
          <cell r="AL69">
            <v>8.4787400999999996</v>
          </cell>
          <cell r="AM69">
            <v>9.0571838493376102</v>
          </cell>
          <cell r="AN69">
            <v>8.8116965257083599</v>
          </cell>
          <cell r="AO69">
            <v>9.1010211029928598</v>
          </cell>
          <cell r="AP69">
            <v>9.4005672852958604</v>
          </cell>
          <cell r="AQ69">
            <v>11.964517300000001</v>
          </cell>
          <cell r="AR69">
            <v>9.5901896799999999</v>
          </cell>
          <cell r="AS69">
            <v>10.178611200000001</v>
          </cell>
          <cell r="AT69">
            <v>8.8814406699999999</v>
          </cell>
          <cell r="AU69">
            <v>13.011069034141601</v>
          </cell>
          <cell r="AV69">
            <v>11.096602257508099</v>
          </cell>
          <cell r="AW69">
            <v>11.1743269925907</v>
          </cell>
          <cell r="AX69">
            <v>11.041860143627201</v>
          </cell>
        </row>
        <row r="70">
          <cell r="B70" t="str">
            <v>% margin</v>
          </cell>
          <cell r="I70">
            <v>0.81340559776778598</v>
          </cell>
          <cell r="J70">
            <v>0.80558966863017101</v>
          </cell>
          <cell r="K70">
            <v>0.81055052006496298</v>
          </cell>
          <cell r="L70">
            <v>0.82073695925410395</v>
          </cell>
          <cell r="M70">
            <v>0.78622635299644505</v>
          </cell>
          <cell r="N70">
            <v>0.811152685454121</v>
          </cell>
          <cell r="O70">
            <v>0.81789370370456704</v>
          </cell>
          <cell r="P70">
            <v>0.82497272480593098</v>
          </cell>
          <cell r="Q70">
            <v>0.82874327255486202</v>
          </cell>
          <cell r="R70">
            <v>0.83226269391600805</v>
          </cell>
          <cell r="AI70">
            <v>0.82598562312967905</v>
          </cell>
          <cell r="AJ70">
            <v>0.78508929898180702</v>
          </cell>
          <cell r="AK70">
            <v>0.80425118532248596</v>
          </cell>
          <cell r="AL70">
            <v>0.82410566854962897</v>
          </cell>
          <cell r="AM70">
            <v>0.84264678302559903</v>
          </cell>
          <cell r="AN70">
            <v>0.81576834437935697</v>
          </cell>
          <cell r="AO70">
            <v>0.81498836066543801</v>
          </cell>
          <cell r="AP70">
            <v>0.81059367070899202</v>
          </cell>
          <cell r="AQ70">
            <v>0.83705516612053699</v>
          </cell>
          <cell r="AR70">
            <v>0.77589954237832304</v>
          </cell>
          <cell r="AS70">
            <v>0.76995792188293599</v>
          </cell>
          <cell r="AT70">
            <v>0.75365622405484101</v>
          </cell>
          <cell r="AU70">
            <v>0.83171251512789501</v>
          </cell>
          <cell r="AV70">
            <v>0.81123132806831399</v>
          </cell>
          <cell r="AW70">
            <v>0.79738469052830396</v>
          </cell>
          <cell r="AX70">
            <v>0.80173053423323504</v>
          </cell>
        </row>
        <row r="72">
          <cell r="B72" t="str">
            <v>Protein Detection</v>
          </cell>
          <cell r="I72">
            <v>9.6193658798551507</v>
          </cell>
          <cell r="J72">
            <v>10.3214894057694</v>
          </cell>
          <cell r="K72">
            <v>13.845656284920899</v>
          </cell>
          <cell r="L72">
            <v>14.6005292537761</v>
          </cell>
          <cell r="M72">
            <v>9.6318631929497105</v>
          </cell>
          <cell r="N72">
            <v>12.602911474054199</v>
          </cell>
          <cell r="O72">
            <v>13.7481755250795</v>
          </cell>
          <cell r="P72">
            <v>14.7294795003404</v>
          </cell>
          <cell r="Q72">
            <v>15.7889602207258</v>
          </cell>
          <cell r="R72">
            <v>16.745058591264598</v>
          </cell>
          <cell r="T72">
            <v>0.14923113925879999</v>
          </cell>
          <cell r="U72">
            <v>2.3103755387186099E-2</v>
          </cell>
          <cell r="AI72">
            <v>3.5118069949430999</v>
          </cell>
          <cell r="AJ72">
            <v>3.6640983627943098</v>
          </cell>
          <cell r="AK72">
            <v>3.3514237003331702</v>
          </cell>
          <cell r="AL72">
            <v>3.3183272268502901</v>
          </cell>
          <cell r="AM72">
            <v>3.7783226708072801</v>
          </cell>
          <cell r="AN72">
            <v>3.8495478294630798</v>
          </cell>
          <cell r="AO72">
            <v>3.2130605926447702</v>
          </cell>
          <cell r="AP72">
            <v>3.7595981608609899</v>
          </cell>
          <cell r="AQ72">
            <v>3.2765514833709202</v>
          </cell>
          <cell r="AR72">
            <v>0.85042280957878402</v>
          </cell>
          <cell r="AS72">
            <v>2.69820276</v>
          </cell>
          <cell r="AT72">
            <v>2.8066861400000001</v>
          </cell>
          <cell r="AU72">
            <v>3.2604969363805698</v>
          </cell>
          <cell r="AV72">
            <v>3.31867027008124</v>
          </cell>
          <cell r="AW72">
            <v>2.9448877630460899</v>
          </cell>
          <cell r="AX72">
            <v>3.0788565045462799</v>
          </cell>
        </row>
        <row r="73">
          <cell r="B73" t="str">
            <v>% margin</v>
          </cell>
          <cell r="I73">
            <v>0.40854134339381198</v>
          </cell>
          <cell r="J73">
            <v>0.42082787361308499</v>
          </cell>
          <cell r="K73">
            <v>0.54759741843460197</v>
          </cell>
          <cell r="L73">
            <v>0.55892770038241801</v>
          </cell>
          <cell r="M73">
            <v>0.42392690950102202</v>
          </cell>
          <cell r="N73">
            <v>0.451534976187003</v>
          </cell>
          <cell r="O73">
            <v>0.46035195582895</v>
          </cell>
          <cell r="P73">
            <v>0.46542760791363602</v>
          </cell>
          <cell r="Q73">
            <v>0.47478398106025599</v>
          </cell>
          <cell r="R73">
            <v>0.47911645908077399</v>
          </cell>
          <cell r="AI73">
            <v>0.52839203961546999</v>
          </cell>
          <cell r="AJ73">
            <v>0.55349144888793</v>
          </cell>
          <cell r="AK73">
            <v>0.54934271867086004</v>
          </cell>
          <cell r="AL73">
            <v>0.56077501516001704</v>
          </cell>
          <cell r="AM73">
            <v>0.56818086829514702</v>
          </cell>
          <cell r="AN73">
            <v>0.56702289184940602</v>
          </cell>
          <cell r="AO73">
            <v>0.530640758895492</v>
          </cell>
          <cell r="AP73">
            <v>0.56719333515850001</v>
          </cell>
          <cell r="AQ73">
            <v>0.52865352596974302</v>
          </cell>
          <cell r="AR73">
            <v>0.20657552561123499</v>
          </cell>
          <cell r="AS73">
            <v>0.462304102649157</v>
          </cell>
          <cell r="AT73">
            <v>0.42723187631022802</v>
          </cell>
          <cell r="AU73">
            <v>0.4680550090949</v>
          </cell>
          <cell r="AV73">
            <v>0.46406401476667802</v>
          </cell>
          <cell r="AW73">
            <v>0.43602373881376399</v>
          </cell>
          <cell r="AX73">
            <v>0.43734216873107501</v>
          </cell>
        </row>
        <row r="75">
          <cell r="B75" t="str">
            <v>Corporate Overhead (incl. PubCo)</v>
          </cell>
          <cell r="I75">
            <v>-1.05887475</v>
          </cell>
          <cell r="J75">
            <v>-1.8122457408241299</v>
          </cell>
          <cell r="K75">
            <v>-8.7957575818547795</v>
          </cell>
          <cell r="L75">
            <v>-11.187591810000001</v>
          </cell>
          <cell r="M75">
            <v>-16.544798159999999</v>
          </cell>
          <cell r="N75">
            <v>-32.819294101265797</v>
          </cell>
          <cell r="O75">
            <v>-34.917507804368398</v>
          </cell>
          <cell r="P75">
            <v>-37.261265846073698</v>
          </cell>
          <cell r="Q75">
            <v>-39.721651072483297</v>
          </cell>
          <cell r="R75">
            <v>-42.392478635110699</v>
          </cell>
          <cell r="T75">
            <v>1.1943067549426101</v>
          </cell>
          <cell r="U75">
            <v>0.248605852597345</v>
          </cell>
          <cell r="AI75">
            <v>-2.5408593700000002</v>
          </cell>
          <cell r="AJ75">
            <v>-2.2527238199999999</v>
          </cell>
          <cell r="AK75">
            <v>-1.85147060185478</v>
          </cell>
          <cell r="AL75">
            <v>-2.1507037900000001</v>
          </cell>
          <cell r="AM75">
            <v>-2.81649759</v>
          </cell>
          <cell r="AN75">
            <v>-2.7174849600000002</v>
          </cell>
          <cell r="AO75">
            <v>-2.66914249</v>
          </cell>
          <cell r="AP75">
            <v>-2.98446677</v>
          </cell>
          <cell r="AQ75">
            <v>-4.1556450099999998</v>
          </cell>
          <cell r="AR75">
            <v>-3.5671124500000002</v>
          </cell>
          <cell r="AS75">
            <v>-3.5292614699999998</v>
          </cell>
          <cell r="AT75">
            <v>-5.2927792299999998</v>
          </cell>
          <cell r="AU75">
            <v>-8.1938804646067993</v>
          </cell>
          <cell r="AV75">
            <v>-8.0393747452224602</v>
          </cell>
          <cell r="AW75">
            <v>-7.5381400451294596</v>
          </cell>
          <cell r="AX75">
            <v>-9.04789884630706</v>
          </cell>
        </row>
        <row r="76">
          <cell r="B76" t="str">
            <v>Adjusted EBITDA</v>
          </cell>
          <cell r="I76">
            <v>36.344297148479797</v>
          </cell>
          <cell r="J76">
            <v>44.953862960012501</v>
          </cell>
          <cell r="K76">
            <v>52.999981530311501</v>
          </cell>
          <cell r="L76">
            <v>62.339627948277297</v>
          </cell>
          <cell r="M76">
            <v>131.21254448294999</v>
          </cell>
          <cell r="N76">
            <v>252.73985952096299</v>
          </cell>
          <cell r="O76">
            <v>272.101323369076</v>
          </cell>
          <cell r="P76">
            <v>316.40518868358998</v>
          </cell>
          <cell r="Q76">
            <v>358.94498640127102</v>
          </cell>
          <cell r="R76">
            <v>409.31501726714401</v>
          </cell>
          <cell r="T76">
            <v>0.19704178483363</v>
          </cell>
          <cell r="U76">
            <v>0.368407918954473</v>
          </cell>
          <cell r="W76">
            <v>0.25549926917055299</v>
          </cell>
          <cell r="AI76">
            <v>14.9511038842231</v>
          </cell>
          <cell r="AJ76">
            <v>12.301506123514301</v>
          </cell>
          <cell r="AK76">
            <v>12.675908085723799</v>
          </cell>
          <cell r="AL76">
            <v>13.0714634368503</v>
          </cell>
          <cell r="AM76">
            <v>14.965171688755399</v>
          </cell>
          <cell r="AN76">
            <v>15.860172540995601</v>
          </cell>
          <cell r="AO76">
            <v>17.649473379930001</v>
          </cell>
          <cell r="AP76">
            <v>13.8648103385962</v>
          </cell>
          <cell r="AQ76">
            <v>26.8423526733709</v>
          </cell>
          <cell r="AR76">
            <v>16.611433069578801</v>
          </cell>
          <cell r="AS76">
            <v>45.36518263</v>
          </cell>
          <cell r="AT76">
            <v>42.393576109999998</v>
          </cell>
          <cell r="AU76">
            <v>72.609896324826195</v>
          </cell>
          <cell r="AV76">
            <v>70.990921361072395</v>
          </cell>
          <cell r="AW76">
            <v>57.8875757110862</v>
          </cell>
          <cell r="AX76">
            <v>51.251466123978297</v>
          </cell>
        </row>
        <row r="77">
          <cell r="B77" t="str">
            <v>% margin</v>
          </cell>
          <cell r="I77">
            <v>0.42996647266077198</v>
          </cell>
          <cell r="J77">
            <v>0.43326088577025601</v>
          </cell>
          <cell r="K77">
            <v>0.427994032499597</v>
          </cell>
          <cell r="L77">
            <v>0.43486432014367399</v>
          </cell>
          <cell r="M77">
            <v>0.493468059197743</v>
          </cell>
          <cell r="N77">
            <v>0.57788901747010601</v>
          </cell>
          <cell r="O77">
            <v>0.58391049971480002</v>
          </cell>
          <cell r="P77">
            <v>0.59647616900405598</v>
          </cell>
          <cell r="Q77">
            <v>0.60475710489685397</v>
          </cell>
          <cell r="R77">
            <v>0.61307233935920302</v>
          </cell>
          <cell r="AI77">
            <v>0.46482369983537503</v>
          </cell>
          <cell r="AJ77">
            <v>0.42471399888539302</v>
          </cell>
          <cell r="AK77">
            <v>0.41887070775642399</v>
          </cell>
          <cell r="AL77">
            <v>0.40291744561950898</v>
          </cell>
          <cell r="AM77">
            <v>0.44953446638772299</v>
          </cell>
          <cell r="AN77">
            <v>0.44371423240503099</v>
          </cell>
          <cell r="AO77">
            <v>0.46009650783977202</v>
          </cell>
          <cell r="AP77">
            <v>0.385569112016659</v>
          </cell>
          <cell r="AQ77">
            <v>0.52651625530030899</v>
          </cell>
          <cell r="AR77">
            <v>0.35418322036398597</v>
          </cell>
          <cell r="AS77">
            <v>0.56037880528287898</v>
          </cell>
          <cell r="AT77">
            <v>0.48693248031429398</v>
          </cell>
          <cell r="AU77">
            <v>0.621830592491048</v>
          </cell>
          <cell r="AV77">
            <v>0.59332284582157102</v>
          </cell>
          <cell r="AW77">
            <v>0.55946186795531105</v>
          </cell>
          <cell r="AX77">
            <v>0.52585905583965098</v>
          </cell>
        </row>
        <row r="79">
          <cell r="B79" t="str">
            <v>Maintenance Capex</v>
          </cell>
          <cell r="I79">
            <v>1.96764878</v>
          </cell>
          <cell r="J79">
            <v>2.3658858299999999</v>
          </cell>
          <cell r="K79">
            <v>0.98974786000000003</v>
          </cell>
          <cell r="L79">
            <v>0.67841178999999996</v>
          </cell>
          <cell r="M79">
            <v>2.1128322800000001</v>
          </cell>
          <cell r="N79">
            <v>4.9349930472623003</v>
          </cell>
          <cell r="O79">
            <v>5.2452544684528002</v>
          </cell>
          <cell r="P79">
            <v>5.9713168352546901</v>
          </cell>
          <cell r="Q79">
            <v>6.6859354373357904</v>
          </cell>
          <cell r="R79">
            <v>7.5272491603544696</v>
          </cell>
          <cell r="AI79">
            <v>0.31622710999999998</v>
          </cell>
          <cell r="AJ79">
            <v>9.3366329999999997E-2</v>
          </cell>
          <cell r="AK79">
            <v>0.29547354999999997</v>
          </cell>
          <cell r="AL79">
            <v>0.28468086999999997</v>
          </cell>
          <cell r="AM79">
            <v>6.6666290000000003E-2</v>
          </cell>
          <cell r="AN79">
            <v>0.10970684</v>
          </cell>
          <cell r="AO79">
            <v>0.24358568999999999</v>
          </cell>
          <cell r="AP79">
            <v>0.25845297</v>
          </cell>
          <cell r="AQ79">
            <v>5.119348E-2</v>
          </cell>
          <cell r="AR79">
            <v>0.24439180999999999</v>
          </cell>
          <cell r="AS79">
            <v>0.87038532000000002</v>
          </cell>
          <cell r="AT79">
            <v>0.94686166999999999</v>
          </cell>
          <cell r="AU79">
            <v>1.319389477121</v>
          </cell>
          <cell r="AV79">
            <v>1.3549341368012999</v>
          </cell>
          <cell r="AW79">
            <v>1.1650745338399999</v>
          </cell>
          <cell r="AX79">
            <v>1.0955948995</v>
          </cell>
        </row>
        <row r="80">
          <cell r="B80" t="str">
            <v>Growth Capex</v>
          </cell>
          <cell r="I80">
            <v>0.1035124</v>
          </cell>
          <cell r="J80">
            <v>1.35302582</v>
          </cell>
          <cell r="K80">
            <v>2.8149928599999998</v>
          </cell>
          <cell r="L80">
            <v>18.973129400000001</v>
          </cell>
          <cell r="M80">
            <v>28.507758720000002</v>
          </cell>
          <cell r="N80">
            <v>7.9849741496622997</v>
          </cell>
          <cell r="O80">
            <v>1.63114343259873</v>
          </cell>
          <cell r="P80">
            <v>1.88143843203191</v>
          </cell>
          <cell r="Q80">
            <v>2.1081192609457902</v>
          </cell>
          <cell r="R80">
            <v>2.3699735399698501</v>
          </cell>
          <cell r="AI80">
            <v>0.29952569000000001</v>
          </cell>
          <cell r="AJ80">
            <v>0.64074602999999997</v>
          </cell>
          <cell r="AK80">
            <v>0.95407154000000005</v>
          </cell>
          <cell r="AL80">
            <v>0.92064959999999996</v>
          </cell>
          <cell r="AM80">
            <v>8.9125737199999993</v>
          </cell>
          <cell r="AN80">
            <v>2.2682475599999998</v>
          </cell>
          <cell r="AO80">
            <v>2.0169923399999998</v>
          </cell>
          <cell r="AP80">
            <v>5.7753157799999997</v>
          </cell>
          <cell r="AQ80">
            <v>1.37718275</v>
          </cell>
          <cell r="AR80">
            <v>4.1214691600000002</v>
          </cell>
          <cell r="AS80">
            <v>18.48821113</v>
          </cell>
          <cell r="AT80">
            <v>4.5208956799999998</v>
          </cell>
          <cell r="AU80">
            <v>2.0242083567210001</v>
          </cell>
          <cell r="AV80">
            <v>2.0172687880012998</v>
          </cell>
          <cell r="AW80">
            <v>1.9809114166399999</v>
          </cell>
          <cell r="AX80">
            <v>1.9625855883000001</v>
          </cell>
        </row>
        <row r="81">
          <cell r="B81" t="str">
            <v>EBITDA - Capex</v>
          </cell>
          <cell r="I81">
            <v>34.273135968479799</v>
          </cell>
          <cell r="J81">
            <v>41.234951310012498</v>
          </cell>
          <cell r="K81">
            <v>49.195240810311503</v>
          </cell>
          <cell r="L81">
            <v>42.688086758277301</v>
          </cell>
          <cell r="M81">
            <v>100.59195348295</v>
          </cell>
          <cell r="N81">
            <v>239.81989232403799</v>
          </cell>
          <cell r="O81">
            <v>265.22492546802403</v>
          </cell>
          <cell r="P81">
            <v>308.55243341630398</v>
          </cell>
          <cell r="Q81">
            <v>350.15093170299002</v>
          </cell>
          <cell r="R81">
            <v>399.41779456682002</v>
          </cell>
          <cell r="T81">
            <v>7.5930656927214096E-2</v>
          </cell>
          <cell r="U81">
            <v>0.45162170458303202</v>
          </cell>
          <cell r="AI81">
            <v>14.335351084223101</v>
          </cell>
          <cell r="AJ81">
            <v>11.5673937635143</v>
          </cell>
          <cell r="AK81">
            <v>11.4263629957238</v>
          </cell>
          <cell r="AL81">
            <v>11.8661329668503</v>
          </cell>
          <cell r="AM81">
            <v>5.9859316787554304</v>
          </cell>
          <cell r="AN81">
            <v>13.482218140995601</v>
          </cell>
          <cell r="AO81">
            <v>15.388895349929999</v>
          </cell>
          <cell r="AP81">
            <v>7.8310415885962303</v>
          </cell>
          <cell r="AQ81">
            <v>25.413976443370899</v>
          </cell>
          <cell r="AR81">
            <v>12.2455720995788</v>
          </cell>
          <cell r="AS81">
            <v>26.006586179999999</v>
          </cell>
          <cell r="AT81">
            <v>36.925818759999999</v>
          </cell>
          <cell r="AU81">
            <v>69.266298490984198</v>
          </cell>
          <cell r="AV81">
            <v>67.618718436269802</v>
          </cell>
          <cell r="AW81">
            <v>54.741589760606203</v>
          </cell>
          <cell r="AX81">
            <v>48.193285636178302</v>
          </cell>
        </row>
        <row r="82">
          <cell r="B82" t="str">
            <v>% Conversion</v>
          </cell>
          <cell r="I82">
            <v>0.94301276011643498</v>
          </cell>
          <cell r="J82">
            <v>0.91727270127356897</v>
          </cell>
          <cell r="K82">
            <v>0.92821241422840906</v>
          </cell>
          <cell r="L82">
            <v>0.68476646658358697</v>
          </cell>
          <cell r="M82">
            <v>0.76663366204304495</v>
          </cell>
          <cell r="N82">
            <v>0.94888037359278099</v>
          </cell>
          <cell r="O82">
            <v>0.97472853929591396</v>
          </cell>
          <cell r="P82">
            <v>0.975181332202679</v>
          </cell>
          <cell r="Q82">
            <v>0.97550027154174901</v>
          </cell>
          <cell r="R82">
            <v>0.97582003522273697</v>
          </cell>
          <cell r="AI82">
            <v>0.95881556273247703</v>
          </cell>
          <cell r="AJ82">
            <v>0.94032337563960999</v>
          </cell>
          <cell r="AK82">
            <v>0.90142362333730597</v>
          </cell>
          <cell r="AL82">
            <v>0.90778917174629403</v>
          </cell>
          <cell r="AM82">
            <v>0.39999084562812998</v>
          </cell>
          <cell r="AN82">
            <v>0.85006755797558797</v>
          </cell>
          <cell r="AO82">
            <v>0.87191810308796003</v>
          </cell>
          <cell r="AP82">
            <v>0.56481418767024405</v>
          </cell>
          <cell r="AQ82">
            <v>0.94678647407024696</v>
          </cell>
          <cell r="AR82">
            <v>0.73717734335664398</v>
          </cell>
          <cell r="AS82">
            <v>0.57327193835216395</v>
          </cell>
          <cell r="AT82">
            <v>0.87102391796783996</v>
          </cell>
          <cell r="AU82">
            <v>0.95395121046745301</v>
          </cell>
          <cell r="AV82">
            <v>0.95249811017875097</v>
          </cell>
          <cell r="AW82">
            <v>0.94565352043448103</v>
          </cell>
          <cell r="AX82">
            <v>0.94032989260439503</v>
          </cell>
        </row>
        <row r="84">
          <cell r="I84">
            <v>34.376648368479799</v>
          </cell>
          <cell r="J84">
            <v>42.587977130012497</v>
          </cell>
          <cell r="K84">
            <v>52.0102336703115</v>
          </cell>
          <cell r="L84">
            <v>61.661216158277298</v>
          </cell>
          <cell r="M84">
            <v>129.09971220295</v>
          </cell>
        </row>
        <row r="85">
          <cell r="I85">
            <v>0.94586086581998197</v>
          </cell>
          <cell r="J85">
            <v>0.94737080032244403</v>
          </cell>
          <cell r="K85">
            <v>0.98132550556769604</v>
          </cell>
          <cell r="L85">
            <v>0.98911748734588401</v>
          </cell>
          <cell r="M85">
            <v>0.98389763502928995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for comment"/>
      <sheetName val="iQ_Measure_Validations_Errors"/>
      <sheetName val="GeographicalBreakdown"/>
      <sheetName val="iQ_US_CoreIndustrials"/>
      <sheetName val="Model"/>
      <sheetName val="Sensitivity"/>
      <sheetName val="Balance Sheet (2)"/>
      <sheetName val="Cash Flows (2)"/>
      <sheetName val="balance sheet"/>
      <sheetName val="Reserves"/>
      <sheetName val="Well Stats"/>
      <sheetName val="APACMP"/>
      <sheetName val="Module1"/>
      <sheetName val="GAAP &amp; Comments"/>
      <sheetName val="Sheet1"/>
      <sheetName val="Gas Hedges"/>
      <sheetName val="Oil Hedges"/>
    </sheetNames>
    <sheetDataSet>
      <sheetData sheetId="0" refreshError="1"/>
      <sheetData sheetId="1" refreshError="1"/>
      <sheetData sheetId="2" refreshError="1"/>
      <sheetData sheetId="3" refreshError="1">
        <row r="21">
          <cell r="A21" t="str">
            <v>25193</v>
          </cell>
          <cell r="B21" t="str">
            <v>25193|C</v>
          </cell>
          <cell r="E21" t="str">
            <v>|-4142|1|NOTBLANK |</v>
          </cell>
          <cell r="F21" t="str">
            <v>Investment Rating</v>
          </cell>
          <cell r="G21" t="str">
            <v>2 - Neutral</v>
          </cell>
          <cell r="J21" t="str">
            <v>numeric</v>
          </cell>
          <cell r="K21" t="str">
            <v>actual</v>
          </cell>
          <cell r="Q21">
            <v>0</v>
          </cell>
        </row>
        <row r="22">
          <cell r="A22" t="str">
            <v>25195</v>
          </cell>
          <cell r="B22" t="str">
            <v>25195|C</v>
          </cell>
          <cell r="F22" t="str">
            <v>Income Rating</v>
          </cell>
          <cell r="G22" t="str">
            <v>7 - Same / Higher</v>
          </cell>
          <cell r="J22" t="str">
            <v>numeric</v>
          </cell>
          <cell r="K22" t="str">
            <v>actual</v>
          </cell>
          <cell r="Q22">
            <v>0</v>
          </cell>
        </row>
        <row r="23">
          <cell r="A23" t="str">
            <v>12763</v>
          </cell>
          <cell r="B23" t="str">
            <v>12763|C</v>
          </cell>
          <cell r="E23" t="str">
            <v>|-4142|1|NOTBLANK |</v>
          </cell>
          <cell r="F23" t="str">
            <v>Investment characteristics</v>
          </cell>
          <cell r="G23" t="str">
            <v>1 - Growth</v>
          </cell>
          <cell r="J23" t="str">
            <v>string</v>
          </cell>
          <cell r="K23" t="str">
            <v>actual</v>
          </cell>
          <cell r="Q23">
            <v>0</v>
          </cell>
        </row>
        <row r="24">
          <cell r="A24" t="str">
            <v>12764</v>
          </cell>
          <cell r="B24" t="str">
            <v>12764|C</v>
          </cell>
          <cell r="F24" t="str">
            <v>Current 12-Month Price Objective</v>
          </cell>
          <cell r="G24">
            <v>112</v>
          </cell>
          <cell r="J24">
            <v>0</v>
          </cell>
          <cell r="K24" t="str">
            <v>actual</v>
          </cell>
          <cell r="Q24">
            <v>0</v>
          </cell>
        </row>
        <row r="25">
          <cell r="A25" t="str">
            <v>12765</v>
          </cell>
          <cell r="B25" t="str">
            <v>12765|C</v>
          </cell>
          <cell r="F25" t="str">
            <v>12 month price objective - base price</v>
          </cell>
          <cell r="G25">
            <v>89.44</v>
          </cell>
          <cell r="J25">
            <v>0</v>
          </cell>
          <cell r="K25" t="str">
            <v>actual</v>
          </cell>
          <cell r="Q25">
            <v>0</v>
          </cell>
        </row>
        <row r="26">
          <cell r="B26" t="str">
            <v>50639|CR4</v>
          </cell>
          <cell r="E26" t="str">
            <v>|37|28|= TRUE|</v>
          </cell>
          <cell r="F26" t="str">
            <v>STOCK_PRICE_OBJ_CHECK</v>
          </cell>
          <cell r="G26" t="str">
            <v>TRUE</v>
          </cell>
          <cell r="J26">
            <v>0</v>
          </cell>
          <cell r="K26" t="str">
            <v>actual</v>
          </cell>
          <cell r="Q26">
            <v>0</v>
          </cell>
        </row>
        <row r="27">
          <cell r="A27" t="str">
            <v>12901</v>
          </cell>
          <cell r="B27" t="str">
            <v>12901|C</v>
          </cell>
          <cell r="E27" t="str">
            <v>|-4142|3|&gt; 0|1|NOTBLANK |</v>
          </cell>
          <cell r="F27" t="str">
            <v>Current shares outstanding</v>
          </cell>
          <cell r="G27">
            <v>328.57799999999997</v>
          </cell>
          <cell r="J27" t="str">
            <v>numeric</v>
          </cell>
          <cell r="K27" t="str">
            <v>mm</v>
          </cell>
          <cell r="Q27">
            <v>0</v>
          </cell>
        </row>
        <row r="28">
          <cell r="A28" t="str">
            <v>12771</v>
          </cell>
          <cell r="B28" t="str">
            <v>12771|C</v>
          </cell>
          <cell r="F28" t="str">
            <v>Market Cap</v>
          </cell>
          <cell r="G28">
            <v>23710.188479999997</v>
          </cell>
          <cell r="J28">
            <v>0</v>
          </cell>
          <cell r="K28" t="str">
            <v>mm</v>
          </cell>
          <cell r="Q28">
            <v>0</v>
          </cell>
        </row>
        <row r="29">
          <cell r="A29">
            <v>0</v>
          </cell>
          <cell r="B29">
            <v>0</v>
          </cell>
        </row>
        <row r="30">
          <cell r="A30">
            <v>0</v>
          </cell>
          <cell r="F30" t="str">
            <v>Stock Price</v>
          </cell>
          <cell r="J30">
            <v>0</v>
          </cell>
        </row>
        <row r="31">
          <cell r="B31" t="str">
            <v>19206|CR4</v>
          </cell>
          <cell r="F31" t="str">
            <v>Price</v>
          </cell>
          <cell r="G31">
            <v>72.16</v>
          </cell>
          <cell r="H31" t="str">
            <v>&lt;IQXL&gt;src=c@E4;NPRICE;</v>
          </cell>
          <cell r="J31">
            <v>0</v>
          </cell>
          <cell r="K31" t="str">
            <v>actual</v>
          </cell>
          <cell r="Q31">
            <v>0</v>
          </cell>
        </row>
        <row r="32">
          <cell r="F32" t="str">
            <v>Price Date</v>
          </cell>
          <cell r="G32">
            <v>38699</v>
          </cell>
          <cell r="H32" t="str">
            <v>&lt;IQXL&gt;src=c@E4;PRICEDATE;</v>
          </cell>
          <cell r="J32" t="str">
            <v>date</v>
          </cell>
          <cell r="K32" t="str">
            <v>actual</v>
          </cell>
          <cell r="Q32">
            <v>0</v>
          </cell>
        </row>
        <row r="33">
          <cell r="F33" t="str">
            <v>Price Scaling Factor</v>
          </cell>
          <cell r="G33">
            <v>1</v>
          </cell>
          <cell r="J33">
            <v>0</v>
          </cell>
          <cell r="Q33">
            <v>0</v>
          </cell>
        </row>
        <row r="34">
          <cell r="B34" t="str">
            <v>50631|CR4</v>
          </cell>
          <cell r="E34" t="str">
            <v>|37|28|= TRUE|</v>
          </cell>
          <cell r="F34" t="str">
            <v>STOCK_PRICE_OBJ_CHECK</v>
          </cell>
          <cell r="G34" t="str">
            <v>TRUE</v>
          </cell>
          <cell r="J34">
            <v>0</v>
          </cell>
          <cell r="K34" t="str">
            <v>actual</v>
          </cell>
          <cell r="Q34">
            <v>0</v>
          </cell>
        </row>
        <row r="35">
          <cell r="B35" t="str">
            <v>50632|CR4</v>
          </cell>
          <cell r="E35" t="str">
            <v>|37|28|= TRUE|</v>
          </cell>
          <cell r="F35" t="str">
            <v>BASE_PRICE_OBJ_CHECK</v>
          </cell>
          <cell r="G35" t="str">
            <v>TRUE</v>
          </cell>
          <cell r="J35">
            <v>0</v>
          </cell>
          <cell r="K35" t="str">
            <v>actual</v>
          </cell>
          <cell r="Q35">
            <v>0</v>
          </cell>
        </row>
        <row r="36">
          <cell r="B36" t="str">
            <v>50638|CR4</v>
          </cell>
          <cell r="F36" t="str">
            <v>EQUITY_STOCK_PRICE_OBJ_CHECK</v>
          </cell>
          <cell r="G36" t="str">
            <v>TRUE</v>
          </cell>
          <cell r="J36">
            <v>0</v>
          </cell>
          <cell r="K36" t="str">
            <v>actual</v>
          </cell>
          <cell r="Q36">
            <v>0</v>
          </cell>
        </row>
        <row r="37">
          <cell r="A37" t="str">
            <v>50643</v>
          </cell>
          <cell r="B37" t="str">
            <v>50643|C</v>
          </cell>
          <cell r="F37" t="str">
            <v>PROD_INVESTMENT_RATING</v>
          </cell>
          <cell r="G37" t="str">
            <v>2 - Neutral</v>
          </cell>
          <cell r="H37" t="str">
            <v>&lt;IQXL&gt;src=c@E4;12947;</v>
          </cell>
          <cell r="J37">
            <v>0</v>
          </cell>
          <cell r="K37" t="str">
            <v>actual</v>
          </cell>
          <cell r="Q37">
            <v>0</v>
          </cell>
        </row>
        <row r="38">
          <cell r="A38" t="str">
            <v>50644</v>
          </cell>
          <cell r="B38" t="str">
            <v>50644|C</v>
          </cell>
          <cell r="F38" t="str">
            <v>PROD_PRICE_OBJ</v>
          </cell>
          <cell r="G38">
            <v>112</v>
          </cell>
          <cell r="H38" t="str">
            <v>&lt;IQXL&gt;src=c@E4;12764;</v>
          </cell>
          <cell r="J38">
            <v>0</v>
          </cell>
          <cell r="K38" t="str">
            <v>actual</v>
          </cell>
          <cell r="Q38">
            <v>0</v>
          </cell>
        </row>
        <row r="39">
          <cell r="A39" t="str">
            <v>50645</v>
          </cell>
          <cell r="B39" t="str">
            <v>50645|C</v>
          </cell>
          <cell r="F39" t="str">
            <v>PROD_PRICE_OBJ_BASE_PRICE</v>
          </cell>
          <cell r="G39">
            <v>89.44</v>
          </cell>
          <cell r="H39" t="str">
            <v>&lt;IQXL&gt;src=c@E4;12765;</v>
          </cell>
          <cell r="J39">
            <v>0</v>
          </cell>
          <cell r="K39" t="str">
            <v>actual</v>
          </cell>
          <cell r="Q39">
            <v>0</v>
          </cell>
        </row>
        <row r="40">
          <cell r="B40" t="str">
            <v>50646|CR4</v>
          </cell>
          <cell r="E40" t="str">
            <v>|37|28|= TRUE|</v>
          </cell>
          <cell r="F40" t="str">
            <v>PROD_PRICE_OBJ_CONTROL</v>
          </cell>
          <cell r="G40" t="str">
            <v>TRUE</v>
          </cell>
          <cell r="J40">
            <v>0</v>
          </cell>
          <cell r="K40" t="str">
            <v>actual</v>
          </cell>
          <cell r="Q40">
            <v>0</v>
          </cell>
        </row>
        <row r="41">
          <cell r="B41" t="str">
            <v>51010|CR4</v>
          </cell>
          <cell r="E41" t="str">
            <v>|37|28|= TRUE|</v>
          </cell>
          <cell r="F41" t="str">
            <v>PROD_PRICE_OBJ_CONTROL_TWO</v>
          </cell>
          <cell r="G41" t="str">
            <v>TRUE</v>
          </cell>
          <cell r="J41">
            <v>0</v>
          </cell>
          <cell r="K41" t="str">
            <v>actual</v>
          </cell>
          <cell r="Q41">
            <v>0</v>
          </cell>
        </row>
        <row r="42">
          <cell r="B42" t="str">
            <v>50660|CR4</v>
          </cell>
          <cell r="E42" t="str">
            <v>|37|28|= TRUE|</v>
          </cell>
          <cell r="F42" t="str">
            <v>QRQ_CHECK</v>
          </cell>
          <cell r="G42" t="str">
            <v>TRUE</v>
          </cell>
          <cell r="J42">
            <v>0</v>
          </cell>
          <cell r="K42" t="str">
            <v>actual</v>
          </cell>
          <cell r="Q42">
            <v>0</v>
          </cell>
        </row>
        <row r="43">
          <cell r="A43">
            <v>0</v>
          </cell>
          <cell r="B43">
            <v>0</v>
          </cell>
          <cell r="C43" t="str">
            <v>Primary_Company_Data_End=0</v>
          </cell>
          <cell r="F43">
            <v>0</v>
          </cell>
          <cell r="G43">
            <v>0</v>
          </cell>
          <cell r="H43">
            <v>0</v>
          </cell>
          <cell r="J43">
            <v>0</v>
          </cell>
          <cell r="K43" t="str">
            <v>actual</v>
          </cell>
          <cell r="Q43">
            <v>0</v>
          </cell>
        </row>
        <row r="44">
          <cell r="C44" t="str">
            <v>ComplianceSection_Start</v>
          </cell>
          <cell r="F44" t="str">
            <v>Fiscal Year Data</v>
          </cell>
        </row>
        <row r="45">
          <cell r="F45" t="str">
            <v>Year</v>
          </cell>
          <cell r="R45" t="str">
            <v>1995:Q1</v>
          </cell>
          <cell r="S45" t="str">
            <v>1995:Q2</v>
          </cell>
          <cell r="T45" t="str">
            <v>1995:Q3</v>
          </cell>
          <cell r="U45" t="str">
            <v>1995:Q4</v>
          </cell>
          <cell r="V45" t="str">
            <v>1995:H1</v>
          </cell>
          <cell r="W45" t="str">
            <v>1995:H2</v>
          </cell>
          <cell r="X45" t="str">
            <v>FY 1995</v>
          </cell>
          <cell r="Y45" t="str">
            <v>1996:Q1</v>
          </cell>
          <cell r="Z45" t="str">
            <v>1996:Q2</v>
          </cell>
          <cell r="AA45" t="str">
            <v>1996:Q3</v>
          </cell>
          <cell r="AB45" t="str">
            <v>1996:Q4</v>
          </cell>
          <cell r="AC45" t="str">
            <v>1996:H1</v>
          </cell>
          <cell r="AD45" t="str">
            <v>1996:H2</v>
          </cell>
          <cell r="AE45" t="str">
            <v>FY 1996</v>
          </cell>
          <cell r="AF45" t="str">
            <v>1997:Q1</v>
          </cell>
          <cell r="AG45" t="str">
            <v>1997:Q2</v>
          </cell>
          <cell r="AH45" t="str">
            <v>1997:Q3</v>
          </cell>
          <cell r="AI45" t="str">
            <v>1997:Q4</v>
          </cell>
          <cell r="AJ45" t="str">
            <v>1997:H1</v>
          </cell>
          <cell r="AK45" t="str">
            <v>1997:H2</v>
          </cell>
          <cell r="AL45" t="str">
            <v>FY 1997</v>
          </cell>
          <cell r="AM45" t="str">
            <v>1998:Q1</v>
          </cell>
        </row>
        <row r="46">
          <cell r="B46" t="str">
            <v>18134|C</v>
          </cell>
          <cell r="F46" t="str">
            <v>Actual/Estimate/No Data (A/E/N)</v>
          </cell>
          <cell r="G46">
            <v>0</v>
          </cell>
          <cell r="J46" t="str">
            <v>string</v>
          </cell>
          <cell r="K46" t="str">
            <v>actual</v>
          </cell>
          <cell r="Q46">
            <v>0</v>
          </cell>
          <cell r="R46" t="str">
            <v>N</v>
          </cell>
          <cell r="S46" t="str">
            <v>N</v>
          </cell>
          <cell r="T46" t="str">
            <v>N</v>
          </cell>
          <cell r="U46" t="str">
            <v>N</v>
          </cell>
          <cell r="V46" t="str">
            <v>N</v>
          </cell>
          <cell r="W46" t="str">
            <v>N</v>
          </cell>
          <cell r="X46" t="str">
            <v>N</v>
          </cell>
          <cell r="Y46" t="str">
            <v>N</v>
          </cell>
          <cell r="Z46" t="str">
            <v>N</v>
          </cell>
          <cell r="AA46" t="str">
            <v>N</v>
          </cell>
          <cell r="AB46" t="str">
            <v>N</v>
          </cell>
          <cell r="AC46" t="str">
            <v>N</v>
          </cell>
          <cell r="AD46" t="str">
            <v>N</v>
          </cell>
          <cell r="AE46" t="str">
            <v>N</v>
          </cell>
          <cell r="AF46" t="str">
            <v>N</v>
          </cell>
          <cell r="AG46" t="str">
            <v>N</v>
          </cell>
          <cell r="AH46" t="str">
            <v>N</v>
          </cell>
          <cell r="AI46" t="str">
            <v>N</v>
          </cell>
          <cell r="AJ46" t="str">
            <v>N</v>
          </cell>
          <cell r="AK46" t="str">
            <v>N</v>
          </cell>
          <cell r="AL46" t="str">
            <v>N</v>
          </cell>
          <cell r="AM46" t="str">
            <v>N</v>
          </cell>
        </row>
        <row r="47">
          <cell r="B47" t="str">
            <v>25205|C</v>
          </cell>
          <cell r="F47" t="str">
            <v>Period Footnote</v>
          </cell>
          <cell r="J47" t="str">
            <v>string</v>
          </cell>
          <cell r="K47" t="str">
            <v>actual</v>
          </cell>
          <cell r="Q47">
            <v>0</v>
          </cell>
        </row>
        <row r="48">
          <cell r="B48" t="str">
            <v>12569|C</v>
          </cell>
          <cell r="E48" t="str">
            <v>|36|10|NUMERIC |</v>
          </cell>
          <cell r="F48" t="str">
            <v>Earnings Per Share (Published)</v>
          </cell>
          <cell r="J48">
            <v>0</v>
          </cell>
          <cell r="K48" t="str">
            <v>actual</v>
          </cell>
          <cell r="Q48">
            <v>0</v>
          </cell>
        </row>
        <row r="49">
          <cell r="B49" t="str">
            <v>12773|C</v>
          </cell>
          <cell r="E49" t="str">
            <v>|36|10|NUMERIC |</v>
          </cell>
          <cell r="F49" t="str">
            <v>Earnings Per Share (GAAP)</v>
          </cell>
          <cell r="J49">
            <v>0</v>
          </cell>
          <cell r="K49" t="str">
            <v>actual</v>
          </cell>
          <cell r="Q49">
            <v>0</v>
          </cell>
        </row>
        <row r="50">
          <cell r="B50" t="str">
            <v>12570|C</v>
          </cell>
          <cell r="C50" t="str">
            <v>ComplianceSection_End</v>
          </cell>
          <cell r="E50" t="str">
            <v>|36|10|NUMERIC |</v>
          </cell>
          <cell r="F50" t="str">
            <v>Cash Flow Per Share</v>
          </cell>
          <cell r="J50">
            <v>0</v>
          </cell>
          <cell r="K50" t="str">
            <v>actual</v>
          </cell>
          <cell r="Q50">
            <v>0</v>
          </cell>
        </row>
        <row r="51">
          <cell r="C51" t="str">
            <v>CompliancePointInTimeSection_Start</v>
          </cell>
          <cell r="F51" t="str">
            <v>Single Entry Items</v>
          </cell>
          <cell r="AJ51">
            <v>0</v>
          </cell>
          <cell r="AK51">
            <v>0</v>
          </cell>
          <cell r="AL51">
            <v>0</v>
          </cell>
          <cell r="AM51">
            <v>0</v>
          </cell>
        </row>
        <row r="52">
          <cell r="B52" t="str">
            <v>28740|CR3</v>
          </cell>
          <cell r="D52">
            <v>0.26</v>
          </cell>
          <cell r="E52" t="str">
            <v>|-4142|5|&gt;= 0|</v>
          </cell>
          <cell r="F52" t="str">
            <v>Last Year Actual Gross Dividend</v>
          </cell>
          <cell r="G52">
            <v>0.26</v>
          </cell>
          <cell r="J52">
            <v>0</v>
          </cell>
          <cell r="K52" t="str">
            <v>actual</v>
          </cell>
          <cell r="AJ52">
            <v>0</v>
          </cell>
          <cell r="AK52">
            <v>0</v>
          </cell>
          <cell r="AL52">
            <v>0</v>
          </cell>
          <cell r="AM52">
            <v>0</v>
          </cell>
        </row>
        <row r="53">
          <cell r="A53">
            <v>28707</v>
          </cell>
          <cell r="B53" t="str">
            <v>28707|C</v>
          </cell>
          <cell r="E53" t="str">
            <v>|-4142|5|&gt;= 0|</v>
          </cell>
          <cell r="F53" t="str">
            <v>Current Year Indicated Gross Dividend</v>
          </cell>
          <cell r="G53">
            <v>0.33999999999999997</v>
          </cell>
          <cell r="J53">
            <v>0</v>
          </cell>
          <cell r="K53" t="str">
            <v>actual</v>
          </cell>
          <cell r="AJ53">
            <v>0</v>
          </cell>
          <cell r="AK53">
            <v>0</v>
          </cell>
          <cell r="AL53">
            <v>0</v>
          </cell>
          <cell r="AM53">
            <v>0</v>
          </cell>
        </row>
        <row r="54">
          <cell r="A54">
            <v>28706</v>
          </cell>
          <cell r="B54" t="str">
            <v>28706|C</v>
          </cell>
          <cell r="E54" t="str">
            <v>|-4142|5|&gt;= 0|</v>
          </cell>
          <cell r="F54" t="str">
            <v>Indicated Gross Dividend One Year Out</v>
          </cell>
          <cell r="G54">
            <v>0.33999999999999997</v>
          </cell>
          <cell r="J54">
            <v>0</v>
          </cell>
          <cell r="K54" t="str">
            <v>actual</v>
          </cell>
        </row>
        <row r="55">
          <cell r="B55" t="str">
            <v>25196|C</v>
          </cell>
          <cell r="F55" t="str">
            <v>Next Earnings Release Date</v>
          </cell>
          <cell r="J55" t="str">
            <v>date</v>
          </cell>
          <cell r="K55" t="str">
            <v>actual</v>
          </cell>
          <cell r="Q55">
            <v>0</v>
          </cell>
          <cell r="AJ55">
            <v>0</v>
          </cell>
          <cell r="AK55">
            <v>0</v>
          </cell>
          <cell r="AL55">
            <v>0</v>
          </cell>
          <cell r="AM55">
            <v>0</v>
          </cell>
        </row>
        <row r="56">
          <cell r="B56" t="str">
            <v>12612|C</v>
          </cell>
          <cell r="E56" t="str">
            <v>|-4142|10|NUMERIC |</v>
          </cell>
          <cell r="F56" t="str">
            <v>Est Next 5 Year EPS Growth Rate</v>
          </cell>
          <cell r="G56">
            <v>10</v>
          </cell>
          <cell r="J56" t="str">
            <v>%</v>
          </cell>
          <cell r="K56" t="str">
            <v>actual</v>
          </cell>
          <cell r="Q56">
            <v>0</v>
          </cell>
          <cell r="AJ56">
            <v>0</v>
          </cell>
          <cell r="AK56">
            <v>0</v>
          </cell>
          <cell r="AL56">
            <v>0</v>
          </cell>
          <cell r="AM56">
            <v>0</v>
          </cell>
        </row>
        <row r="57">
          <cell r="B57" t="str">
            <v>25198|C</v>
          </cell>
          <cell r="E57" t="str">
            <v>|-4142|10|NUMERIC |</v>
          </cell>
          <cell r="F57" t="str">
            <v>Est Next 5 Year Dividend Per Share Growth Rate</v>
          </cell>
          <cell r="G57">
            <v>5</v>
          </cell>
          <cell r="J57" t="str">
            <v>%</v>
          </cell>
          <cell r="K57" t="str">
            <v>actual</v>
          </cell>
          <cell r="Q57">
            <v>0</v>
          </cell>
          <cell r="AJ57">
            <v>0</v>
          </cell>
          <cell r="AK57">
            <v>0</v>
          </cell>
          <cell r="AL57">
            <v>0</v>
          </cell>
          <cell r="AM57">
            <v>0</v>
          </cell>
        </row>
        <row r="58">
          <cell r="B58" t="str">
            <v>25199|C</v>
          </cell>
          <cell r="E58" t="str">
            <v>|-4142|5|&gt;= 0|</v>
          </cell>
          <cell r="F58" t="str">
            <v>Total Debt / Capital</v>
          </cell>
          <cell r="G58">
            <v>18.399999999999999</v>
          </cell>
          <cell r="J58" t="str">
            <v>%</v>
          </cell>
          <cell r="K58" t="str">
            <v>actual</v>
          </cell>
          <cell r="Q58">
            <v>0</v>
          </cell>
          <cell r="AJ58">
            <v>0</v>
          </cell>
          <cell r="AK58">
            <v>0</v>
          </cell>
          <cell r="AL58">
            <v>0</v>
          </cell>
          <cell r="AM58">
            <v>0</v>
          </cell>
        </row>
        <row r="59">
          <cell r="B59" t="str">
            <v>25200|C</v>
          </cell>
          <cell r="D59">
            <v>38625</v>
          </cell>
          <cell r="E59" t="str">
            <v>|-4142|1|NOTBLANK |</v>
          </cell>
          <cell r="F59" t="str">
            <v>Total Debt / Capital Date</v>
          </cell>
          <cell r="G59">
            <v>38533</v>
          </cell>
          <cell r="J59" t="str">
            <v>date</v>
          </cell>
          <cell r="K59" t="str">
            <v>actual</v>
          </cell>
          <cell r="Q59">
            <v>0</v>
          </cell>
          <cell r="AJ59">
            <v>0</v>
          </cell>
          <cell r="AK59">
            <v>0</v>
          </cell>
          <cell r="AL59">
            <v>0</v>
          </cell>
          <cell r="AM59">
            <v>0</v>
          </cell>
        </row>
        <row r="60">
          <cell r="B60" t="str">
            <v>26794|CR3</v>
          </cell>
          <cell r="D60">
            <v>29.502704886412999</v>
          </cell>
          <cell r="E60" t="str">
            <v>|-4142|10|NUMERIC |</v>
          </cell>
          <cell r="F60" t="str">
            <v>Book Value Per Share Last Qtr.</v>
          </cell>
          <cell r="G60">
            <v>27.99</v>
          </cell>
          <cell r="J60">
            <v>0</v>
          </cell>
          <cell r="K60" t="str">
            <v>actual</v>
          </cell>
          <cell r="Q60">
            <v>0</v>
          </cell>
          <cell r="AJ60">
            <v>0</v>
          </cell>
          <cell r="AK60">
            <v>0</v>
          </cell>
          <cell r="AL60">
            <v>0</v>
          </cell>
          <cell r="AM60">
            <v>0</v>
          </cell>
        </row>
        <row r="61">
          <cell r="B61" t="str">
            <v>26795|CR3</v>
          </cell>
          <cell r="D61">
            <v>38625</v>
          </cell>
          <cell r="E61" t="str">
            <v>|-4142|1|NOTBLANK |</v>
          </cell>
          <cell r="F61" t="str">
            <v>Book Value Date</v>
          </cell>
          <cell r="G61">
            <v>38533</v>
          </cell>
          <cell r="J61" t="str">
            <v>date</v>
          </cell>
          <cell r="K61" t="str">
            <v>actual</v>
          </cell>
          <cell r="Q61">
            <v>0</v>
          </cell>
          <cell r="AJ61">
            <v>0</v>
          </cell>
          <cell r="AK61">
            <v>0</v>
          </cell>
          <cell r="AL61">
            <v>0</v>
          </cell>
          <cell r="AM61">
            <v>0</v>
          </cell>
        </row>
        <row r="62">
          <cell r="A62" t="str">
            <v>25201</v>
          </cell>
          <cell r="B62" t="str">
            <v>25201|C</v>
          </cell>
          <cell r="E62" t="str">
            <v>|-4142|1|NOTBLANK |</v>
          </cell>
          <cell r="F62" t="str">
            <v>Change Reason Code</v>
          </cell>
          <cell r="G62" t="str">
            <v>Reset</v>
          </cell>
          <cell r="J62" t="str">
            <v>string</v>
          </cell>
          <cell r="K62" t="str">
            <v>actual</v>
          </cell>
          <cell r="Q62">
            <v>0</v>
          </cell>
          <cell r="AJ62">
            <v>0</v>
          </cell>
          <cell r="AK62">
            <v>0</v>
          </cell>
          <cell r="AL62">
            <v>0</v>
          </cell>
          <cell r="AM62">
            <v>0</v>
          </cell>
        </row>
        <row r="63">
          <cell r="A63" t="str">
            <v>25202</v>
          </cell>
          <cell r="B63" t="str">
            <v>25202|C</v>
          </cell>
          <cell r="C63">
            <v>0</v>
          </cell>
          <cell r="F63" t="str">
            <v>Split Factor</v>
          </cell>
          <cell r="J63" t="str">
            <v>numeric</v>
          </cell>
          <cell r="K63" t="str">
            <v>actual</v>
          </cell>
          <cell r="Q63">
            <v>0</v>
          </cell>
          <cell r="AJ63">
            <v>0</v>
          </cell>
          <cell r="AK63">
            <v>0</v>
          </cell>
          <cell r="AL63">
            <v>0</v>
          </cell>
          <cell r="AM63">
            <v>0</v>
          </cell>
        </row>
        <row r="64">
          <cell r="A64" t="str">
            <v>12611</v>
          </cell>
          <cell r="B64" t="str">
            <v>12611|C</v>
          </cell>
          <cell r="C64">
            <v>0</v>
          </cell>
          <cell r="F64" t="str">
            <v>Free Float</v>
          </cell>
          <cell r="J64" t="str">
            <v>%</v>
          </cell>
          <cell r="K64" t="str">
            <v>actual</v>
          </cell>
          <cell r="Q64">
            <v>0</v>
          </cell>
        </row>
        <row r="65">
          <cell r="A65" t="str">
            <v>12769</v>
          </cell>
          <cell r="B65" t="str">
            <v>12769|C</v>
          </cell>
          <cell r="F65" t="str">
            <v>5-Yr Historic Compound Growth - Sales</v>
          </cell>
          <cell r="J65" t="str">
            <v>%</v>
          </cell>
          <cell r="K65" t="str">
            <v>actual</v>
          </cell>
          <cell r="Q65">
            <v>0</v>
          </cell>
        </row>
        <row r="66">
          <cell r="A66" t="str">
            <v>12770</v>
          </cell>
          <cell r="B66" t="str">
            <v>12770|C</v>
          </cell>
          <cell r="F66" t="str">
            <v>5-Yr Historic Compound Growth - Profit</v>
          </cell>
          <cell r="J66" t="str">
            <v>%</v>
          </cell>
          <cell r="K66" t="str">
            <v>actual</v>
          </cell>
          <cell r="Q66">
            <v>0</v>
          </cell>
        </row>
        <row r="67">
          <cell r="B67" t="str">
            <v>50641|C</v>
          </cell>
          <cell r="C67">
            <v>0</v>
          </cell>
          <cell r="E67" t="str">
            <v>|37|28|= TRUE|</v>
          </cell>
          <cell r="F67" t="str">
            <v>NEXT_EARNINGS_DATE_FORMAT_CHECK</v>
          </cell>
          <cell r="G67" t="str">
            <v>TRUE</v>
          </cell>
          <cell r="J67">
            <v>0</v>
          </cell>
          <cell r="K67" t="str">
            <v>actual</v>
          </cell>
          <cell r="Q67">
            <v>0</v>
          </cell>
        </row>
        <row r="68">
          <cell r="B68" t="str">
            <v>50636|C</v>
          </cell>
          <cell r="E68" t="str">
            <v>|37|28|= TRUE|</v>
          </cell>
          <cell r="F68" t="str">
            <v>TOTAL_DEBT_CAPITAL_DATE_CHECK</v>
          </cell>
          <cell r="G68" t="str">
            <v>TRUE</v>
          </cell>
          <cell r="J68">
            <v>0</v>
          </cell>
          <cell r="K68" t="str">
            <v>actual</v>
          </cell>
          <cell r="Q68">
            <v>0</v>
          </cell>
        </row>
        <row r="69">
          <cell r="B69" t="str">
            <v>50666|C</v>
          </cell>
          <cell r="E69" t="str">
            <v>|37|28|= TRUE|</v>
          </cell>
          <cell r="F69" t="str">
            <v>TOTAL_DEBT_CAPITAL_DATE_FORMAT_CHECK</v>
          </cell>
          <cell r="G69" t="str">
            <v>TRUE</v>
          </cell>
          <cell r="J69">
            <v>0</v>
          </cell>
          <cell r="K69" t="str">
            <v>actual</v>
          </cell>
          <cell r="Q69">
            <v>0</v>
          </cell>
        </row>
        <row r="70">
          <cell r="B70" t="str">
            <v>50637|C</v>
          </cell>
          <cell r="E70" t="str">
            <v>|37|28|= TRUE|</v>
          </cell>
          <cell r="F70" t="str">
            <v>BVPS_DATE_CHECK</v>
          </cell>
          <cell r="G70" t="str">
            <v>TRUE</v>
          </cell>
          <cell r="J70">
            <v>0</v>
          </cell>
          <cell r="K70" t="str">
            <v>actual</v>
          </cell>
          <cell r="Q70">
            <v>0</v>
          </cell>
        </row>
        <row r="71">
          <cell r="B71" t="str">
            <v>50642|C</v>
          </cell>
          <cell r="E71" t="str">
            <v>|37|28|= TRUE|</v>
          </cell>
          <cell r="F71" t="str">
            <v>BVPS_DATE_FORMAT_CHECK</v>
          </cell>
          <cell r="G71" t="str">
            <v>TRUE</v>
          </cell>
          <cell r="J71">
            <v>0</v>
          </cell>
          <cell r="K71" t="str">
            <v>actual</v>
          </cell>
          <cell r="Q71">
            <v>0</v>
          </cell>
        </row>
        <row r="72">
          <cell r="B72" t="str">
            <v>50630|C</v>
          </cell>
          <cell r="E72" t="str">
            <v>|37|28|= TRUE|</v>
          </cell>
          <cell r="F72" t="str">
            <v>SPLIT_FACTOR_CHANGE</v>
          </cell>
          <cell r="G72" t="str">
            <v>TRUE</v>
          </cell>
          <cell r="J72">
            <v>0</v>
          </cell>
          <cell r="K72" t="str">
            <v>actual</v>
          </cell>
          <cell r="Q72">
            <v>0</v>
          </cell>
        </row>
        <row r="73">
          <cell r="B73" t="str">
            <v>50647|C</v>
          </cell>
          <cell r="E73" t="str">
            <v>|37|28|= TRUE|</v>
          </cell>
          <cell r="F73" t="str">
            <v>BVPS_DATE_TO_TOTAL_DEBT_DATE</v>
          </cell>
          <cell r="G73" t="str">
            <v>TRUE</v>
          </cell>
          <cell r="J73">
            <v>0</v>
          </cell>
          <cell r="K73" t="str">
            <v>actual</v>
          </cell>
          <cell r="Q73">
            <v>0</v>
          </cell>
        </row>
        <row r="74">
          <cell r="B74" t="str">
            <v>50648|C</v>
          </cell>
          <cell r="E74" t="str">
            <v>|37|28|= TRUE|</v>
          </cell>
          <cell r="F74" t="str">
            <v>LATEST_ACTUAL_DATE_CHECK</v>
          </cell>
          <cell r="G74" t="e">
            <v>#VALUE!</v>
          </cell>
          <cell r="J74">
            <v>0</v>
          </cell>
          <cell r="K74" t="str">
            <v>actual</v>
          </cell>
          <cell r="Q74">
            <v>0</v>
          </cell>
        </row>
        <row r="75">
          <cell r="B75" t="str">
            <v>51009|C</v>
          </cell>
          <cell r="E75" t="str">
            <v>|37|28|= TRUE|</v>
          </cell>
          <cell r="F75" t="str">
            <v>5YR_EPS_CHECK</v>
          </cell>
          <cell r="G75" t="str">
            <v>TRUE</v>
          </cell>
          <cell r="J75">
            <v>0</v>
          </cell>
          <cell r="K75" t="str">
            <v>actual</v>
          </cell>
          <cell r="Q75">
            <v>0</v>
          </cell>
        </row>
        <row r="76">
          <cell r="B76" t="str">
            <v>51008|C</v>
          </cell>
          <cell r="E76" t="str">
            <v>|37|28|= TRUE|</v>
          </cell>
          <cell r="F76" t="str">
            <v>5YR_DPS_CHECK</v>
          </cell>
          <cell r="G76" t="str">
            <v>TRUE</v>
          </cell>
          <cell r="J76">
            <v>0</v>
          </cell>
          <cell r="K76" t="str">
            <v>actual</v>
          </cell>
          <cell r="Q76">
            <v>0</v>
          </cell>
        </row>
        <row r="77">
          <cell r="B77" t="str">
            <v>51007|C</v>
          </cell>
          <cell r="C77" t="str">
            <v>CompliancePointInTimeSection_End</v>
          </cell>
          <cell r="E77" t="str">
            <v>|37|28|= TRUE|</v>
          </cell>
          <cell r="F77" t="str">
            <v>ALWAYS_TRUE</v>
          </cell>
          <cell r="G77" t="str">
            <v>TRUE</v>
          </cell>
          <cell r="J77">
            <v>0</v>
          </cell>
          <cell r="K77" t="str">
            <v>actual</v>
          </cell>
          <cell r="Q77">
            <v>0</v>
          </cell>
        </row>
        <row r="78">
          <cell r="A78" t="str">
            <v>48529</v>
          </cell>
          <cell r="B78">
            <v>0</v>
          </cell>
          <cell r="C78" t="str">
            <v>POintInTimeSection_Start</v>
          </cell>
          <cell r="F78" t="str">
            <v>Template profile indicator</v>
          </cell>
          <cell r="G78" t="str">
            <v>US Industrials</v>
          </cell>
          <cell r="J78" t="str">
            <v>string</v>
          </cell>
          <cell r="K78" t="str">
            <v>actual</v>
          </cell>
          <cell r="Q78">
            <v>0</v>
          </cell>
        </row>
        <row r="79">
          <cell r="A79">
            <v>0</v>
          </cell>
          <cell r="B79">
            <v>0</v>
          </cell>
          <cell r="F79" t="str">
            <v>Template profile indicator</v>
          </cell>
          <cell r="G79" t="str">
            <v>US Industrials</v>
          </cell>
          <cell r="J79" t="str">
            <v>string</v>
          </cell>
          <cell r="K79" t="str">
            <v>actual</v>
          </cell>
          <cell r="Q79">
            <v>0</v>
          </cell>
        </row>
        <row r="80">
          <cell r="A80" t="str">
            <v>28881</v>
          </cell>
          <cell r="B80">
            <v>0</v>
          </cell>
          <cell r="F80" t="str">
            <v>EPS 5-YR Projected compound annual growth rate</v>
          </cell>
          <cell r="J80" t="str">
            <v>%</v>
          </cell>
          <cell r="K80" t="str">
            <v>actual</v>
          </cell>
          <cell r="Q80">
            <v>0</v>
          </cell>
        </row>
        <row r="81">
          <cell r="A81" t="str">
            <v>28882</v>
          </cell>
          <cell r="F81" t="str">
            <v>EBITDA 5-YR Projected compound annual growth rate</v>
          </cell>
          <cell r="J81" t="str">
            <v>%</v>
          </cell>
          <cell r="K81" t="str">
            <v>actual</v>
          </cell>
          <cell r="Q81">
            <v>0</v>
          </cell>
        </row>
        <row r="82">
          <cell r="A82" t="str">
            <v>49640</v>
          </cell>
          <cell r="F82" t="str">
            <v>MODEL PATH</v>
          </cell>
          <cell r="G82" t="str">
            <v>S:\\E&amp;PS\\APA\\MODELS\\Models2\\APA_Current.xls</v>
          </cell>
          <cell r="J82" t="str">
            <v>string</v>
          </cell>
          <cell r="K82" t="str">
            <v>actual</v>
          </cell>
          <cell r="Q82">
            <v>0</v>
          </cell>
        </row>
        <row r="83">
          <cell r="A83" t="str">
            <v>49640</v>
          </cell>
          <cell r="C83" t="str">
            <v>POintInTimeSection_End</v>
          </cell>
          <cell r="F83" t="str">
            <v>Oil &amp; Gas Industry Measures</v>
          </cell>
          <cell r="G83" t="e">
            <v>#NAME?</v>
          </cell>
          <cell r="J83" t="str">
            <v>string</v>
          </cell>
          <cell r="K83" t="str">
            <v>actual</v>
          </cell>
          <cell r="Q83">
            <v>0</v>
          </cell>
        </row>
        <row r="84">
          <cell r="A84" t="str">
            <v>49639</v>
          </cell>
          <cell r="F84" t="str">
            <v>FX - POINT IN TIME</v>
          </cell>
          <cell r="G84">
            <v>1</v>
          </cell>
          <cell r="H84" t="str">
            <v>&lt;IQXL&gt;src=c@!FXR;TP;TA;</v>
          </cell>
          <cell r="J84" t="str">
            <v>numeric</v>
          </cell>
          <cell r="K84" t="str">
            <v>actual</v>
          </cell>
          <cell r="Q84">
            <v>0</v>
          </cell>
        </row>
        <row r="85">
          <cell r="A85">
            <v>0</v>
          </cell>
          <cell r="F85" t="str">
            <v>Enterprise Value</v>
          </cell>
        </row>
        <row r="86">
          <cell r="A86" t="str">
            <v>51367</v>
          </cell>
          <cell r="F86" t="str">
            <v>MARKET CAP (ACC CRNCY)</v>
          </cell>
          <cell r="G86">
            <v>34734.307310000004</v>
          </cell>
          <cell r="K86" t="str">
            <v>mm</v>
          </cell>
          <cell r="Q86">
            <v>0</v>
          </cell>
        </row>
        <row r="87">
          <cell r="A87" t="str">
            <v>29574</v>
          </cell>
          <cell r="F87" t="str">
            <v>NET DEBT NOW (MV)</v>
          </cell>
          <cell r="K87" t="str">
            <v>mm</v>
          </cell>
          <cell r="Q87">
            <v>0</v>
          </cell>
        </row>
        <row r="88">
          <cell r="A88" t="str">
            <v>48591</v>
          </cell>
          <cell r="F88" t="str">
            <v>PREFERENCE STOCK (NOW)</v>
          </cell>
          <cell r="K88" t="str">
            <v>mm</v>
          </cell>
          <cell r="Q88">
            <v>0</v>
          </cell>
        </row>
        <row r="89">
          <cell r="A89" t="str">
            <v>48592</v>
          </cell>
          <cell r="F89" t="str">
            <v>MINORITY EQUITY (NOW)</v>
          </cell>
          <cell r="K89" t="str">
            <v>mm</v>
          </cell>
          <cell r="Q89">
            <v>0</v>
          </cell>
        </row>
        <row r="90">
          <cell r="A90" t="str">
            <v>48593</v>
          </cell>
          <cell r="F90" t="str">
            <v>CURRENT PENSIONS/PRH</v>
          </cell>
          <cell r="K90" t="str">
            <v>mm</v>
          </cell>
          <cell r="Q90">
            <v>0</v>
          </cell>
        </row>
        <row r="91">
          <cell r="A91" t="str">
            <v>49092</v>
          </cell>
          <cell r="F91" t="str">
            <v>EV ADJUSTMENTS (NOW)</v>
          </cell>
          <cell r="K91" t="str">
            <v>mm</v>
          </cell>
          <cell r="Q91">
            <v>0</v>
          </cell>
        </row>
        <row r="92">
          <cell r="A92" t="str">
            <v>12643</v>
          </cell>
          <cell r="F92" t="str">
            <v>OTHER LONG TERM LIABILITIES (NOW)</v>
          </cell>
          <cell r="K92" t="str">
            <v>mm</v>
          </cell>
          <cell r="Q92">
            <v>0</v>
          </cell>
        </row>
        <row r="93">
          <cell r="A93" t="str">
            <v>13801</v>
          </cell>
          <cell r="C93" t="str">
            <v>POintInTimeSection_End</v>
          </cell>
          <cell r="F93" t="str">
            <v>Enterprise Value (Now)</v>
          </cell>
          <cell r="G93">
            <v>0</v>
          </cell>
          <cell r="K93" t="str">
            <v>mm</v>
          </cell>
          <cell r="Q93">
            <v>0</v>
          </cell>
        </row>
        <row r="114">
          <cell r="C114" t="str">
            <v>TimeSeriesSection_Start</v>
          </cell>
          <cell r="R114" t="str">
            <v>"31-Mar-1995"</v>
          </cell>
          <cell r="S114" t="str">
            <v>"30-Jun-1995"</v>
          </cell>
          <cell r="T114" t="str">
            <v>"30-Sep-1995"</v>
          </cell>
          <cell r="U114" t="str">
            <v>"31-Dec-1995"</v>
          </cell>
          <cell r="V114" t="str">
            <v>"30-Jun-1995"</v>
          </cell>
          <cell r="W114" t="str">
            <v>"31-Dec-1995"</v>
          </cell>
          <cell r="X114" t="str">
            <v>"31-Dec-1995"</v>
          </cell>
          <cell r="Y114" t="str">
            <v>"31-Mar-1996"</v>
          </cell>
          <cell r="Z114" t="str">
            <v>"30-Jun-1996"</v>
          </cell>
          <cell r="AA114" t="str">
            <v>"30-Sep-1996"</v>
          </cell>
          <cell r="AB114" t="str">
            <v>"31-Dec-1996"</v>
          </cell>
          <cell r="AC114" t="str">
            <v>"30-Jun-1996"</v>
          </cell>
          <cell r="AD114" t="str">
            <v>"31-Dec-1996"</v>
          </cell>
          <cell r="AE114" t="str">
            <v>"31-Dec-1996"</v>
          </cell>
          <cell r="AF114" t="str">
            <v>"31-Mar-1997"</v>
          </cell>
          <cell r="AG114" t="str">
            <v>"30-Jun-1997"</v>
          </cell>
          <cell r="AH114" t="str">
            <v>"30-Sep-1997"</v>
          </cell>
          <cell r="AI114" t="str">
            <v>"31-Dec-1997"</v>
          </cell>
          <cell r="AJ114" t="str">
            <v>"30-Jun-1997"</v>
          </cell>
          <cell r="AK114" t="str">
            <v>"31-Dec-1997"</v>
          </cell>
          <cell r="AL114" t="str">
            <v>"31-Dec-1997"</v>
          </cell>
          <cell r="AM114" t="str">
            <v>"31-Mar-1998"</v>
          </cell>
        </row>
        <row r="116">
          <cell r="F116" t="str">
            <v>Description (Time series data)</v>
          </cell>
          <cell r="I116" t="str">
            <v>Currency</v>
          </cell>
          <cell r="J116" t="str">
            <v>Unit of Measure</v>
          </cell>
          <cell r="K116" t="str">
            <v>Value Denom.</v>
          </cell>
          <cell r="L116" t="str">
            <v>iQ Formula</v>
          </cell>
          <cell r="Q116" t="str">
            <v>Valid Input</v>
          </cell>
          <cell r="R116" t="str">
            <v>1995:Q1</v>
          </cell>
          <cell r="S116" t="str">
            <v>1995:Q2</v>
          </cell>
          <cell r="T116" t="str">
            <v>1995:Q3</v>
          </cell>
          <cell r="U116" t="str">
            <v>1995:Q4</v>
          </cell>
          <cell r="V116" t="str">
            <v>1995:H1</v>
          </cell>
          <cell r="W116" t="str">
            <v>1995:H2</v>
          </cell>
          <cell r="X116" t="str">
            <v>FY 1995</v>
          </cell>
          <cell r="Y116" t="str">
            <v>1996:Q1</v>
          </cell>
          <cell r="Z116" t="str">
            <v>1996:Q2</v>
          </cell>
          <cell r="AA116" t="str">
            <v>1996:Q3</v>
          </cell>
          <cell r="AB116" t="str">
            <v>1996:Q4</v>
          </cell>
          <cell r="AC116" t="str">
            <v>1996:H1</v>
          </cell>
          <cell r="AD116" t="str">
            <v>1996:H2</v>
          </cell>
          <cell r="AE116" t="str">
            <v>FY 1996</v>
          </cell>
          <cell r="AF116" t="str">
            <v>1997:Q1</v>
          </cell>
          <cell r="AG116" t="str">
            <v>1997:Q2</v>
          </cell>
          <cell r="AH116" t="str">
            <v>1997:Q3</v>
          </cell>
          <cell r="AI116" t="str">
            <v>1997:Q4</v>
          </cell>
          <cell r="AJ116" t="str">
            <v>1997:H1</v>
          </cell>
          <cell r="AK116" t="str">
            <v>1997:H2</v>
          </cell>
          <cell r="AL116" t="str">
            <v>FY 1997</v>
          </cell>
          <cell r="AM116" t="str">
            <v>1998:Q1</v>
          </cell>
        </row>
        <row r="117">
          <cell r="A117">
            <v>18134</v>
          </cell>
          <cell r="F117" t="str">
            <v>Actual/Estimate/No Data (A/E/N)</v>
          </cell>
          <cell r="J117" t="str">
            <v>string</v>
          </cell>
          <cell r="K117" t="str">
            <v>actual</v>
          </cell>
          <cell r="R117" t="str">
            <v>N</v>
          </cell>
          <cell r="S117" t="str">
            <v>N</v>
          </cell>
          <cell r="T117" t="str">
            <v>N</v>
          </cell>
          <cell r="U117" t="str">
            <v>N</v>
          </cell>
          <cell r="V117" t="str">
            <v>N</v>
          </cell>
          <cell r="W117" t="str">
            <v>N</v>
          </cell>
          <cell r="X117" t="str">
            <v>N</v>
          </cell>
          <cell r="Y117" t="str">
            <v>N</v>
          </cell>
          <cell r="Z117" t="str">
            <v>N</v>
          </cell>
          <cell r="AA117" t="str">
            <v>N</v>
          </cell>
          <cell r="AB117" t="str">
            <v>N</v>
          </cell>
          <cell r="AC117" t="str">
            <v>N</v>
          </cell>
          <cell r="AD117" t="str">
            <v>N</v>
          </cell>
          <cell r="AE117" t="str">
            <v>N</v>
          </cell>
          <cell r="AF117" t="str">
            <v>N</v>
          </cell>
          <cell r="AG117" t="str">
            <v>N</v>
          </cell>
          <cell r="AH117" t="str">
            <v>N</v>
          </cell>
          <cell r="AI117" t="str">
            <v>N</v>
          </cell>
          <cell r="AJ117" t="str">
            <v>N</v>
          </cell>
          <cell r="AK117" t="str">
            <v>N</v>
          </cell>
          <cell r="AL117" t="str">
            <v>N</v>
          </cell>
          <cell r="AM117" t="str">
            <v>N</v>
          </cell>
        </row>
        <row r="118">
          <cell r="A118">
            <v>25205</v>
          </cell>
          <cell r="F118" t="str">
            <v>Period Footnote</v>
          </cell>
          <cell r="J118" t="str">
            <v>string</v>
          </cell>
          <cell r="K118" t="str">
            <v>actual</v>
          </cell>
        </row>
        <row r="119">
          <cell r="F119" t="str">
            <v>PER SHARE DATA</v>
          </cell>
        </row>
        <row r="120">
          <cell r="A120" t="str">
            <v>12766</v>
          </cell>
          <cell r="E120" t="str">
            <v>|-4142|12|NOTBLANK |13|NUMERIC |20|&gt; 0|24|NUMERIC |</v>
          </cell>
          <cell r="F120" t="str">
            <v>Basic Shares Outstanding  - end of period</v>
          </cell>
          <cell r="J120" t="str">
            <v>numeric</v>
          </cell>
          <cell r="K120" t="str">
            <v>mm</v>
          </cell>
          <cell r="Q120">
            <v>0</v>
          </cell>
          <cell r="AF120">
            <v>180.286</v>
          </cell>
          <cell r="AG120">
            <v>180.57599999999999</v>
          </cell>
          <cell r="AH120">
            <v>180.6</v>
          </cell>
          <cell r="AI120">
            <v>183.72800000000001</v>
          </cell>
          <cell r="AL120">
            <v>181.29750000000001</v>
          </cell>
          <cell r="AM120">
            <v>195.16200000000001</v>
          </cell>
        </row>
        <row r="121">
          <cell r="A121" t="str">
            <v>15018</v>
          </cell>
          <cell r="F121" t="str">
            <v>Basic Shares Outstanding - weighted avg</v>
          </cell>
          <cell r="J121" t="str">
            <v>numeric</v>
          </cell>
          <cell r="K121" t="str">
            <v>mm</v>
          </cell>
          <cell r="Q121">
            <v>0</v>
          </cell>
        </row>
        <row r="122">
          <cell r="A122" t="str">
            <v>12767</v>
          </cell>
          <cell r="E122" t="str">
            <v>|-4142|12|NOTBLANK |16|NUMERIC |24|NUMERIC |20|&gt; 0|</v>
          </cell>
          <cell r="F122" t="str">
            <v>F. Dil. Shares -  weighted avg</v>
          </cell>
          <cell r="J122" t="str">
            <v>numeric</v>
          </cell>
          <cell r="K122" t="str">
            <v>mm</v>
          </cell>
          <cell r="Q122">
            <v>0</v>
          </cell>
          <cell r="AF122">
            <v>180.286</v>
          </cell>
          <cell r="AG122">
            <v>180.57599999999999</v>
          </cell>
          <cell r="AH122">
            <v>180.6</v>
          </cell>
          <cell r="AI122">
            <v>183.72800000000001</v>
          </cell>
          <cell r="AL122">
            <v>181.29750000000001</v>
          </cell>
          <cell r="AM122">
            <v>195.16200000000001</v>
          </cell>
        </row>
        <row r="123">
          <cell r="A123" t="str">
            <v>12772</v>
          </cell>
          <cell r="F123" t="str">
            <v>EPS -  Basic reported</v>
          </cell>
          <cell r="J123">
            <v>0</v>
          </cell>
          <cell r="K123" t="str">
            <v>actual</v>
          </cell>
          <cell r="Q123">
            <v>0</v>
          </cell>
          <cell r="AF123">
            <v>0.28999999999999998</v>
          </cell>
          <cell r="AG123">
            <v>0.14000000000000001</v>
          </cell>
          <cell r="AH123">
            <v>0.16</v>
          </cell>
          <cell r="AI123">
            <v>0.25</v>
          </cell>
          <cell r="AL123">
            <v>0.85</v>
          </cell>
          <cell r="AM123">
            <v>0.09</v>
          </cell>
        </row>
        <row r="124">
          <cell r="A124" t="str">
            <v>12773</v>
          </cell>
          <cell r="F124" t="str">
            <v>EPS - F. Dil. (GAAP)</v>
          </cell>
          <cell r="J124">
            <v>0</v>
          </cell>
          <cell r="K124" t="str">
            <v>actual</v>
          </cell>
          <cell r="Q124">
            <v>0</v>
          </cell>
          <cell r="AM124">
            <v>0.09</v>
          </cell>
        </row>
        <row r="125">
          <cell r="A125" t="str">
            <v>12774</v>
          </cell>
          <cell r="F125" t="str">
            <v>EPS - Adjusted I</v>
          </cell>
          <cell r="J125">
            <v>0</v>
          </cell>
          <cell r="K125" t="str">
            <v>actual</v>
          </cell>
          <cell r="Q125">
            <v>0</v>
          </cell>
          <cell r="AM125">
            <v>0.09</v>
          </cell>
        </row>
        <row r="126">
          <cell r="A126" t="str">
            <v>12775</v>
          </cell>
          <cell r="F126" t="str">
            <v>EPS - Adjusted II</v>
          </cell>
          <cell r="J126">
            <v>0</v>
          </cell>
          <cell r="K126" t="str">
            <v>actual</v>
          </cell>
          <cell r="Q126">
            <v>0</v>
          </cell>
        </row>
        <row r="127">
          <cell r="A127" t="str">
            <v>12569</v>
          </cell>
          <cell r="C127" t="str">
            <v>TimeSeriesSection_Start</v>
          </cell>
          <cell r="F127" t="str">
            <v>EPS Published</v>
          </cell>
          <cell r="J127">
            <v>0</v>
          </cell>
          <cell r="K127" t="str">
            <v>actual</v>
          </cell>
          <cell r="Q127">
            <v>0</v>
          </cell>
          <cell r="R127" t="str">
            <v>F. Dil. (GAAP)</v>
          </cell>
          <cell r="S127" t="str">
            <v>F. Dil. (GAAP)</v>
          </cell>
          <cell r="T127" t="str">
            <v>F. Dil. (GAAP)</v>
          </cell>
          <cell r="U127" t="str">
            <v>F. Dil. (GAAP)</v>
          </cell>
          <cell r="V127" t="str">
            <v>F. Dil. (GAAP)</v>
          </cell>
          <cell r="W127" t="str">
            <v>F. Dil. (GAAP)</v>
          </cell>
          <cell r="X127" t="str">
            <v>F. Dil. (GAAP)</v>
          </cell>
          <cell r="Y127" t="str">
            <v>F. Dil. (GAAP)</v>
          </cell>
          <cell r="Z127" t="str">
            <v>F. Dil. (GAAP)</v>
          </cell>
          <cell r="AA127" t="str">
            <v>F. Dil. (GAAP)</v>
          </cell>
          <cell r="AB127" t="str">
            <v>F. Dil. (GAAP)</v>
          </cell>
          <cell r="AC127" t="str">
            <v>F. Dil. (GAAP)</v>
          </cell>
          <cell r="AD127" t="str">
            <v>F. Dil. (GAAP)</v>
          </cell>
          <cell r="AE127" t="str">
            <v>F. Dil. (GAAP)</v>
          </cell>
          <cell r="AF127" t="str">
            <v>Basic</v>
          </cell>
          <cell r="AG127" t="str">
            <v>Basic</v>
          </cell>
          <cell r="AH127" t="str">
            <v>Basic</v>
          </cell>
          <cell r="AI127" t="str">
            <v>Basic</v>
          </cell>
          <cell r="AJ127" t="str">
            <v>F. Dil. (GAAP)</v>
          </cell>
          <cell r="AK127" t="str">
            <v>F. Dil. (GAAP)</v>
          </cell>
          <cell r="AL127" t="str">
            <v>Basic</v>
          </cell>
          <cell r="AM127" t="str">
            <v>Adj I</v>
          </cell>
        </row>
        <row r="128">
          <cell r="A128">
            <v>50216</v>
          </cell>
          <cell r="F128" t="str">
            <v>ACCOUNTING BASIS</v>
          </cell>
          <cell r="I128" t="str">
            <v>Currency</v>
          </cell>
          <cell r="J128" t="str">
            <v>string</v>
          </cell>
          <cell r="K128" t="str">
            <v>n/m</v>
          </cell>
          <cell r="L128" t="str">
            <v>iQ Formula</v>
          </cell>
          <cell r="Q128" t="str">
            <v>Valid Input</v>
          </cell>
          <cell r="R128" t="str">
            <v>US GAAP</v>
          </cell>
          <cell r="S128" t="str">
            <v>US GAAP</v>
          </cell>
          <cell r="T128" t="str">
            <v>US GAAP</v>
          </cell>
          <cell r="U128" t="str">
            <v>US GAAP</v>
          </cell>
          <cell r="V128" t="str">
            <v>US GAAP</v>
          </cell>
          <cell r="W128" t="str">
            <v>US GAAP</v>
          </cell>
          <cell r="X128" t="str">
            <v>US GAAP</v>
          </cell>
          <cell r="Y128" t="str">
            <v>US GAAP</v>
          </cell>
          <cell r="Z128" t="str">
            <v>US GAAP</v>
          </cell>
          <cell r="AA128" t="str">
            <v>US GAAP</v>
          </cell>
          <cell r="AB128" t="str">
            <v>US GAAP</v>
          </cell>
          <cell r="AC128" t="str">
            <v>US GAAP</v>
          </cell>
          <cell r="AD128" t="str">
            <v>US GAAP</v>
          </cell>
          <cell r="AE128" t="str">
            <v>US GAAP</v>
          </cell>
          <cell r="AF128" t="str">
            <v>US GAAP</v>
          </cell>
          <cell r="AG128" t="str">
            <v>US GAAP</v>
          </cell>
          <cell r="AH128" t="str">
            <v>US GAAP</v>
          </cell>
          <cell r="AI128" t="str">
            <v>US GAAP</v>
          </cell>
          <cell r="AJ128" t="str">
            <v>US GAAP</v>
          </cell>
          <cell r="AK128" t="str">
            <v>US GAAP</v>
          </cell>
          <cell r="AL128" t="str">
            <v>US GAAP</v>
          </cell>
          <cell r="AM128" t="str">
            <v>US GAAP</v>
          </cell>
        </row>
        <row r="129">
          <cell r="A129" t="str">
            <v>12776</v>
          </cell>
          <cell r="F129" t="str">
            <v>CEPS</v>
          </cell>
          <cell r="J129">
            <v>0</v>
          </cell>
          <cell r="K129" t="str">
            <v>actual</v>
          </cell>
          <cell r="Q129">
            <v>0</v>
          </cell>
          <cell r="R129" t="str">
            <v>N</v>
          </cell>
          <cell r="S129" t="str">
            <v>N</v>
          </cell>
          <cell r="T129" t="str">
            <v>N</v>
          </cell>
          <cell r="U129" t="str">
            <v>N</v>
          </cell>
          <cell r="V129" t="str">
            <v>N</v>
          </cell>
          <cell r="W129" t="str">
            <v>N</v>
          </cell>
          <cell r="X129" t="str">
            <v>N</v>
          </cell>
          <cell r="Y129" t="str">
            <v>N</v>
          </cell>
          <cell r="Z129" t="str">
            <v>N</v>
          </cell>
          <cell r="AA129" t="str">
            <v>N</v>
          </cell>
          <cell r="AB129" t="str">
            <v>N</v>
          </cell>
          <cell r="AC129" t="str">
            <v>N</v>
          </cell>
          <cell r="AD129" t="str">
            <v>N</v>
          </cell>
          <cell r="AE129" t="str">
            <v>N</v>
          </cell>
          <cell r="AF129" t="str">
            <v>N</v>
          </cell>
          <cell r="AG129" t="str">
            <v>N</v>
          </cell>
          <cell r="AH129" t="str">
            <v>N</v>
          </cell>
          <cell r="AI129" t="str">
            <v>N</v>
          </cell>
          <cell r="AJ129" t="str">
            <v>N</v>
          </cell>
          <cell r="AK129" t="str">
            <v>N</v>
          </cell>
          <cell r="AL129" t="str">
            <v>N</v>
          </cell>
          <cell r="AM129" t="str">
            <v>N</v>
          </cell>
        </row>
        <row r="130">
          <cell r="A130" t="str">
            <v>12570</v>
          </cell>
          <cell r="F130" t="str">
            <v>CFPS</v>
          </cell>
          <cell r="J130">
            <v>0</v>
          </cell>
          <cell r="K130" t="str">
            <v>actual</v>
          </cell>
          <cell r="Q130">
            <v>0</v>
          </cell>
          <cell r="AF130">
            <v>0.85</v>
          </cell>
          <cell r="AG130">
            <v>0.63</v>
          </cell>
          <cell r="AH130">
            <v>0.71</v>
          </cell>
          <cell r="AI130">
            <v>0.83</v>
          </cell>
          <cell r="AL130">
            <v>3.04</v>
          </cell>
          <cell r="AM130">
            <v>0.53</v>
          </cell>
        </row>
        <row r="131">
          <cell r="A131" t="str">
            <v>12571</v>
          </cell>
          <cell r="E131" t="str">
            <v>|-4142|12|NOTBLANK |</v>
          </cell>
          <cell r="F131" t="str">
            <v>DPS</v>
          </cell>
          <cell r="J131">
            <v>0</v>
          </cell>
          <cell r="K131" t="str">
            <v>actual</v>
          </cell>
          <cell r="Q131">
            <v>0</v>
          </cell>
          <cell r="AF131">
            <v>7.0000000000000007E-2</v>
          </cell>
          <cell r="AG131">
            <v>7.0000000000000007E-2</v>
          </cell>
          <cell r="AH131">
            <v>7.0000000000000007E-2</v>
          </cell>
          <cell r="AI131">
            <v>7.0000000000000007E-2</v>
          </cell>
          <cell r="AL131">
            <v>0.28000000000000003</v>
          </cell>
          <cell r="AM131">
            <v>7.0000000000000007E-2</v>
          </cell>
        </row>
        <row r="132">
          <cell r="A132" t="str">
            <v>12778</v>
          </cell>
          <cell r="E132" t="str">
            <v>|-4142|12|NOTBLANK |13|NUMERIC |24|NUMERIC |20|&gt; 0|</v>
          </cell>
          <cell r="F132" t="str">
            <v>Book Value/Share</v>
          </cell>
          <cell r="J132">
            <v>0</v>
          </cell>
          <cell r="K132" t="str">
            <v>actual</v>
          </cell>
          <cell r="Q132">
            <v>0</v>
          </cell>
          <cell r="AL132">
            <v>9.5399999999999991</v>
          </cell>
        </row>
        <row r="133">
          <cell r="A133" t="str">
            <v>12780</v>
          </cell>
          <cell r="F133" t="str">
            <v>Book value date</v>
          </cell>
          <cell r="J133" t="str">
            <v>date</v>
          </cell>
          <cell r="K133" t="str">
            <v>actual</v>
          </cell>
          <cell r="Q133">
            <v>0</v>
          </cell>
          <cell r="AL133">
            <v>35795</v>
          </cell>
        </row>
        <row r="134">
          <cell r="A134" t="str">
            <v>12767</v>
          </cell>
          <cell r="E134" t="str">
            <v>|-4142|12|NOTBLANK |20|&gt; 0|</v>
          </cell>
          <cell r="F134" t="str">
            <v>Compliance EPS error trapping</v>
          </cell>
          <cell r="J134" t="str">
            <v>numeric</v>
          </cell>
          <cell r="K134" t="str">
            <v>mm</v>
          </cell>
          <cell r="Q134">
            <v>0</v>
          </cell>
        </row>
        <row r="135">
          <cell r="A135">
            <v>48717</v>
          </cell>
          <cell r="F135" t="str">
            <v>Calculated EPS=(Net inc. adj+Dil Adj )/F.D. shares</v>
          </cell>
          <cell r="K135" t="str">
            <v>actual</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0.28999999999999998</v>
          </cell>
          <cell r="AG135">
            <v>0.14000000000000001</v>
          </cell>
          <cell r="AH135">
            <v>0.16</v>
          </cell>
          <cell r="AI135">
            <v>0.25</v>
          </cell>
          <cell r="AJ135">
            <v>0</v>
          </cell>
          <cell r="AK135">
            <v>0</v>
          </cell>
          <cell r="AL135">
            <v>0.85</v>
          </cell>
          <cell r="AM135">
            <v>0.09</v>
          </cell>
        </row>
        <row r="136">
          <cell r="A136">
            <v>50112</v>
          </cell>
          <cell r="F136" t="str">
            <v>EPS error % - (EPS Pub./EPS Calc.-1)*100</v>
          </cell>
          <cell r="J136" t="str">
            <v>%</v>
          </cell>
          <cell r="K136" t="str">
            <v>actual</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row>
        <row r="137">
          <cell r="A137">
            <v>48718</v>
          </cell>
          <cell r="E137" t="str">
            <v>|37|28|= TRUE|</v>
          </cell>
          <cell r="F137" t="str">
            <v>Absolute EPS error &lt;  2%</v>
          </cell>
          <cell r="J137" t="str">
            <v>string</v>
          </cell>
          <cell r="K137" t="str">
            <v>n/m</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row>
        <row r="138">
          <cell r="F138" t="str">
            <v>Income Statement ( income +ve, expenses -ve)</v>
          </cell>
        </row>
        <row r="139">
          <cell r="A139" t="str">
            <v>12781</v>
          </cell>
          <cell r="E139" t="str">
            <v>|-4142|22|&gt;= 0|</v>
          </cell>
          <cell r="F139" t="str">
            <v>Sales Revenue</v>
          </cell>
          <cell r="J139">
            <v>0</v>
          </cell>
          <cell r="K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262.37791620000002</v>
          </cell>
          <cell r="AG139">
            <v>218.79471249999997</v>
          </cell>
          <cell r="AH139">
            <v>232.69532768000002</v>
          </cell>
          <cell r="AI139">
            <v>269.577</v>
          </cell>
          <cell r="AJ139">
            <v>0</v>
          </cell>
          <cell r="AK139">
            <v>0</v>
          </cell>
          <cell r="AL139">
            <v>983.44495638000001</v>
          </cell>
          <cell r="AM139">
            <v>210.05620965</v>
          </cell>
        </row>
        <row r="140">
          <cell r="A140" t="str">
            <v>12565</v>
          </cell>
          <cell r="E140" t="str">
            <v>|-4142|22|&gt;= 0|</v>
          </cell>
          <cell r="F140" t="str">
            <v>Other Revenue</v>
          </cell>
          <cell r="J140">
            <v>0</v>
          </cell>
          <cell r="K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A141" t="str">
            <v>12783</v>
          </cell>
          <cell r="E141" t="str">
            <v>|37|22|&gt;= 0|</v>
          </cell>
          <cell r="F141" t="str">
            <v>Total Revenue</v>
          </cell>
          <cell r="J141">
            <v>0</v>
          </cell>
          <cell r="K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262.37791620000002</v>
          </cell>
          <cell r="AG141">
            <v>218.79471249999997</v>
          </cell>
          <cell r="AH141">
            <v>232.69532768000002</v>
          </cell>
          <cell r="AI141">
            <v>269.577</v>
          </cell>
          <cell r="AJ141">
            <v>0</v>
          </cell>
          <cell r="AK141">
            <v>0</v>
          </cell>
          <cell r="AL141">
            <v>983.44495638000001</v>
          </cell>
          <cell r="AM141">
            <v>210.05620965</v>
          </cell>
        </row>
        <row r="142">
          <cell r="A142" t="str">
            <v>12784</v>
          </cell>
          <cell r="E142" t="str">
            <v>|-4142|23|&lt;= 0|</v>
          </cell>
          <cell r="F142" t="str">
            <v>Cost of goods sold</v>
          </cell>
          <cell r="J142">
            <v>0</v>
          </cell>
          <cell r="K142">
            <v>0</v>
          </cell>
          <cell r="Q142">
            <v>0</v>
          </cell>
          <cell r="R142" t="str">
            <v>US GAAP</v>
          </cell>
          <cell r="S142" t="str">
            <v>US GAAP</v>
          </cell>
          <cell r="T142" t="str">
            <v>US GAAP</v>
          </cell>
          <cell r="U142" t="str">
            <v>US GAAP</v>
          </cell>
          <cell r="V142" t="str">
            <v>US GAAP</v>
          </cell>
          <cell r="W142" t="str">
            <v>US GAAP</v>
          </cell>
          <cell r="X142" t="str">
            <v>US GAAP</v>
          </cell>
          <cell r="Y142" t="str">
            <v>US GAAP</v>
          </cell>
          <cell r="Z142" t="str">
            <v>US GAAP</v>
          </cell>
          <cell r="AA142" t="str">
            <v>US GAAP</v>
          </cell>
          <cell r="AB142" t="str">
            <v>US GAAP</v>
          </cell>
          <cell r="AC142" t="str">
            <v>US GAAP</v>
          </cell>
          <cell r="AD142" t="str">
            <v>US GAAP</v>
          </cell>
          <cell r="AE142" t="str">
            <v>US GAAP</v>
          </cell>
          <cell r="AF142">
            <v>-59.972000000000001</v>
          </cell>
          <cell r="AG142">
            <v>-57.738999999999997</v>
          </cell>
          <cell r="AH142">
            <v>-59.5</v>
          </cell>
          <cell r="AI142">
            <v>-58.795000000000002</v>
          </cell>
          <cell r="AJ142" t="str">
            <v>US GAAP</v>
          </cell>
          <cell r="AK142" t="str">
            <v>US GAAP</v>
          </cell>
          <cell r="AL142">
            <v>-236.00600000000003</v>
          </cell>
          <cell r="AM142">
            <v>-56.551000000000002</v>
          </cell>
        </row>
        <row r="143">
          <cell r="A143" t="str">
            <v>12939</v>
          </cell>
          <cell r="F143" t="str">
            <v>Gross Profit</v>
          </cell>
          <cell r="J143">
            <v>0</v>
          </cell>
          <cell r="K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202.40591620000001</v>
          </cell>
          <cell r="AG143">
            <v>161.05571249999997</v>
          </cell>
          <cell r="AH143">
            <v>173.19532768000002</v>
          </cell>
          <cell r="AI143">
            <v>210.78199999999998</v>
          </cell>
          <cell r="AJ143">
            <v>0</v>
          </cell>
          <cell r="AK143">
            <v>0</v>
          </cell>
          <cell r="AL143">
            <v>747.43895638000004</v>
          </cell>
          <cell r="AM143">
            <v>153.50520964999998</v>
          </cell>
        </row>
        <row r="144">
          <cell r="A144" t="str">
            <v>13960</v>
          </cell>
          <cell r="F144" t="str">
            <v>Exploration Expense (Oils &amp; Gas  ind.)</v>
          </cell>
          <cell r="J144">
            <v>0</v>
          </cell>
          <cell r="K144">
            <v>0</v>
          </cell>
          <cell r="Q144">
            <v>0</v>
          </cell>
        </row>
        <row r="145">
          <cell r="A145" t="str">
            <v>12785</v>
          </cell>
          <cell r="E145" t="str">
            <v>|-4142|23|&lt;= 0|</v>
          </cell>
          <cell r="F145" t="str">
            <v>S,G &amp; A</v>
          </cell>
          <cell r="J145">
            <v>0</v>
          </cell>
          <cell r="K145">
            <v>0</v>
          </cell>
          <cell r="Q145">
            <v>0</v>
          </cell>
          <cell r="AF145">
            <v>-9.1419999999999995</v>
          </cell>
          <cell r="AG145">
            <v>-9.5</v>
          </cell>
          <cell r="AH145">
            <v>-9.5</v>
          </cell>
          <cell r="AI145">
            <v>-11.452999999999999</v>
          </cell>
          <cell r="AL145">
            <v>-39.594999999999999</v>
          </cell>
          <cell r="AM145">
            <v>-9.9659999999999993</v>
          </cell>
        </row>
        <row r="146">
          <cell r="A146" t="str">
            <v>12786</v>
          </cell>
          <cell r="E146" t="str">
            <v>|-4142|23|&lt;= 0|</v>
          </cell>
          <cell r="F146" t="str">
            <v>R &amp; D Costs</v>
          </cell>
          <cell r="J146">
            <v>0</v>
          </cell>
          <cell r="K146">
            <v>0</v>
          </cell>
          <cell r="Q146">
            <v>0</v>
          </cell>
        </row>
        <row r="147">
          <cell r="A147" t="str">
            <v>12516</v>
          </cell>
          <cell r="F147" t="str">
            <v>Depreciation &amp; Amort.</v>
          </cell>
          <cell r="J147">
            <v>0</v>
          </cell>
          <cell r="K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-89.317999999999998</v>
          </cell>
          <cell r="AG147">
            <v>-93.480999999999995</v>
          </cell>
          <cell r="AH147">
            <v>-99</v>
          </cell>
          <cell r="AI147">
            <v>-100.447</v>
          </cell>
          <cell r="AJ147">
            <v>0</v>
          </cell>
          <cell r="AK147">
            <v>0</v>
          </cell>
          <cell r="AL147">
            <v>-382.24599999999998</v>
          </cell>
          <cell r="AM147">
            <v>-98.372</v>
          </cell>
        </row>
        <row r="148">
          <cell r="A148" t="str">
            <v>12788</v>
          </cell>
          <cell r="E148" t="str">
            <v>|-4142|12|NOTBLANK |23|&lt;= 0|</v>
          </cell>
          <cell r="F148" t="str">
            <v>Depreciation</v>
          </cell>
          <cell r="J148">
            <v>0</v>
          </cell>
          <cell r="K148">
            <v>0</v>
          </cell>
          <cell r="Q148">
            <v>0</v>
          </cell>
          <cell r="AF148">
            <v>-89.317999999999998</v>
          </cell>
          <cell r="AG148">
            <v>-93.480999999999995</v>
          </cell>
          <cell r="AH148">
            <v>-99</v>
          </cell>
          <cell r="AI148">
            <v>-100.447</v>
          </cell>
          <cell r="AL148">
            <v>-382.24599999999998</v>
          </cell>
          <cell r="AM148">
            <v>-98.372</v>
          </cell>
        </row>
        <row r="149">
          <cell r="A149" t="str">
            <v>30389</v>
          </cell>
          <cell r="F149" t="str">
            <v>Total amortization</v>
          </cell>
          <cell r="J149">
            <v>0</v>
          </cell>
          <cell r="K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A150" t="str">
            <v>12789</v>
          </cell>
          <cell r="E150" t="str">
            <v>|-4142|23|&lt;= 0|</v>
          </cell>
          <cell r="F150" t="str">
            <v>Goodwill Amortization</v>
          </cell>
          <cell r="J150">
            <v>0</v>
          </cell>
          <cell r="K150">
            <v>0</v>
          </cell>
          <cell r="Q150">
            <v>0</v>
          </cell>
          <cell r="AF150">
            <v>35795</v>
          </cell>
          <cell r="AK150">
            <v>36160</v>
          </cell>
        </row>
        <row r="151">
          <cell r="A151" t="str">
            <v>12790</v>
          </cell>
          <cell r="E151" t="str">
            <v>|-4142|23|&lt;= 0|</v>
          </cell>
          <cell r="F151" t="str">
            <v>Other Amortization</v>
          </cell>
          <cell r="J151">
            <v>0</v>
          </cell>
          <cell r="K151">
            <v>0</v>
          </cell>
          <cell r="Q151">
            <v>0</v>
          </cell>
        </row>
        <row r="152">
          <cell r="A152" t="str">
            <v>12791</v>
          </cell>
          <cell r="E152" t="str">
            <v>|-4142|23|&lt;= 0|</v>
          </cell>
          <cell r="F152" t="str">
            <v>Other operating expenses</v>
          </cell>
          <cell r="J152">
            <v>0</v>
          </cell>
          <cell r="K152">
            <v>0</v>
          </cell>
          <cell r="Q152">
            <v>0</v>
          </cell>
          <cell r="AF152">
            <v>-1.247999999999998</v>
          </cell>
          <cell r="AG152">
            <v>1.6980000000000062</v>
          </cell>
          <cell r="AH152">
            <v>1.5</v>
          </cell>
          <cell r="AI152">
            <v>-2.1719999999999997</v>
          </cell>
          <cell r="AL152">
            <v>-0.22199999999998443</v>
          </cell>
          <cell r="AM152">
            <v>3.526999999999997</v>
          </cell>
        </row>
        <row r="153">
          <cell r="A153" t="str">
            <v>30936</v>
          </cell>
          <cell r="E153" t="str">
            <v>|37|28|= 0|</v>
          </cell>
          <cell r="F153" t="str">
            <v>Include Depreciation in total op. expenses calculation?</v>
          </cell>
          <cell r="J153" t="str">
            <v>string</v>
          </cell>
          <cell r="K153" t="str">
            <v>actual</v>
          </cell>
          <cell r="Q153">
            <v>0</v>
          </cell>
          <cell r="R153" t="str">
            <v>Yes</v>
          </cell>
          <cell r="S153" t="str">
            <v>Yes</v>
          </cell>
          <cell r="T153" t="str">
            <v>Yes</v>
          </cell>
          <cell r="U153" t="str">
            <v>Yes</v>
          </cell>
          <cell r="V153" t="str">
            <v>Yes</v>
          </cell>
          <cell r="W153" t="str">
            <v>Yes</v>
          </cell>
          <cell r="X153" t="str">
            <v>Yes</v>
          </cell>
          <cell r="Y153" t="str">
            <v>Yes</v>
          </cell>
          <cell r="Z153" t="str">
            <v>Yes</v>
          </cell>
          <cell r="AA153" t="str">
            <v>Yes</v>
          </cell>
          <cell r="AB153" t="str">
            <v>Yes</v>
          </cell>
          <cell r="AC153" t="str">
            <v>Yes</v>
          </cell>
          <cell r="AD153" t="str">
            <v>Yes</v>
          </cell>
          <cell r="AE153" t="str">
            <v>Yes</v>
          </cell>
          <cell r="AF153" t="str">
            <v>Yes</v>
          </cell>
          <cell r="AG153" t="str">
            <v>Yes</v>
          </cell>
          <cell r="AH153" t="str">
            <v>Yes</v>
          </cell>
          <cell r="AI153" t="str">
            <v>Yes</v>
          </cell>
          <cell r="AJ153" t="str">
            <v>Yes</v>
          </cell>
          <cell r="AK153" t="str">
            <v>Yes</v>
          </cell>
          <cell r="AL153" t="str">
            <v>Yes</v>
          </cell>
          <cell r="AM153" t="str">
            <v>Yes</v>
          </cell>
        </row>
        <row r="154">
          <cell r="A154" t="str">
            <v>30937</v>
          </cell>
          <cell r="E154" t="str">
            <v>|37|28|= TRUE|</v>
          </cell>
          <cell r="F154" t="str">
            <v>Include total amortiz. in total op. expesnes calculation?</v>
          </cell>
          <cell r="J154" t="str">
            <v>string</v>
          </cell>
          <cell r="K154" t="str">
            <v>actual</v>
          </cell>
          <cell r="Q154">
            <v>0</v>
          </cell>
          <cell r="R154" t="str">
            <v>Yes</v>
          </cell>
          <cell r="S154" t="str">
            <v>Yes</v>
          </cell>
          <cell r="T154" t="str">
            <v>Yes</v>
          </cell>
          <cell r="U154" t="str">
            <v>Yes</v>
          </cell>
          <cell r="V154" t="str">
            <v>Yes</v>
          </cell>
          <cell r="W154" t="str">
            <v>Yes</v>
          </cell>
          <cell r="X154" t="str">
            <v>Yes</v>
          </cell>
          <cell r="Y154" t="str">
            <v>Yes</v>
          </cell>
          <cell r="Z154" t="str">
            <v>Yes</v>
          </cell>
          <cell r="AA154" t="str">
            <v>Yes</v>
          </cell>
          <cell r="AB154" t="str">
            <v>Yes</v>
          </cell>
          <cell r="AC154" t="str">
            <v>Yes</v>
          </cell>
          <cell r="AD154" t="str">
            <v>Yes</v>
          </cell>
          <cell r="AE154" t="str">
            <v>Yes</v>
          </cell>
          <cell r="AF154" t="str">
            <v>Yes</v>
          </cell>
          <cell r="AG154" t="str">
            <v>Yes</v>
          </cell>
          <cell r="AH154" t="str">
            <v>Yes</v>
          </cell>
          <cell r="AI154" t="str">
            <v>Yes</v>
          </cell>
          <cell r="AJ154" t="str">
            <v>Yes</v>
          </cell>
          <cell r="AK154" t="str">
            <v>Yes</v>
          </cell>
          <cell r="AL154" t="str">
            <v>Yes</v>
          </cell>
          <cell r="AM154" t="str">
            <v>Yes</v>
          </cell>
        </row>
        <row r="155">
          <cell r="A155" t="str">
            <v>12792</v>
          </cell>
          <cell r="F155" t="str">
            <v>Total operating expenses</v>
          </cell>
          <cell r="J155">
            <v>0</v>
          </cell>
          <cell r="K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-159.68</v>
          </cell>
          <cell r="AG155">
            <v>-159.02199999999999</v>
          </cell>
          <cell r="AH155">
            <v>-166.5</v>
          </cell>
          <cell r="AI155">
            <v>-172.86699999999999</v>
          </cell>
          <cell r="AJ155">
            <v>0</v>
          </cell>
          <cell r="AK155">
            <v>0</v>
          </cell>
          <cell r="AL155">
            <v>-658.06899999999996</v>
          </cell>
          <cell r="AM155">
            <v>-161.36200000000002</v>
          </cell>
        </row>
        <row r="156">
          <cell r="A156" t="str">
            <v>12793</v>
          </cell>
          <cell r="E156" t="str">
            <v>|-4142|22|&gt;= 0|</v>
          </cell>
          <cell r="F156" t="str">
            <v>Share of associates profit/(loss)</v>
          </cell>
          <cell r="J156">
            <v>0</v>
          </cell>
          <cell r="K156">
            <v>0</v>
          </cell>
          <cell r="Q156">
            <v>0</v>
          </cell>
        </row>
        <row r="157">
          <cell r="A157" t="str">
            <v>12794</v>
          </cell>
          <cell r="E157" t="str">
            <v>|-4142|22|&gt;= 0|</v>
          </cell>
          <cell r="F157" t="str">
            <v>Operating profit</v>
          </cell>
          <cell r="J157">
            <v>0</v>
          </cell>
          <cell r="K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102.69791620000001</v>
          </cell>
          <cell r="AG157">
            <v>59.772712499999983</v>
          </cell>
          <cell r="AH157">
            <v>66.19532768000002</v>
          </cell>
          <cell r="AI157">
            <v>96.710000000000008</v>
          </cell>
          <cell r="AJ157">
            <v>0</v>
          </cell>
          <cell r="AK157">
            <v>0</v>
          </cell>
          <cell r="AL157">
            <v>325.37595638000005</v>
          </cell>
          <cell r="AM157">
            <v>48.694209649999976</v>
          </cell>
        </row>
        <row r="158">
          <cell r="A158" t="str">
            <v>12911</v>
          </cell>
          <cell r="E158" t="str">
            <v>|37|22|&gt;= 0|</v>
          </cell>
          <cell r="F158" t="str">
            <v>Adjustments to operating profit</v>
          </cell>
          <cell r="J158">
            <v>0</v>
          </cell>
          <cell r="K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A159" t="str">
            <v>30647</v>
          </cell>
          <cell r="E159" t="str">
            <v>|-4142|23|&lt;= 0|</v>
          </cell>
          <cell r="F159" t="str">
            <v>EBIT Reported</v>
          </cell>
          <cell r="J159">
            <v>0</v>
          </cell>
          <cell r="K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102.69791620000001</v>
          </cell>
          <cell r="AG159">
            <v>59.772712499999983</v>
          </cell>
          <cell r="AH159">
            <v>66.19532768000002</v>
          </cell>
          <cell r="AI159">
            <v>96.710000000000008</v>
          </cell>
          <cell r="AJ159">
            <v>0</v>
          </cell>
          <cell r="AK159">
            <v>0</v>
          </cell>
          <cell r="AL159">
            <v>325.37595638000005</v>
          </cell>
          <cell r="AM159">
            <v>48.694209649999976</v>
          </cell>
        </row>
        <row r="160">
          <cell r="A160" t="str">
            <v>12801</v>
          </cell>
          <cell r="F160" t="str">
            <v>EBITDA Reported</v>
          </cell>
          <cell r="J160">
            <v>0</v>
          </cell>
          <cell r="K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192.01591619999999</v>
          </cell>
          <cell r="AG160">
            <v>153.25371249999998</v>
          </cell>
          <cell r="AH160">
            <v>165.19532768000002</v>
          </cell>
          <cell r="AI160">
            <v>197.15700000000001</v>
          </cell>
          <cell r="AJ160">
            <v>0</v>
          </cell>
          <cell r="AK160">
            <v>0</v>
          </cell>
          <cell r="AL160">
            <v>707.62195638000003</v>
          </cell>
          <cell r="AM160">
            <v>147.06620964999996</v>
          </cell>
        </row>
        <row r="161">
          <cell r="A161" t="str">
            <v>12802</v>
          </cell>
          <cell r="E161" t="str">
            <v>|-4142|23|&lt;= 0|</v>
          </cell>
          <cell r="F161" t="str">
            <v>Financial Income/Expense</v>
          </cell>
          <cell r="J161">
            <v>0</v>
          </cell>
          <cell r="K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-14.632999999999999</v>
          </cell>
          <cell r="AG161">
            <v>-16.140999999999998</v>
          </cell>
          <cell r="AH161">
            <v>-16.3</v>
          </cell>
          <cell r="AI161">
            <v>-21.277000000000001</v>
          </cell>
          <cell r="AJ161">
            <v>0</v>
          </cell>
          <cell r="AK161">
            <v>0</v>
          </cell>
          <cell r="AL161">
            <v>-68.350999999999999</v>
          </cell>
          <cell r="AM161">
            <v>-18.470999999999997</v>
          </cell>
        </row>
        <row r="162">
          <cell r="A162" t="str">
            <v>12803</v>
          </cell>
          <cell r="E162" t="str">
            <v>|-4142|12|NOTBLANK |23|&lt;= 0|</v>
          </cell>
          <cell r="F162" t="str">
            <v>Interest Expense</v>
          </cell>
          <cell r="J162">
            <v>0</v>
          </cell>
          <cell r="K162">
            <v>0</v>
          </cell>
          <cell r="Q162">
            <v>0</v>
          </cell>
          <cell r="AF162">
            <v>-23.640999999999998</v>
          </cell>
          <cell r="AG162">
            <v>-26.073</v>
          </cell>
          <cell r="AH162">
            <v>-26</v>
          </cell>
          <cell r="AI162">
            <v>-32.075000000000003</v>
          </cell>
          <cell r="AL162">
            <v>-107.789</v>
          </cell>
          <cell r="AM162">
            <v>-30.143999999999998</v>
          </cell>
        </row>
        <row r="163">
          <cell r="A163" t="str">
            <v>12804</v>
          </cell>
          <cell r="E163" t="str">
            <v>|-4142|22|&gt;= 0|</v>
          </cell>
          <cell r="F163" t="str">
            <v>Interest Income</v>
          </cell>
          <cell r="J163">
            <v>0</v>
          </cell>
          <cell r="K163">
            <v>0</v>
          </cell>
          <cell r="Q163">
            <v>0</v>
          </cell>
          <cell r="AF163">
            <v>0.36799999999999999</v>
          </cell>
          <cell r="AG163">
            <v>0.77400000000000002</v>
          </cell>
          <cell r="AH163">
            <v>0.7</v>
          </cell>
          <cell r="AI163">
            <v>1.206</v>
          </cell>
          <cell r="AL163">
            <v>3.048</v>
          </cell>
          <cell r="AM163">
            <v>0.82299999999999995</v>
          </cell>
        </row>
        <row r="164">
          <cell r="A164" t="str">
            <v>12805</v>
          </cell>
          <cell r="E164" t="str">
            <v>|-4142|49|&lt;= 0|</v>
          </cell>
          <cell r="F164" t="str">
            <v>Other Financial Income/Expense</v>
          </cell>
          <cell r="J164">
            <v>0</v>
          </cell>
          <cell r="K164">
            <v>0</v>
          </cell>
          <cell r="Q164">
            <v>0</v>
          </cell>
          <cell r="AF164">
            <v>8.64</v>
          </cell>
          <cell r="AG164">
            <v>9.1579999999999995</v>
          </cell>
          <cell r="AH164">
            <v>9</v>
          </cell>
          <cell r="AI164">
            <v>9.5920000000000005</v>
          </cell>
          <cell r="AL164">
            <v>36.39</v>
          </cell>
          <cell r="AM164">
            <v>10.85</v>
          </cell>
        </row>
        <row r="165">
          <cell r="A165" t="str">
            <v>12806</v>
          </cell>
          <cell r="F165" t="str">
            <v>Foreign exchange gain / (loss)</v>
          </cell>
          <cell r="J165">
            <v>0</v>
          </cell>
          <cell r="K165">
            <v>0</v>
          </cell>
          <cell r="Q165">
            <v>0</v>
          </cell>
        </row>
        <row r="166">
          <cell r="A166" t="str">
            <v>12807</v>
          </cell>
          <cell r="E166" t="str">
            <v>|-4142|23|&lt;= 0|</v>
          </cell>
          <cell r="F166" t="str">
            <v>Pretax income before extraords (reported)</v>
          </cell>
          <cell r="J166">
            <v>0</v>
          </cell>
          <cell r="K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88.064916200000013</v>
          </cell>
          <cell r="AG166">
            <v>43.631712499999985</v>
          </cell>
          <cell r="AH166">
            <v>49.895327680000022</v>
          </cell>
          <cell r="AI166">
            <v>75.433000000000007</v>
          </cell>
          <cell r="AJ166">
            <v>0</v>
          </cell>
          <cell r="AK166">
            <v>0</v>
          </cell>
          <cell r="AL166">
            <v>257.02495638000005</v>
          </cell>
          <cell r="AM166">
            <v>30.22320964999998</v>
          </cell>
        </row>
        <row r="167">
          <cell r="A167" t="str">
            <v>12810</v>
          </cell>
          <cell r="E167" t="str">
            <v>|37|23|&lt;= 0|</v>
          </cell>
          <cell r="F167" t="str">
            <v>Income tax expense (reported)</v>
          </cell>
          <cell r="J167">
            <v>0</v>
          </cell>
          <cell r="K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-35.204999999999998</v>
          </cell>
          <cell r="AG167">
            <v>-17.882999999999999</v>
          </cell>
          <cell r="AH167">
            <v>-20.457084348800009</v>
          </cell>
          <cell r="AI167">
            <v>-29.925000000000001</v>
          </cell>
          <cell r="AJ167">
            <v>0</v>
          </cell>
          <cell r="AK167">
            <v>0</v>
          </cell>
          <cell r="AL167">
            <v>-103.4700843488</v>
          </cell>
          <cell r="AM167">
            <v>-12.76</v>
          </cell>
        </row>
        <row r="168">
          <cell r="A168" t="str">
            <v>12808</v>
          </cell>
          <cell r="E168" t="str">
            <v>|37|23|&lt;= 0|</v>
          </cell>
          <cell r="F168" t="str">
            <v>Current Income tax payable</v>
          </cell>
          <cell r="J168">
            <v>0</v>
          </cell>
          <cell r="K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-8.4229999999999983</v>
          </cell>
          <cell r="AG168">
            <v>-8.1579999999999995</v>
          </cell>
          <cell r="AH168">
            <v>-5.1142710872000023</v>
          </cell>
          <cell r="AI168">
            <v>-7.4812499999999993</v>
          </cell>
          <cell r="AJ168">
            <v>0</v>
          </cell>
          <cell r="AK168">
            <v>0</v>
          </cell>
          <cell r="AL168">
            <v>-25.867521087200004</v>
          </cell>
          <cell r="AM168">
            <v>-7.4950000000000001</v>
          </cell>
        </row>
        <row r="169">
          <cell r="A169" t="str">
            <v>12809</v>
          </cell>
          <cell r="E169" t="str">
            <v>|-4142|49|&lt;= 0|</v>
          </cell>
          <cell r="F169" t="str">
            <v>Deferred Tax</v>
          </cell>
          <cell r="J169">
            <v>0</v>
          </cell>
          <cell r="K169">
            <v>0</v>
          </cell>
          <cell r="Q169">
            <v>0</v>
          </cell>
          <cell r="AF169">
            <v>-26.782</v>
          </cell>
          <cell r="AG169">
            <v>-9.7249999999999996</v>
          </cell>
          <cell r="AH169">
            <v>-15.342813261600007</v>
          </cell>
          <cell r="AI169">
            <v>-22.443750000000001</v>
          </cell>
          <cell r="AL169">
            <v>-77.602563261599997</v>
          </cell>
          <cell r="AM169">
            <v>-5.2649999999999997</v>
          </cell>
        </row>
        <row r="170">
          <cell r="A170" t="str">
            <v>30393</v>
          </cell>
          <cell r="F170" t="str">
            <v>Post-tax contribution from associates</v>
          </cell>
          <cell r="J170">
            <v>0</v>
          </cell>
          <cell r="K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row>
        <row r="171">
          <cell r="A171" t="str">
            <v>12811</v>
          </cell>
          <cell r="F171" t="str">
            <v>Minority Interest</v>
          </cell>
          <cell r="J171">
            <v>0</v>
          </cell>
          <cell r="K171">
            <v>0</v>
          </cell>
          <cell r="Q171">
            <v>0</v>
          </cell>
        </row>
        <row r="172">
          <cell r="A172" t="str">
            <v>30396</v>
          </cell>
          <cell r="F172" t="str">
            <v>Net Income before exceptionals (GAAP)</v>
          </cell>
          <cell r="J172">
            <v>0</v>
          </cell>
          <cell r="K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52.859916200000015</v>
          </cell>
          <cell r="AG172">
            <v>25.748712499999986</v>
          </cell>
          <cell r="AH172">
            <v>29.438243331200013</v>
          </cell>
          <cell r="AI172">
            <v>45.50800000000001</v>
          </cell>
          <cell r="AJ172">
            <v>0</v>
          </cell>
          <cell r="AK172">
            <v>0</v>
          </cell>
          <cell r="AL172">
            <v>153.55487203120003</v>
          </cell>
          <cell r="AM172">
            <v>17.463209649999982</v>
          </cell>
        </row>
        <row r="173">
          <cell r="A173" t="str">
            <v>30397</v>
          </cell>
          <cell r="F173" t="str">
            <v>Effect of discontinued operations</v>
          </cell>
          <cell r="J173">
            <v>0</v>
          </cell>
          <cell r="K173">
            <v>0</v>
          </cell>
          <cell r="Q173">
            <v>0</v>
          </cell>
        </row>
        <row r="174">
          <cell r="A174" t="str">
            <v>30398</v>
          </cell>
          <cell r="F174" t="str">
            <v>Effect of accounting Changes</v>
          </cell>
          <cell r="J174">
            <v>0</v>
          </cell>
          <cell r="K174">
            <v>0</v>
          </cell>
          <cell r="Q174">
            <v>0</v>
          </cell>
        </row>
        <row r="175">
          <cell r="A175" t="str">
            <v>30399</v>
          </cell>
          <cell r="F175" t="str">
            <v>Effect of extraordinary items</v>
          </cell>
          <cell r="J175">
            <v>0</v>
          </cell>
          <cell r="K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A176" t="str">
            <v>30709</v>
          </cell>
          <cell r="E176" t="str">
            <v>|-4142|12|NOTBLANK |23|&lt;= 0|</v>
          </cell>
          <cell r="F176" t="str">
            <v>Other exceptional items (Equiv. under non-US GAAP)</v>
          </cell>
          <cell r="J176">
            <v>0</v>
          </cell>
          <cell r="K176">
            <v>0</v>
          </cell>
          <cell r="Q176">
            <v>0</v>
          </cell>
        </row>
        <row r="177">
          <cell r="A177" t="str">
            <v>12814</v>
          </cell>
          <cell r="E177" t="str">
            <v>|-4142|22|&gt;= 0|</v>
          </cell>
          <cell r="F177" t="str">
            <v>Total post-tax exceptionals</v>
          </cell>
          <cell r="J177">
            <v>0</v>
          </cell>
          <cell r="K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A178" t="str">
            <v>14864</v>
          </cell>
          <cell r="F178" t="str">
            <v>Net Income inc. exceptional items</v>
          </cell>
          <cell r="J178">
            <v>0</v>
          </cell>
          <cell r="K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52.859916200000015</v>
          </cell>
          <cell r="AG178">
            <v>25.748712499999986</v>
          </cell>
          <cell r="AH178">
            <v>29.438243331200013</v>
          </cell>
          <cell r="AI178">
            <v>45.50800000000001</v>
          </cell>
          <cell r="AJ178">
            <v>0</v>
          </cell>
          <cell r="AK178">
            <v>0</v>
          </cell>
          <cell r="AL178">
            <v>153.55487203120003</v>
          </cell>
          <cell r="AM178">
            <v>17.463209649999982</v>
          </cell>
        </row>
        <row r="179">
          <cell r="A179" t="str">
            <v>12812</v>
          </cell>
          <cell r="E179" t="str">
            <v>|-4142|23|&lt;= 0|</v>
          </cell>
          <cell r="F179" t="str">
            <v>Preferred dividends</v>
          </cell>
          <cell r="J179">
            <v>0</v>
          </cell>
          <cell r="K179">
            <v>0</v>
          </cell>
          <cell r="Q179">
            <v>0</v>
          </cell>
          <cell r="AF179">
            <v>0</v>
          </cell>
          <cell r="AG179">
            <v>0</v>
          </cell>
          <cell r="AH179">
            <v>0</v>
          </cell>
          <cell r="AI179">
            <v>0</v>
          </cell>
          <cell r="AL179">
            <v>0</v>
          </cell>
          <cell r="AM179">
            <v>0</v>
          </cell>
        </row>
        <row r="180">
          <cell r="A180" t="str">
            <v>12817</v>
          </cell>
          <cell r="F180" t="str">
            <v>Net Income attrib. to ord s/holders pre exceptionals</v>
          </cell>
          <cell r="J180">
            <v>0</v>
          </cell>
          <cell r="K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52.859916200000015</v>
          </cell>
          <cell r="AG180">
            <v>25.748712499999986</v>
          </cell>
          <cell r="AH180">
            <v>29.438243331200013</v>
          </cell>
          <cell r="AI180">
            <v>45.50800000000001</v>
          </cell>
          <cell r="AJ180">
            <v>0</v>
          </cell>
          <cell r="AK180">
            <v>0</v>
          </cell>
          <cell r="AL180">
            <v>153.55487203120003</v>
          </cell>
          <cell r="AM180">
            <v>17.463209649999982</v>
          </cell>
        </row>
        <row r="181">
          <cell r="A181">
            <v>0</v>
          </cell>
          <cell r="B181">
            <v>0</v>
          </cell>
          <cell r="F181" t="str">
            <v>Profit before tax - Adjusted</v>
          </cell>
          <cell r="G181">
            <v>0</v>
          </cell>
          <cell r="J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row>
        <row r="182">
          <cell r="A182" t="str">
            <v>55828</v>
          </cell>
          <cell r="E182" t="str">
            <v>|-4142|46|NOTBLANK |</v>
          </cell>
          <cell r="F182" t="str">
            <v>Adjustments to EBIT</v>
          </cell>
          <cell r="J182">
            <v>0</v>
          </cell>
          <cell r="K182" t="str">
            <v>mm</v>
          </cell>
          <cell r="Q182">
            <v>0</v>
          </cell>
        </row>
        <row r="183">
          <cell r="A183" t="str">
            <v>12532</v>
          </cell>
          <cell r="F183" t="str">
            <v>EBIT Reported</v>
          </cell>
          <cell r="J183">
            <v>0</v>
          </cell>
          <cell r="K183" t="str">
            <v>mm</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102.69791620000001</v>
          </cell>
          <cell r="AG183">
            <v>59.772712499999983</v>
          </cell>
          <cell r="AH183">
            <v>66.19532768000002</v>
          </cell>
          <cell r="AI183">
            <v>96.710000000000008</v>
          </cell>
          <cell r="AJ183">
            <v>0</v>
          </cell>
          <cell r="AK183">
            <v>0</v>
          </cell>
          <cell r="AL183">
            <v>325.37595638000005</v>
          </cell>
          <cell r="AM183">
            <v>48.694209649999976</v>
          </cell>
        </row>
        <row r="184">
          <cell r="A184" t="str">
            <v>28367</v>
          </cell>
          <cell r="F184" t="str">
            <v>Financial income treated as operational</v>
          </cell>
          <cell r="G184">
            <v>0</v>
          </cell>
          <cell r="J184">
            <v>0</v>
          </cell>
          <cell r="K184">
            <v>0</v>
          </cell>
          <cell r="Q184">
            <v>0</v>
          </cell>
        </row>
        <row r="185">
          <cell r="A185" t="str">
            <v>28366</v>
          </cell>
          <cell r="E185" t="str">
            <v>|-4142|23|&lt;= 0|</v>
          </cell>
          <cell r="F185" t="str">
            <v>Financial expense treated as operational</v>
          </cell>
          <cell r="G185">
            <v>0</v>
          </cell>
          <cell r="J185">
            <v>0</v>
          </cell>
          <cell r="K185">
            <v>0</v>
          </cell>
          <cell r="Q185">
            <v>0</v>
          </cell>
        </row>
        <row r="186">
          <cell r="A186" t="str">
            <v>30402</v>
          </cell>
          <cell r="F186" t="str">
            <v>Add: Total financials treated as operational</v>
          </cell>
          <cell r="J186">
            <v>0</v>
          </cell>
          <cell r="K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A187" t="str">
            <v>12796</v>
          </cell>
          <cell r="E187" t="str">
            <v>|-4142|23|&lt;= 0|</v>
          </cell>
          <cell r="F187" t="str">
            <v>Restructuring Costs</v>
          </cell>
          <cell r="J187">
            <v>0</v>
          </cell>
          <cell r="K187">
            <v>0</v>
          </cell>
          <cell r="Q187">
            <v>0</v>
          </cell>
        </row>
        <row r="188">
          <cell r="A188" t="str">
            <v>12797</v>
          </cell>
          <cell r="E188" t="str">
            <v>|-4142|23|&lt;= 0|</v>
          </cell>
          <cell r="F188" t="str">
            <v>Asset Writedowns</v>
          </cell>
          <cell r="J188">
            <v>0</v>
          </cell>
          <cell r="K188">
            <v>0</v>
          </cell>
          <cell r="Q188">
            <v>0</v>
          </cell>
        </row>
        <row r="189">
          <cell r="A189" t="str">
            <v>12798</v>
          </cell>
          <cell r="F189" t="str">
            <v>Gain/Loss on sale of assets</v>
          </cell>
          <cell r="J189">
            <v>0</v>
          </cell>
          <cell r="K189">
            <v>0</v>
          </cell>
          <cell r="Q189">
            <v>0</v>
          </cell>
        </row>
        <row r="190">
          <cell r="A190" t="str">
            <v>12799</v>
          </cell>
          <cell r="F190" t="str">
            <v>Other non-recurring items</v>
          </cell>
          <cell r="J190">
            <v>0</v>
          </cell>
          <cell r="K190">
            <v>0</v>
          </cell>
          <cell r="Q190">
            <v>0</v>
          </cell>
          <cell r="AF190">
            <v>-1.988</v>
          </cell>
          <cell r="AG190">
            <v>1.2829999999999999</v>
          </cell>
          <cell r="AH190">
            <v>1</v>
          </cell>
          <cell r="AI190">
            <v>-3.05</v>
          </cell>
          <cell r="AJ190">
            <v>-2.7549999999999999</v>
          </cell>
          <cell r="AK190">
            <v>2.6339999999999999</v>
          </cell>
          <cell r="AL190">
            <v>-6.29</v>
          </cell>
          <cell r="AM190">
            <v>-1.107</v>
          </cell>
        </row>
        <row r="191">
          <cell r="A191" t="str">
            <v>12795</v>
          </cell>
          <cell r="F191" t="str">
            <v>Total pretax non-recurring items</v>
          </cell>
          <cell r="J191">
            <v>0</v>
          </cell>
          <cell r="K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-1.988</v>
          </cell>
          <cell r="AG191">
            <v>1.2829999999999999</v>
          </cell>
          <cell r="AH191">
            <v>1</v>
          </cell>
          <cell r="AI191">
            <v>-3.05</v>
          </cell>
          <cell r="AJ191">
            <v>-2.7549999999999999</v>
          </cell>
          <cell r="AK191">
            <v>2.6339999999999999</v>
          </cell>
          <cell r="AL191">
            <v>-6.29</v>
          </cell>
          <cell r="AM191">
            <v>-1.107</v>
          </cell>
        </row>
        <row r="192">
          <cell r="A192" t="str">
            <v>12910</v>
          </cell>
          <cell r="E192" t="str">
            <v>|37|24|NUMERIC |</v>
          </cell>
          <cell r="F192" t="str">
            <v>EBIT Adjusted</v>
          </cell>
          <cell r="J192">
            <v>0</v>
          </cell>
          <cell r="K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104.68591620000001</v>
          </cell>
          <cell r="AG192">
            <v>58.489712499999982</v>
          </cell>
          <cell r="AH192">
            <v>65.19532768000002</v>
          </cell>
          <cell r="AI192">
            <v>99.76</v>
          </cell>
          <cell r="AJ192">
            <v>0</v>
          </cell>
          <cell r="AK192">
            <v>0</v>
          </cell>
          <cell r="AL192">
            <v>331.66595638000007</v>
          </cell>
          <cell r="AM192">
            <v>49.801209649999976</v>
          </cell>
        </row>
        <row r="193">
          <cell r="A193" t="str">
            <v>12793</v>
          </cell>
          <cell r="F193" t="str">
            <v>EBITDA Adjusted</v>
          </cell>
          <cell r="J193">
            <v>0</v>
          </cell>
          <cell r="Q193">
            <v>0</v>
          </cell>
        </row>
        <row r="194">
          <cell r="A194" t="str">
            <v>30647</v>
          </cell>
          <cell r="F194" t="str">
            <v>EBITDA Reported</v>
          </cell>
          <cell r="J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192.01591619999999</v>
          </cell>
          <cell r="AG194">
            <v>153.25371249999998</v>
          </cell>
          <cell r="AH194">
            <v>165.19532768000002</v>
          </cell>
          <cell r="AI194">
            <v>197.15700000000001</v>
          </cell>
          <cell r="AJ194">
            <v>0</v>
          </cell>
          <cell r="AK194">
            <v>0</v>
          </cell>
          <cell r="AL194">
            <v>707.62195638000003</v>
          </cell>
          <cell r="AM194">
            <v>147.06620964999996</v>
          </cell>
        </row>
        <row r="195">
          <cell r="A195" t="str">
            <v>12965</v>
          </cell>
          <cell r="F195" t="str">
            <v>EBITDA Adjusted</v>
          </cell>
          <cell r="J195">
            <v>0</v>
          </cell>
          <cell r="K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194.00391619999999</v>
          </cell>
          <cell r="AG195">
            <v>151.97071249999999</v>
          </cell>
          <cell r="AH195">
            <v>164.19532768000002</v>
          </cell>
          <cell r="AI195">
            <v>200.20699999999999</v>
          </cell>
          <cell r="AJ195">
            <v>0</v>
          </cell>
          <cell r="AK195">
            <v>0</v>
          </cell>
          <cell r="AL195">
            <v>713.91195637999999</v>
          </cell>
          <cell r="AM195">
            <v>148.17320964999999</v>
          </cell>
        </row>
        <row r="196">
          <cell r="A196" t="str">
            <v>30402</v>
          </cell>
          <cell r="F196" t="str">
            <v>Adjustments to Net Income</v>
          </cell>
          <cell r="J196">
            <v>0</v>
          </cell>
          <cell r="Q196">
            <v>0</v>
          </cell>
        </row>
        <row r="197">
          <cell r="A197" t="str">
            <v>12796</v>
          </cell>
          <cell r="E197" t="str">
            <v>|-4142|23|&lt;= 0|</v>
          </cell>
          <cell r="F197" t="str">
            <v>Net Income inc. exceptional items</v>
          </cell>
          <cell r="J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52.859916200000015</v>
          </cell>
          <cell r="AG197">
            <v>25.748712499999986</v>
          </cell>
          <cell r="AH197">
            <v>29.438243331200013</v>
          </cell>
          <cell r="AI197">
            <v>45.50800000000001</v>
          </cell>
          <cell r="AJ197">
            <v>0</v>
          </cell>
          <cell r="AK197">
            <v>0</v>
          </cell>
          <cell r="AL197">
            <v>153.55487203120003</v>
          </cell>
          <cell r="AM197">
            <v>17.463209649999982</v>
          </cell>
        </row>
        <row r="198">
          <cell r="A198" t="str">
            <v>30404</v>
          </cell>
          <cell r="E198" t="str">
            <v>|-4142|23|&lt;= 0|</v>
          </cell>
          <cell r="F198" t="str">
            <v>Non-recurring items after tax</v>
          </cell>
          <cell r="J198">
            <v>0</v>
          </cell>
          <cell r="K198">
            <v>0</v>
          </cell>
          <cell r="Q198">
            <v>0</v>
          </cell>
        </row>
        <row r="199">
          <cell r="A199" t="str">
            <v>30405</v>
          </cell>
          <cell r="F199" t="str">
            <v>Reversal exceptionals post tax</v>
          </cell>
          <cell r="J199">
            <v>0</v>
          </cell>
          <cell r="K199">
            <v>0</v>
          </cell>
          <cell r="Q199">
            <v>0</v>
          </cell>
          <cell r="R199">
            <v>0</v>
          </cell>
          <cell r="AF199">
            <v>0</v>
          </cell>
          <cell r="AG199">
            <v>0</v>
          </cell>
          <cell r="AH199">
            <v>0</v>
          </cell>
          <cell r="AI199">
            <v>0</v>
          </cell>
          <cell r="AJ199">
            <v>0</v>
          </cell>
          <cell r="AK199">
            <v>0</v>
          </cell>
          <cell r="AL199">
            <v>0</v>
          </cell>
          <cell r="AM199">
            <v>0</v>
          </cell>
        </row>
        <row r="200">
          <cell r="A200" t="str">
            <v>30406</v>
          </cell>
          <cell r="F200" t="str">
            <v>Reversal of goodwill amort.</v>
          </cell>
          <cell r="J200">
            <v>0</v>
          </cell>
          <cell r="K200">
            <v>0</v>
          </cell>
          <cell r="Q200">
            <v>0</v>
          </cell>
          <cell r="R200">
            <v>0</v>
          </cell>
          <cell r="AF200">
            <v>0</v>
          </cell>
          <cell r="AG200">
            <v>0</v>
          </cell>
          <cell r="AH200">
            <v>0</v>
          </cell>
          <cell r="AI200">
            <v>0</v>
          </cell>
          <cell r="AJ200">
            <v>0</v>
          </cell>
          <cell r="AK200">
            <v>0</v>
          </cell>
          <cell r="AL200">
            <v>0</v>
          </cell>
          <cell r="AM200">
            <v>0</v>
          </cell>
        </row>
        <row r="201">
          <cell r="A201" t="str">
            <v>30407</v>
          </cell>
          <cell r="F201" t="str">
            <v>Other adjustments to net income</v>
          </cell>
          <cell r="J201">
            <v>0</v>
          </cell>
          <cell r="K201">
            <v>0</v>
          </cell>
          <cell r="Q201">
            <v>0</v>
          </cell>
          <cell r="AL201">
            <v>0</v>
          </cell>
          <cell r="AM201">
            <v>0</v>
          </cell>
        </row>
        <row r="202">
          <cell r="A202" t="str">
            <v>30403</v>
          </cell>
          <cell r="F202" t="str">
            <v>Total adjustments to net income, net of  tax</v>
          </cell>
          <cell r="J202">
            <v>0</v>
          </cell>
          <cell r="K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row>
        <row r="203">
          <cell r="A203" t="str">
            <v>15298</v>
          </cell>
          <cell r="F203" t="str">
            <v>Preferred dividends (reported from above)</v>
          </cell>
          <cell r="J203">
            <v>0</v>
          </cell>
          <cell r="K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A204" t="str">
            <v>12813</v>
          </cell>
          <cell r="F204" t="str">
            <v>Net Income Adjusted</v>
          </cell>
          <cell r="J204">
            <v>0</v>
          </cell>
          <cell r="K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52.859916200000015</v>
          </cell>
          <cell r="AG204">
            <v>25.748712499999986</v>
          </cell>
          <cell r="AH204">
            <v>29.438243331200013</v>
          </cell>
          <cell r="AI204">
            <v>45.50800000000001</v>
          </cell>
          <cell r="AJ204">
            <v>0</v>
          </cell>
          <cell r="AK204">
            <v>0</v>
          </cell>
          <cell r="AL204">
            <v>153.55487203120003</v>
          </cell>
          <cell r="AM204">
            <v>17.463209649999982</v>
          </cell>
        </row>
        <row r="205">
          <cell r="A205" t="str">
            <v>30410</v>
          </cell>
          <cell r="F205" t="str">
            <v>Dilution adjustment to EPS numerator</v>
          </cell>
          <cell r="J205">
            <v>0</v>
          </cell>
          <cell r="K205">
            <v>0</v>
          </cell>
          <cell r="Q205">
            <v>0</v>
          </cell>
        </row>
        <row r="206">
          <cell r="A206">
            <v>0</v>
          </cell>
          <cell r="B206">
            <v>0</v>
          </cell>
          <cell r="F206" t="str">
            <v>EBIT Reported</v>
          </cell>
          <cell r="G206">
            <v>0</v>
          </cell>
          <cell r="J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102.69791620000001</v>
          </cell>
          <cell r="AG206">
            <v>59.772712499999983</v>
          </cell>
          <cell r="AH206">
            <v>66.19532768000002</v>
          </cell>
          <cell r="AI206">
            <v>96.710000000000008</v>
          </cell>
          <cell r="AJ206">
            <v>0</v>
          </cell>
          <cell r="AK206">
            <v>0</v>
          </cell>
          <cell r="AL206">
            <v>325.37595638000005</v>
          </cell>
          <cell r="AM206">
            <v>48.694209649999976</v>
          </cell>
        </row>
        <row r="207">
          <cell r="A207" t="str">
            <v>30396</v>
          </cell>
          <cell r="F207" t="str">
            <v>Supplementary measures</v>
          </cell>
          <cell r="J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A208" t="str">
            <v>50070</v>
          </cell>
          <cell r="F208" t="str">
            <v>Restricted Stock</v>
          </cell>
          <cell r="J208">
            <v>0</v>
          </cell>
          <cell r="K208">
            <v>0</v>
          </cell>
          <cell r="Q208">
            <v>0</v>
          </cell>
        </row>
        <row r="209">
          <cell r="A209" t="str">
            <v>50071</v>
          </cell>
          <cell r="F209" t="str">
            <v>Stock Options</v>
          </cell>
          <cell r="J209">
            <v>0</v>
          </cell>
          <cell r="K209">
            <v>0</v>
          </cell>
          <cell r="Q209">
            <v>0</v>
          </cell>
        </row>
        <row r="210">
          <cell r="A210" t="str">
            <v>50072</v>
          </cell>
          <cell r="F210" t="str">
            <v>Total equity-based compensation</v>
          </cell>
          <cell r="J210">
            <v>0</v>
          </cell>
          <cell r="K210">
            <v>0</v>
          </cell>
          <cell r="Q210">
            <v>0</v>
          </cell>
        </row>
        <row r="211">
          <cell r="A211" t="str">
            <v>50073</v>
          </cell>
          <cell r="F211" t="str">
            <v>Expense options at fair value?</v>
          </cell>
          <cell r="J211" t="str">
            <v>string</v>
          </cell>
          <cell r="K211" t="str">
            <v>actual</v>
          </cell>
          <cell r="Q211">
            <v>0</v>
          </cell>
          <cell r="R211" t="str">
            <v>o</v>
          </cell>
          <cell r="S211" t="str">
            <v>o</v>
          </cell>
          <cell r="T211" t="str">
            <v>o</v>
          </cell>
          <cell r="U211" t="str">
            <v>o</v>
          </cell>
          <cell r="V211" t="str">
            <v>o</v>
          </cell>
          <cell r="W211" t="str">
            <v>o</v>
          </cell>
          <cell r="X211" t="str">
            <v>o</v>
          </cell>
          <cell r="Y211" t="str">
            <v>o</v>
          </cell>
          <cell r="Z211" t="str">
            <v>o</v>
          </cell>
          <cell r="AA211" t="str">
            <v>o</v>
          </cell>
          <cell r="AB211" t="str">
            <v>o</v>
          </cell>
          <cell r="AC211" t="str">
            <v>o</v>
          </cell>
          <cell r="AD211" t="str">
            <v>o</v>
          </cell>
          <cell r="AE211" t="str">
            <v>o</v>
          </cell>
          <cell r="AF211" t="str">
            <v>o</v>
          </cell>
          <cell r="AG211" t="str">
            <v>o</v>
          </cell>
          <cell r="AH211" t="str">
            <v>o</v>
          </cell>
          <cell r="AI211" t="str">
            <v>o</v>
          </cell>
          <cell r="AJ211" t="str">
            <v>o</v>
          </cell>
          <cell r="AK211" t="str">
            <v>o</v>
          </cell>
          <cell r="AL211" t="str">
            <v>o</v>
          </cell>
          <cell r="AM211" t="str">
            <v>o</v>
          </cell>
        </row>
        <row r="212">
          <cell r="A212" t="str">
            <v>29387</v>
          </cell>
          <cell r="F212" t="str">
            <v>Proportional Revenue</v>
          </cell>
          <cell r="G212">
            <v>0</v>
          </cell>
          <cell r="J212">
            <v>0</v>
          </cell>
          <cell r="K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A213" t="str">
            <v>30408</v>
          </cell>
          <cell r="F213" t="str">
            <v>Revenue from Discont. Ops</v>
          </cell>
          <cell r="G213">
            <v>0</v>
          </cell>
          <cell r="J213">
            <v>0</v>
          </cell>
          <cell r="K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A214" t="str">
            <v>30409</v>
          </cell>
          <cell r="F214" t="str">
            <v>Profit before tax - Adjusted</v>
          </cell>
          <cell r="J214">
            <v>0</v>
          </cell>
          <cell r="K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A215" t="str">
            <v>30392</v>
          </cell>
          <cell r="B215">
            <v>0</v>
          </cell>
          <cell r="F215" t="str">
            <v>Tax on non-recurring items</v>
          </cell>
          <cell r="G215">
            <v>0</v>
          </cell>
          <cell r="J215">
            <v>0</v>
          </cell>
          <cell r="K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row>
        <row r="216">
          <cell r="A216" t="str">
            <v>29388</v>
          </cell>
          <cell r="F216" t="str">
            <v>Proportional EBITDA</v>
          </cell>
          <cell r="J216">
            <v>0</v>
          </cell>
          <cell r="K216">
            <v>0</v>
          </cell>
          <cell r="Q216">
            <v>0</v>
          </cell>
        </row>
        <row r="217">
          <cell r="A217" t="str">
            <v>14204</v>
          </cell>
          <cell r="F217" t="str">
            <v>Headcount</v>
          </cell>
          <cell r="G217">
            <v>0</v>
          </cell>
          <cell r="J217" t="str">
            <v>numeric</v>
          </cell>
          <cell r="K217" t="str">
            <v>actual</v>
          </cell>
          <cell r="Q217">
            <v>0</v>
          </cell>
        </row>
        <row r="218">
          <cell r="A218" t="str">
            <v>14845</v>
          </cell>
          <cell r="F218" t="str">
            <v>Personnel Costs</v>
          </cell>
          <cell r="G218">
            <v>0</v>
          </cell>
          <cell r="J218">
            <v>0</v>
          </cell>
          <cell r="K218">
            <v>0</v>
          </cell>
          <cell r="Q218">
            <v>0</v>
          </cell>
        </row>
        <row r="219">
          <cell r="A219" t="str">
            <v>13961</v>
          </cell>
          <cell r="F219" t="str">
            <v>Capitalized Interest</v>
          </cell>
          <cell r="J219">
            <v>0</v>
          </cell>
          <cell r="K219">
            <v>0</v>
          </cell>
          <cell r="Q219">
            <v>0</v>
          </cell>
          <cell r="R219" t="str">
            <v>o</v>
          </cell>
          <cell r="S219" t="str">
            <v>o</v>
          </cell>
          <cell r="T219" t="str">
            <v>o</v>
          </cell>
          <cell r="U219" t="str">
            <v>o</v>
          </cell>
          <cell r="V219" t="str">
            <v>o</v>
          </cell>
          <cell r="W219" t="str">
            <v>o</v>
          </cell>
          <cell r="X219" t="str">
            <v>o</v>
          </cell>
          <cell r="Y219" t="str">
            <v>o</v>
          </cell>
          <cell r="Z219" t="str">
            <v>o</v>
          </cell>
          <cell r="AA219" t="str">
            <v>o</v>
          </cell>
          <cell r="AB219" t="str">
            <v>o</v>
          </cell>
          <cell r="AC219" t="str">
            <v>o</v>
          </cell>
          <cell r="AD219" t="str">
            <v>o</v>
          </cell>
          <cell r="AE219" t="str">
            <v>o</v>
          </cell>
          <cell r="AF219" t="str">
            <v>o</v>
          </cell>
          <cell r="AG219" t="str">
            <v>o</v>
          </cell>
          <cell r="AH219" t="str">
            <v>o</v>
          </cell>
          <cell r="AI219" t="str">
            <v>o</v>
          </cell>
          <cell r="AJ219" t="str">
            <v>o</v>
          </cell>
          <cell r="AK219" t="str">
            <v>o</v>
          </cell>
          <cell r="AL219" t="str">
            <v>o</v>
          </cell>
          <cell r="AM219" t="str">
            <v>o</v>
          </cell>
        </row>
        <row r="220">
          <cell r="A220" t="str">
            <v>30421</v>
          </cell>
          <cell r="F220" t="str">
            <v>Standard Tax Rate %</v>
          </cell>
          <cell r="J220" t="str">
            <v>%</v>
          </cell>
          <cell r="K220" t="str">
            <v>actual</v>
          </cell>
          <cell r="Q220">
            <v>0</v>
          </cell>
        </row>
        <row r="221">
          <cell r="A221" t="str">
            <v>30420</v>
          </cell>
          <cell r="F221" t="str">
            <v>Cash tax rate %</v>
          </cell>
          <cell r="J221" t="str">
            <v>%</v>
          </cell>
          <cell r="K221" t="str">
            <v>actual</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row>
        <row r="222">
          <cell r="A222" t="str">
            <v>30419</v>
          </cell>
          <cell r="F222" t="str">
            <v>Tax rate on ordinary activities %</v>
          </cell>
          <cell r="J222" t="str">
            <v>%</v>
          </cell>
          <cell r="K222" t="str">
            <v>actual</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row>
        <row r="223">
          <cell r="A223" t="str">
            <v>12537</v>
          </cell>
          <cell r="F223" t="str">
            <v>Cash taxes paid</v>
          </cell>
          <cell r="J223">
            <v>0</v>
          </cell>
          <cell r="K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F224" t="str">
            <v>Income Statement Error Trapping</v>
          </cell>
        </row>
        <row r="225">
          <cell r="A225" t="str">
            <v>30712</v>
          </cell>
          <cell r="F225" t="str">
            <v>Complete Income Statement?</v>
          </cell>
          <cell r="G225">
            <v>0</v>
          </cell>
          <cell r="J225" t="str">
            <v>string</v>
          </cell>
          <cell r="K225" t="str">
            <v>n/m</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A226" t="str">
            <v>30711</v>
          </cell>
          <cell r="F226" t="str">
            <v>Total revenue &gt; EBIT?</v>
          </cell>
          <cell r="J226" t="str">
            <v>string</v>
          </cell>
          <cell r="K226" t="str">
            <v>n/m</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row>
        <row r="227">
          <cell r="A227" t="str">
            <v>30710</v>
          </cell>
          <cell r="F227" t="str">
            <v>Income Statement  OK?</v>
          </cell>
          <cell r="J227" t="str">
            <v>string</v>
          </cell>
          <cell r="K227" t="str">
            <v>n/m</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A228" t="str">
            <v>30408</v>
          </cell>
          <cell r="F228" t="str">
            <v>CASH FLOW  (all inflows +ve; all outflows -ve)</v>
          </cell>
          <cell r="G228">
            <v>0</v>
          </cell>
          <cell r="J228">
            <v>0</v>
          </cell>
        </row>
        <row r="229">
          <cell r="A229">
            <v>0</v>
          </cell>
          <cell r="B229">
            <v>0</v>
          </cell>
          <cell r="F229" t="str">
            <v>EBITDA Reported</v>
          </cell>
          <cell r="G229">
            <v>0</v>
          </cell>
          <cell r="J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192.01591619999999</v>
          </cell>
          <cell r="AG229">
            <v>153.25371249999998</v>
          </cell>
          <cell r="AH229">
            <v>165.19532768000002</v>
          </cell>
          <cell r="AI229">
            <v>197.15700000000001</v>
          </cell>
          <cell r="AJ229">
            <v>0</v>
          </cell>
          <cell r="AK229">
            <v>0</v>
          </cell>
          <cell r="AL229">
            <v>707.62195638000003</v>
          </cell>
          <cell r="AM229">
            <v>147.06620964999996</v>
          </cell>
        </row>
        <row r="230">
          <cell r="A230" t="str">
            <v>30367</v>
          </cell>
          <cell r="F230" t="str">
            <v>Net income before exceptionals (GAAP)</v>
          </cell>
          <cell r="J230">
            <v>0</v>
          </cell>
          <cell r="K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52.859916200000015</v>
          </cell>
          <cell r="AG230">
            <v>25.748712499999986</v>
          </cell>
          <cell r="AH230">
            <v>29.438243331200013</v>
          </cell>
          <cell r="AI230">
            <v>45.50800000000001</v>
          </cell>
          <cell r="AJ230">
            <v>0</v>
          </cell>
          <cell r="AK230">
            <v>0</v>
          </cell>
          <cell r="AL230">
            <v>153.55487203120003</v>
          </cell>
          <cell r="AM230">
            <v>17.463209649999982</v>
          </cell>
        </row>
        <row r="231">
          <cell r="A231" t="str">
            <v>30368</v>
          </cell>
          <cell r="F231" t="str">
            <v>Total Dep &amp; Amort. CF</v>
          </cell>
          <cell r="J231">
            <v>0</v>
          </cell>
          <cell r="K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89.317999999999998</v>
          </cell>
          <cell r="AG231">
            <v>93.480999999999995</v>
          </cell>
          <cell r="AH231">
            <v>99</v>
          </cell>
          <cell r="AI231">
            <v>100.447</v>
          </cell>
          <cell r="AJ231">
            <v>0</v>
          </cell>
          <cell r="AK231">
            <v>0</v>
          </cell>
          <cell r="AL231">
            <v>382.24599999999998</v>
          </cell>
          <cell r="AM231">
            <v>98.372</v>
          </cell>
        </row>
        <row r="232">
          <cell r="A232" t="str">
            <v>30369</v>
          </cell>
          <cell r="F232" t="str">
            <v>Deferred taxes (from above)</v>
          </cell>
          <cell r="G232">
            <v>0</v>
          </cell>
          <cell r="J232">
            <v>0</v>
          </cell>
          <cell r="K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26.782</v>
          </cell>
          <cell r="AG232">
            <v>9.7249999999999996</v>
          </cell>
          <cell r="AH232">
            <v>15.342813261600007</v>
          </cell>
          <cell r="AI232">
            <v>22.443750000000001</v>
          </cell>
          <cell r="AJ232">
            <v>0</v>
          </cell>
          <cell r="AK232">
            <v>0</v>
          </cell>
          <cell r="AL232">
            <v>77.602563261599997</v>
          </cell>
          <cell r="AM232">
            <v>5.2649999999999997</v>
          </cell>
        </row>
        <row r="233">
          <cell r="A233" t="str">
            <v>12818</v>
          </cell>
          <cell r="F233" t="str">
            <v>Change in Non-Cash Working Cap</v>
          </cell>
          <cell r="G233">
            <v>0</v>
          </cell>
          <cell r="J233">
            <v>0</v>
          </cell>
          <cell r="K233">
            <v>0</v>
          </cell>
          <cell r="Q233">
            <v>0</v>
          </cell>
        </row>
        <row r="234">
          <cell r="A234" t="str">
            <v>12819</v>
          </cell>
          <cell r="F234" t="str">
            <v>Inc/ (dec.)  in Provisions etc</v>
          </cell>
          <cell r="J234">
            <v>0</v>
          </cell>
          <cell r="K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7">
          <cell r="A237" t="str">
            <v>30433</v>
          </cell>
          <cell r="F237" t="str">
            <v>Minority Interest</v>
          </cell>
          <cell r="J237">
            <v>0</v>
          </cell>
          <cell r="K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A238" t="str">
            <v>12822</v>
          </cell>
          <cell r="E238" t="str">
            <v>|-4142|22|&gt;= 0|</v>
          </cell>
          <cell r="F238" t="str">
            <v>Associate dividends received</v>
          </cell>
          <cell r="J238">
            <v>0</v>
          </cell>
          <cell r="K238">
            <v>0</v>
          </cell>
          <cell r="Q238">
            <v>0</v>
          </cell>
        </row>
        <row r="239">
          <cell r="A239" t="str">
            <v>12823</v>
          </cell>
          <cell r="F239" t="str">
            <v>Other Operating Non-Cash Items</v>
          </cell>
          <cell r="J239">
            <v>0</v>
          </cell>
          <cell r="K239">
            <v>0</v>
          </cell>
          <cell r="Q239">
            <v>0</v>
          </cell>
        </row>
        <row r="240">
          <cell r="A240" t="str">
            <v>12825</v>
          </cell>
          <cell r="E240" t="str">
            <v>|37|24|NUMERIC |</v>
          </cell>
          <cell r="F240" t="str">
            <v>Operating Cash Flow</v>
          </cell>
          <cell r="J240">
            <v>0</v>
          </cell>
          <cell r="K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168.95991620000004</v>
          </cell>
          <cell r="AG240">
            <v>128.95471249999997</v>
          </cell>
          <cell r="AH240">
            <v>143.78105659280001</v>
          </cell>
          <cell r="AI240">
            <v>168.39875000000001</v>
          </cell>
          <cell r="AJ240">
            <v>0</v>
          </cell>
          <cell r="AK240">
            <v>0</v>
          </cell>
          <cell r="AL240">
            <v>613.40343529280005</v>
          </cell>
          <cell r="AM240">
            <v>121.10020964999998</v>
          </cell>
        </row>
        <row r="241">
          <cell r="A241" t="str">
            <v>30713</v>
          </cell>
          <cell r="F241" t="str">
            <v>Operating cash flow from discontinued operations</v>
          </cell>
          <cell r="J241">
            <v>0</v>
          </cell>
          <cell r="K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A242" t="str">
            <v>12826</v>
          </cell>
          <cell r="E242" t="str">
            <v>|-4142|23|&lt;= 0|</v>
          </cell>
          <cell r="F242" t="str">
            <v>Capital Expenditure</v>
          </cell>
          <cell r="J242">
            <v>0</v>
          </cell>
          <cell r="K242">
            <v>0</v>
          </cell>
          <cell r="Q242">
            <v>0</v>
          </cell>
        </row>
        <row r="243">
          <cell r="A243" t="str">
            <v>12504</v>
          </cell>
          <cell r="F243" t="str">
            <v>Sale of Fixed Assets</v>
          </cell>
          <cell r="J243">
            <v>0</v>
          </cell>
          <cell r="K243">
            <v>0</v>
          </cell>
          <cell r="Q243">
            <v>0</v>
          </cell>
        </row>
        <row r="244">
          <cell r="A244" t="str">
            <v>12828</v>
          </cell>
          <cell r="B244">
            <v>0</v>
          </cell>
          <cell r="F244" t="str">
            <v>Acquisitions/Disposals of investments</v>
          </cell>
          <cell r="G244">
            <v>0</v>
          </cell>
          <cell r="J244">
            <v>0</v>
          </cell>
          <cell r="K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A245" t="str">
            <v>30371</v>
          </cell>
          <cell r="F245" t="str">
            <v>Other Investing Cash Items</v>
          </cell>
          <cell r="J245">
            <v>0</v>
          </cell>
          <cell r="K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A246" t="str">
            <v>12558</v>
          </cell>
          <cell r="F246" t="str">
            <v>Cash Flow from Investing</v>
          </cell>
          <cell r="J246">
            <v>0</v>
          </cell>
          <cell r="K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A247" t="str">
            <v>12912</v>
          </cell>
          <cell r="F247" t="str">
            <v>Net Share Issue/Repurchase</v>
          </cell>
          <cell r="J247">
            <v>0</v>
          </cell>
          <cell r="K247">
            <v>0</v>
          </cell>
          <cell r="Q247">
            <v>0</v>
          </cell>
        </row>
        <row r="248">
          <cell r="A248" t="str">
            <v>12830</v>
          </cell>
          <cell r="E248" t="str">
            <v>|-4142|12|NOTBLANK |23|&lt;= 0|</v>
          </cell>
          <cell r="F248" t="str">
            <v>Dividends Paid</v>
          </cell>
          <cell r="J248">
            <v>0</v>
          </cell>
          <cell r="K248">
            <v>0</v>
          </cell>
          <cell r="Q248">
            <v>0</v>
          </cell>
        </row>
        <row r="249">
          <cell r="A249" t="str">
            <v>30372</v>
          </cell>
          <cell r="F249" t="str">
            <v>Change in Debt</v>
          </cell>
          <cell r="J249">
            <v>0</v>
          </cell>
          <cell r="K249">
            <v>0</v>
          </cell>
          <cell r="Q249">
            <v>0</v>
          </cell>
        </row>
        <row r="250">
          <cell r="A250" t="str">
            <v>30714</v>
          </cell>
          <cell r="F250" t="str">
            <v>Other financing cash flow</v>
          </cell>
          <cell r="J250">
            <v>0</v>
          </cell>
          <cell r="K250">
            <v>0</v>
          </cell>
          <cell r="Q250">
            <v>0</v>
          </cell>
        </row>
        <row r="251">
          <cell r="A251" t="str">
            <v>30373</v>
          </cell>
          <cell r="F251" t="str">
            <v>Cash Flow From Financing</v>
          </cell>
          <cell r="J251">
            <v>0</v>
          </cell>
          <cell r="K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A252" t="str">
            <v>12831</v>
          </cell>
          <cell r="F252" t="str">
            <v>Other cash items</v>
          </cell>
          <cell r="J252">
            <v>0</v>
          </cell>
          <cell r="K252">
            <v>0</v>
          </cell>
          <cell r="Q252">
            <v>0</v>
          </cell>
        </row>
        <row r="253">
          <cell r="A253" t="str">
            <v>30374</v>
          </cell>
          <cell r="E253" t="str">
            <v>|-4142|22|&gt;= 0|</v>
          </cell>
          <cell r="F253" t="str">
            <v>Change in Cash &amp; Equiv.</v>
          </cell>
          <cell r="J253">
            <v>0</v>
          </cell>
          <cell r="K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168.95991620000004</v>
          </cell>
          <cell r="AG253">
            <v>128.95471249999997</v>
          </cell>
          <cell r="AH253">
            <v>143.78105659280001</v>
          </cell>
          <cell r="AI253">
            <v>168.39875000000001</v>
          </cell>
          <cell r="AJ253">
            <v>0</v>
          </cell>
          <cell r="AK253">
            <v>0</v>
          </cell>
          <cell r="AL253">
            <v>613.40343529280005</v>
          </cell>
          <cell r="AM253">
            <v>121.10020964999998</v>
          </cell>
        </row>
        <row r="254">
          <cell r="A254" t="str">
            <v>30375</v>
          </cell>
          <cell r="F254" t="str">
            <v>Non-Cash changes to Debt</v>
          </cell>
          <cell r="J254">
            <v>0</v>
          </cell>
          <cell r="K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A255" t="str">
            <v>12825</v>
          </cell>
          <cell r="E255" t="str">
            <v>|-4142|24|NUMERIC |</v>
          </cell>
          <cell r="F255" t="str">
            <v>Cash flow error trapping</v>
          </cell>
          <cell r="J255">
            <v>0</v>
          </cell>
          <cell r="Q255">
            <v>0</v>
          </cell>
        </row>
        <row r="256">
          <cell r="A256" t="str">
            <v>30715</v>
          </cell>
          <cell r="E256" t="str">
            <v>|37|28|= TRUE|</v>
          </cell>
          <cell r="F256" t="str">
            <v>Cash flow complete?</v>
          </cell>
          <cell r="J256" t="str">
            <v>string</v>
          </cell>
          <cell r="K256" t="str">
            <v>n/m</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row>
        <row r="257">
          <cell r="A257">
            <v>0</v>
          </cell>
          <cell r="B257">
            <v>0</v>
          </cell>
          <cell r="E257" t="str">
            <v>|-4142|23|&lt;= 0|</v>
          </cell>
          <cell r="F257" t="str">
            <v>Net Income inc. exceptional items</v>
          </cell>
          <cell r="G257">
            <v>0</v>
          </cell>
          <cell r="J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52.859916200000015</v>
          </cell>
          <cell r="AG257">
            <v>25.748712499999986</v>
          </cell>
          <cell r="AH257">
            <v>29.438243331200013</v>
          </cell>
          <cell r="AI257">
            <v>45.50800000000001</v>
          </cell>
          <cell r="AJ257">
            <v>0</v>
          </cell>
          <cell r="AK257">
            <v>0</v>
          </cell>
          <cell r="AL257">
            <v>153.55487203120003</v>
          </cell>
          <cell r="AM257">
            <v>17.463209649999982</v>
          </cell>
        </row>
        <row r="258">
          <cell r="A258" t="str">
            <v>12504</v>
          </cell>
          <cell r="F258" t="str">
            <v>BALANCE SHEET  (all entries +ve except RE and Eqty. adj)</v>
          </cell>
          <cell r="J258">
            <v>0</v>
          </cell>
          <cell r="Q258">
            <v>0</v>
          </cell>
        </row>
        <row r="259">
          <cell r="A259" t="str">
            <v>12833</v>
          </cell>
          <cell r="E259" t="str">
            <v>|-4142|12|NOTBLANK |22|&gt;= 0|</v>
          </cell>
          <cell r="F259" t="str">
            <v>Cash &amp; Marketable securities</v>
          </cell>
          <cell r="J259">
            <v>0</v>
          </cell>
          <cell r="K259">
            <v>0</v>
          </cell>
          <cell r="Q259">
            <v>0</v>
          </cell>
          <cell r="AL259">
            <v>9.6859999999999999</v>
          </cell>
        </row>
        <row r="260">
          <cell r="A260" t="str">
            <v>12834</v>
          </cell>
          <cell r="E260" t="str">
            <v>|-4142|22|&gt;= 0|</v>
          </cell>
          <cell r="F260" t="str">
            <v>accounts receivables</v>
          </cell>
          <cell r="J260">
            <v>0</v>
          </cell>
          <cell r="K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A261" t="str">
            <v>12835</v>
          </cell>
          <cell r="E261" t="str">
            <v>|-4142|22|&gt;= 0|</v>
          </cell>
          <cell r="F261" t="str">
            <v>Inventories</v>
          </cell>
          <cell r="J261">
            <v>0</v>
          </cell>
          <cell r="K261">
            <v>0</v>
          </cell>
          <cell r="Q261">
            <v>0</v>
          </cell>
        </row>
        <row r="262">
          <cell r="A262" t="str">
            <v>12836</v>
          </cell>
          <cell r="E262" t="str">
            <v>|-4142|22|&gt;= 0|</v>
          </cell>
          <cell r="F262" t="str">
            <v>Investments- current</v>
          </cell>
          <cell r="J262">
            <v>0</v>
          </cell>
          <cell r="K262">
            <v>0</v>
          </cell>
          <cell r="Q262">
            <v>0</v>
          </cell>
        </row>
        <row r="263">
          <cell r="A263" t="str">
            <v>12837</v>
          </cell>
          <cell r="E263" t="str">
            <v>|-4142|22|&gt;= 0|</v>
          </cell>
          <cell r="F263" t="str">
            <v>Other current assets</v>
          </cell>
          <cell r="J263">
            <v>0</v>
          </cell>
          <cell r="K263">
            <v>0</v>
          </cell>
          <cell r="Q263">
            <v>0</v>
          </cell>
          <cell r="AL263">
            <v>338.64300000000003</v>
          </cell>
        </row>
        <row r="264">
          <cell r="A264" t="str">
            <v>12838</v>
          </cell>
          <cell r="F264" t="str">
            <v>Total current assets</v>
          </cell>
          <cell r="J264">
            <v>0</v>
          </cell>
          <cell r="K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348.32900000000001</v>
          </cell>
          <cell r="AM264">
            <v>0</v>
          </cell>
        </row>
        <row r="265">
          <cell r="A265" t="str">
            <v>12839</v>
          </cell>
          <cell r="F265" t="str">
            <v>Gross Fixed Assets</v>
          </cell>
          <cell r="J265">
            <v>0</v>
          </cell>
          <cell r="K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A266" t="str">
            <v>12840</v>
          </cell>
          <cell r="E266" t="str">
            <v>|-4142|22|&gt;= 0|</v>
          </cell>
          <cell r="F266" t="str">
            <v>Net fixed assets</v>
          </cell>
          <cell r="J266">
            <v>0</v>
          </cell>
          <cell r="K266">
            <v>0</v>
          </cell>
          <cell r="Q266">
            <v>0</v>
          </cell>
        </row>
        <row r="267">
          <cell r="A267" t="str">
            <v>12841</v>
          </cell>
          <cell r="F267" t="str">
            <v>Goodwill- gross</v>
          </cell>
          <cell r="J267">
            <v>0</v>
          </cell>
          <cell r="K267">
            <v>0</v>
          </cell>
          <cell r="Q267">
            <v>0</v>
          </cell>
        </row>
        <row r="268">
          <cell r="A268" t="str">
            <v>12842</v>
          </cell>
          <cell r="E268" t="str">
            <v>|-4142|22|&gt;= 0|</v>
          </cell>
          <cell r="F268" t="str">
            <v>Goodwill- net</v>
          </cell>
          <cell r="J268">
            <v>0</v>
          </cell>
          <cell r="K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row>
        <row r="269">
          <cell r="A269" t="str">
            <v>12843</v>
          </cell>
          <cell r="F269" t="str">
            <v>Other intangibles - gross</v>
          </cell>
          <cell r="J269">
            <v>0</v>
          </cell>
          <cell r="K269">
            <v>0</v>
          </cell>
          <cell r="Q269">
            <v>0</v>
          </cell>
        </row>
        <row r="270">
          <cell r="A270" t="str">
            <v>12844</v>
          </cell>
          <cell r="E270" t="str">
            <v>|-4142|22|&gt;= 0|</v>
          </cell>
          <cell r="F270" t="str">
            <v>Other intangibles- net</v>
          </cell>
          <cell r="J270">
            <v>0</v>
          </cell>
          <cell r="K270">
            <v>0</v>
          </cell>
          <cell r="Q270">
            <v>0</v>
          </cell>
        </row>
        <row r="271">
          <cell r="A271" t="str">
            <v>12499</v>
          </cell>
          <cell r="E271" t="str">
            <v>|37|28|= TRUE|</v>
          </cell>
          <cell r="F271" t="str">
            <v>Total Intangibles- net</v>
          </cell>
          <cell r="J271">
            <v>0</v>
          </cell>
          <cell r="K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row>
        <row r="272">
          <cell r="A272" t="str">
            <v>12846</v>
          </cell>
          <cell r="B272">
            <v>0</v>
          </cell>
          <cell r="E272" t="str">
            <v>|-4142|22|&gt;= 0|</v>
          </cell>
          <cell r="F272" t="str">
            <v>Other non-current assets</v>
          </cell>
          <cell r="G272">
            <v>0</v>
          </cell>
          <cell r="J272">
            <v>0</v>
          </cell>
          <cell r="K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row>
        <row r="273">
          <cell r="A273" t="str">
            <v>12845</v>
          </cell>
          <cell r="E273" t="str">
            <v>|-4142|22|&gt;= 0|</v>
          </cell>
          <cell r="F273" t="str">
            <v>Long-term Investments</v>
          </cell>
          <cell r="J273">
            <v>0</v>
          </cell>
          <cell r="K273">
            <v>0</v>
          </cell>
          <cell r="Q273">
            <v>0</v>
          </cell>
        </row>
        <row r="274">
          <cell r="A274" t="str">
            <v>12847</v>
          </cell>
          <cell r="E274" t="str">
            <v>|-4142|12|NOTBLANK |22|&gt;= 0|</v>
          </cell>
          <cell r="F274" t="str">
            <v>Total non-current assets</v>
          </cell>
          <cell r="J274">
            <v>0</v>
          </cell>
          <cell r="K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row>
        <row r="275">
          <cell r="A275" t="str">
            <v>12482</v>
          </cell>
          <cell r="E275" t="str">
            <v>|37|22|&gt;= 0|</v>
          </cell>
          <cell r="F275" t="str">
            <v>Total Assets</v>
          </cell>
          <cell r="J275">
            <v>0</v>
          </cell>
          <cell r="K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348.32900000000001</v>
          </cell>
          <cell r="AM275">
            <v>0</v>
          </cell>
        </row>
        <row r="276">
          <cell r="A276" t="str">
            <v>12849</v>
          </cell>
          <cell r="E276" t="str">
            <v>|-4142|12|NOTBLANK |22|&gt;= 0|</v>
          </cell>
          <cell r="F276" t="str">
            <v>Short term debt</v>
          </cell>
          <cell r="J276">
            <v>0</v>
          </cell>
          <cell r="K276">
            <v>0</v>
          </cell>
          <cell r="Q276">
            <v>0</v>
          </cell>
        </row>
        <row r="277">
          <cell r="A277" t="str">
            <v>12946</v>
          </cell>
          <cell r="E277" t="str">
            <v>|-4142|22|&gt;= 0|</v>
          </cell>
          <cell r="F277" t="str">
            <v>Accounts payable</v>
          </cell>
          <cell r="J277">
            <v>0</v>
          </cell>
          <cell r="K277">
            <v>0</v>
          </cell>
          <cell r="Q277">
            <v>0</v>
          </cell>
        </row>
        <row r="278">
          <cell r="A278" t="str">
            <v>12850</v>
          </cell>
          <cell r="E278" t="str">
            <v>|-4142|20|&gt; 0|</v>
          </cell>
          <cell r="F278" t="str">
            <v>Other Curr. Liabilities</v>
          </cell>
          <cell r="J278">
            <v>0</v>
          </cell>
          <cell r="K278">
            <v>0</v>
          </cell>
          <cell r="Q278">
            <v>0</v>
          </cell>
          <cell r="AF278">
            <v>338.64300000000003</v>
          </cell>
        </row>
        <row r="279">
          <cell r="A279" t="str">
            <v>12851</v>
          </cell>
          <cell r="F279" t="str">
            <v>Total current liabilities</v>
          </cell>
          <cell r="J279">
            <v>0</v>
          </cell>
          <cell r="K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A280" t="str">
            <v>12852</v>
          </cell>
          <cell r="E280" t="str">
            <v>|37|22|&gt;= 0|</v>
          </cell>
          <cell r="F280" t="str">
            <v>Long term debt</v>
          </cell>
          <cell r="J280">
            <v>0</v>
          </cell>
          <cell r="K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A281" t="str">
            <v>12853</v>
          </cell>
          <cell r="E281" t="str">
            <v>|-4142|12|NOTBLANK |22|&gt;= 0|</v>
          </cell>
          <cell r="F281" t="str">
            <v>Long term borrowings</v>
          </cell>
          <cell r="J281">
            <v>0</v>
          </cell>
          <cell r="K281">
            <v>0</v>
          </cell>
          <cell r="Q281">
            <v>0</v>
          </cell>
        </row>
        <row r="282">
          <cell r="A282" t="str">
            <v>12854</v>
          </cell>
          <cell r="E282" t="str">
            <v>|-4142|22|&gt;= 0|</v>
          </cell>
          <cell r="F282" t="str">
            <v>Capitalized lease obligations</v>
          </cell>
          <cell r="J282">
            <v>0</v>
          </cell>
          <cell r="K282">
            <v>0</v>
          </cell>
          <cell r="Q282">
            <v>0</v>
          </cell>
        </row>
        <row r="283">
          <cell r="A283" t="str">
            <v>12855</v>
          </cell>
          <cell r="F283" t="str">
            <v>Liab. Reserves</v>
          </cell>
          <cell r="J283">
            <v>0</v>
          </cell>
          <cell r="K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A284" t="str">
            <v>12856</v>
          </cell>
          <cell r="E284" t="str">
            <v>|-4142|30|&gt;= 0|</v>
          </cell>
          <cell r="F284" t="str">
            <v>Provision for Pensions</v>
          </cell>
          <cell r="J284">
            <v>0</v>
          </cell>
          <cell r="K284">
            <v>0</v>
          </cell>
          <cell r="Q284">
            <v>0</v>
          </cell>
        </row>
        <row r="285">
          <cell r="A285" t="str">
            <v>12857</v>
          </cell>
          <cell r="E285" t="str">
            <v>|-4142|22|&gt;= 0|</v>
          </cell>
          <cell r="F285" t="str">
            <v>Post- retirement health</v>
          </cell>
          <cell r="J285">
            <v>0</v>
          </cell>
          <cell r="K285">
            <v>0</v>
          </cell>
          <cell r="Q285">
            <v>0</v>
          </cell>
        </row>
        <row r="286">
          <cell r="A286" t="str">
            <v>12858</v>
          </cell>
          <cell r="E286" t="str">
            <v>|-4142|22|&gt;= 0|</v>
          </cell>
          <cell r="F286" t="str">
            <v>Provision for Deferred Tax</v>
          </cell>
          <cell r="J286">
            <v>0</v>
          </cell>
          <cell r="K286">
            <v>0</v>
          </cell>
          <cell r="Q286">
            <v>0</v>
          </cell>
        </row>
        <row r="287">
          <cell r="A287" t="str">
            <v>12859</v>
          </cell>
          <cell r="E287" t="str">
            <v>|-4142|22|&gt;= 0|</v>
          </cell>
          <cell r="F287" t="str">
            <v>Other reserves</v>
          </cell>
          <cell r="J287">
            <v>0</v>
          </cell>
          <cell r="K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row>
        <row r="288">
          <cell r="A288" t="str">
            <v>12860</v>
          </cell>
          <cell r="E288" t="str">
            <v>|-4142|22|&gt;= 0|</v>
          </cell>
          <cell r="F288" t="str">
            <v>Other Non-Current Liabs</v>
          </cell>
          <cell r="J288">
            <v>0</v>
          </cell>
          <cell r="K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348.32900000000001</v>
          </cell>
          <cell r="AG288">
            <v>0</v>
          </cell>
          <cell r="AH288">
            <v>0</v>
          </cell>
          <cell r="AI288">
            <v>0</v>
          </cell>
          <cell r="AJ288">
            <v>0</v>
          </cell>
          <cell r="AK288">
            <v>0</v>
          </cell>
          <cell r="AL288">
            <v>0</v>
          </cell>
          <cell r="AM288">
            <v>0</v>
          </cell>
        </row>
        <row r="289">
          <cell r="A289" t="str">
            <v>12861</v>
          </cell>
          <cell r="E289" t="str">
            <v>|-4142|12|NOTBLANK |22|&gt;= 0|</v>
          </cell>
          <cell r="F289" t="str">
            <v>Non-current liabilities</v>
          </cell>
          <cell r="J289">
            <v>0</v>
          </cell>
          <cell r="K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row>
        <row r="290">
          <cell r="A290" t="str">
            <v>12862</v>
          </cell>
          <cell r="E290" t="str">
            <v>|37|22|&gt;= 0|</v>
          </cell>
          <cell r="F290" t="str">
            <v>Total Liabilities</v>
          </cell>
          <cell r="J290">
            <v>0</v>
          </cell>
          <cell r="K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row>
        <row r="291">
          <cell r="A291" t="str">
            <v>30381</v>
          </cell>
          <cell r="E291" t="str">
            <v>|-4142|20|&gt; 0|</v>
          </cell>
          <cell r="F291" t="str">
            <v>Contributed Capital</v>
          </cell>
          <cell r="J291">
            <v>0</v>
          </cell>
          <cell r="K291">
            <v>0</v>
          </cell>
          <cell r="Q291">
            <v>0</v>
          </cell>
        </row>
        <row r="292">
          <cell r="A292" t="str">
            <v>30382</v>
          </cell>
          <cell r="F292" t="str">
            <v>Retained earnings</v>
          </cell>
          <cell r="J292">
            <v>0</v>
          </cell>
          <cell r="K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row>
        <row r="293">
          <cell r="A293" t="str">
            <v>30441</v>
          </cell>
          <cell r="E293" t="str">
            <v>|37|22|&gt;= 0|</v>
          </cell>
          <cell r="F293" t="str">
            <v>Reserves and other adjustments</v>
          </cell>
          <cell r="J293">
            <v>0</v>
          </cell>
          <cell r="K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row>
        <row r="294">
          <cell r="A294" t="str">
            <v>12866</v>
          </cell>
          <cell r="E294" t="str">
            <v>|-4142|12|NOTBLANK |22|&gt;= 0|</v>
          </cell>
          <cell r="F294" t="str">
            <v>Ordinary Shareholder Equity</v>
          </cell>
          <cell r="J294">
            <v>0</v>
          </cell>
          <cell r="K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A295" t="str">
            <v>12864</v>
          </cell>
          <cell r="E295" t="str">
            <v>|-4142|22|&gt;= 0|</v>
          </cell>
          <cell r="F295" t="str">
            <v>Minority Equity</v>
          </cell>
          <cell r="J295">
            <v>0</v>
          </cell>
          <cell r="K295">
            <v>0</v>
          </cell>
          <cell r="Q29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Revsum"/>
      <sheetName val="Quarterly"/>
      <sheetName val="U.S. Generics"/>
      <sheetName val="bs-cf-wc"/>
      <sheetName val="epsrpt"/>
      <sheetName val="WACC"/>
      <sheetName val="DCF"/>
      <sheetName val="ROIC"/>
      <sheetName val="Warfarin"/>
      <sheetName val="Ovi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YEProd"/>
      <sheetName val="QtrlySum"/>
      <sheetName val="DCF"/>
      <sheetName val="WACC"/>
      <sheetName val="ROIC"/>
      <sheetName val="NSAIDs"/>
      <sheetName val="Valuation"/>
      <sheetName val="Prdts_Quart"/>
      <sheetName val="Segments"/>
      <sheetName val="AHP"/>
      <sheetName val="ACY"/>
      <sheetName val="Balance"/>
      <sheetName val="AHP-G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US_CoreIndustrials"/>
      <sheetName val="Model for comment"/>
      <sheetName val="Production Breakdown"/>
      <sheetName val="Model"/>
      <sheetName val="Balance Sheet (2)"/>
      <sheetName val="Cash Flows (2)"/>
      <sheetName val="Balance Sheet"/>
      <sheetName val="CMP"/>
      <sheetName val="Value"/>
      <sheetName val="Production by Field"/>
      <sheetName val="well stats"/>
      <sheetName val="Questions &amp; Notes"/>
      <sheetName val="Guidance Tracker"/>
      <sheetName val="iQ_CoreIndustrials"/>
      <sheetName val="Drivers"/>
      <sheetName val="CityCenter"/>
      <sheetName val="MGM Grand Macau"/>
      <sheetName val="Kerzner Istithmar"/>
      <sheetName val="QC"/>
      <sheetName val="Income Statement"/>
      <sheetName val="Cash Flow"/>
      <sheetName val="Debt and Interest"/>
      <sheetName val="Stockholder's Equity"/>
      <sheetName val="D&amp;A"/>
      <sheetName val="Revenue &amp; Expense analysis"/>
      <sheetName val="Earnings Decomposition"/>
      <sheetName val="Multiples"/>
      <sheetName val="EV to EBITDA"/>
      <sheetName val="Valuation"/>
      <sheetName val="DCF"/>
      <sheetName val="LBO Analysis"/>
      <sheetName val="Returns Analysis"/>
      <sheetName val="Revenue &amp; EBITDA Sources"/>
      <sheetName val="Quarterly analysis"/>
      <sheetName val="RevPAR tracker"/>
      <sheetName val="Sensitivity Analysis"/>
      <sheetName val="Land portfolio"/>
      <sheetName val="Development Schedule"/>
      <sheetName val="Signature Tower Gains"/>
      <sheetName val="Capex and Asset Sales"/>
      <sheetName val="MGM full LBO model"/>
    </sheetNames>
    <sheetDataSet>
      <sheetData sheetId="0" refreshError="1"/>
      <sheetData sheetId="1" refreshError="1"/>
      <sheetData sheetId="2" refreshError="1"/>
      <sheetData sheetId="3" refreshError="1"/>
      <sheetData sheetId="4" refreshError="1">
        <row r="4">
          <cell r="P4" t="str">
            <v>1997</v>
          </cell>
          <cell r="Q4" t="str">
            <v>1q</v>
          </cell>
          <cell r="R4" t="str">
            <v>2q</v>
          </cell>
          <cell r="S4" t="str">
            <v>3q</v>
          </cell>
          <cell r="T4" t="str">
            <v>4q</v>
          </cell>
          <cell r="U4" t="str">
            <v>1998</v>
          </cell>
          <cell r="V4" t="str">
            <v>1q</v>
          </cell>
          <cell r="W4" t="str">
            <v>2q</v>
          </cell>
          <cell r="X4" t="str">
            <v>3q</v>
          </cell>
          <cell r="Y4" t="str">
            <v>4q</v>
          </cell>
          <cell r="Z4">
            <v>1999</v>
          </cell>
          <cell r="AA4" t="str">
            <v>1q</v>
          </cell>
          <cell r="AB4" t="str">
            <v>2q</v>
          </cell>
          <cell r="AC4" t="str">
            <v>3q</v>
          </cell>
          <cell r="AD4" t="str">
            <v>4q</v>
          </cell>
          <cell r="AE4">
            <v>2000</v>
          </cell>
        </row>
        <row r="5">
          <cell r="P5">
            <v>20.578333333333333</v>
          </cell>
          <cell r="Q5">
            <v>15.94</v>
          </cell>
          <cell r="R5">
            <v>14.65</v>
          </cell>
          <cell r="S5">
            <v>14.05</v>
          </cell>
          <cell r="T5">
            <v>12.87</v>
          </cell>
          <cell r="U5">
            <v>14.3775</v>
          </cell>
          <cell r="V5">
            <v>12.89</v>
          </cell>
          <cell r="W5">
            <v>17.55</v>
          </cell>
          <cell r="X5">
            <v>21.53</v>
          </cell>
          <cell r="Y5">
            <v>23.5</v>
          </cell>
          <cell r="Z5">
            <v>18.8675</v>
          </cell>
          <cell r="AA5">
            <v>28.77</v>
          </cell>
          <cell r="AB5">
            <v>27.75</v>
          </cell>
          <cell r="AC5">
            <v>31.44</v>
          </cell>
          <cell r="AD5">
            <v>32.28</v>
          </cell>
          <cell r="AE5">
            <v>30.06</v>
          </cell>
        </row>
        <row r="6">
          <cell r="P6">
            <v>2.3775000000000004</v>
          </cell>
          <cell r="Q6">
            <v>2.0499999999999998</v>
          </cell>
          <cell r="R6">
            <v>2.12</v>
          </cell>
          <cell r="S6">
            <v>1.9</v>
          </cell>
          <cell r="T6">
            <v>1.82</v>
          </cell>
          <cell r="U6">
            <v>1.9725000000000001</v>
          </cell>
          <cell r="V6">
            <v>1.68</v>
          </cell>
          <cell r="W6">
            <v>2.08</v>
          </cell>
          <cell r="X6">
            <v>2.41</v>
          </cell>
          <cell r="Y6">
            <v>2.4</v>
          </cell>
          <cell r="Z6">
            <v>2.1425000000000001</v>
          </cell>
          <cell r="AA6">
            <v>2.4500000000000002</v>
          </cell>
          <cell r="AB6">
            <v>3.41</v>
          </cell>
          <cell r="AC6">
            <v>4.28</v>
          </cell>
          <cell r="AD6">
            <v>6.07</v>
          </cell>
          <cell r="AE6">
            <v>4.0525000000000002</v>
          </cell>
        </row>
        <row r="10">
          <cell r="P10">
            <v>4.3424657534246567</v>
          </cell>
          <cell r="Q10">
            <v>7.0888888888888895</v>
          </cell>
          <cell r="R10">
            <v>7.4065934065934069</v>
          </cell>
          <cell r="S10">
            <v>7.6086956521739122</v>
          </cell>
          <cell r="T10">
            <v>9.3913043478260878</v>
          </cell>
          <cell r="U10">
            <v>7.8794520547945197</v>
          </cell>
          <cell r="V10">
            <v>9.2222222222222214</v>
          </cell>
          <cell r="W10">
            <v>9.6</v>
          </cell>
          <cell r="X10">
            <v>10.054347826086957</v>
          </cell>
          <cell r="Y10">
            <v>9.1</v>
          </cell>
          <cell r="Z10">
            <v>9.4953424657534242</v>
          </cell>
          <cell r="AA10">
            <v>8.3000000000000007</v>
          </cell>
          <cell r="AB10">
            <v>9.6999999999999993</v>
          </cell>
          <cell r="AC10">
            <v>9.3000000000000007</v>
          </cell>
          <cell r="AD10">
            <v>9.1</v>
          </cell>
          <cell r="AE10">
            <v>9.1005464480874316</v>
          </cell>
        </row>
        <row r="11">
          <cell r="P11">
            <v>38.857534246575341</v>
          </cell>
          <cell r="Q11">
            <v>81.222222222222229</v>
          </cell>
          <cell r="R11">
            <v>86.714285714285722</v>
          </cell>
          <cell r="S11">
            <v>86.152173913043484</v>
          </cell>
          <cell r="T11">
            <v>110.3695652173913</v>
          </cell>
          <cell r="U11">
            <v>91.180821917808245</v>
          </cell>
          <cell r="V11">
            <v>110.19999999999999</v>
          </cell>
          <cell r="W11">
            <v>105.2</v>
          </cell>
          <cell r="X11">
            <v>104.75000000000001</v>
          </cell>
          <cell r="Y11">
            <v>97.7</v>
          </cell>
          <cell r="Z11">
            <v>104.42904109589041</v>
          </cell>
          <cell r="AA11">
            <v>120.1</v>
          </cell>
          <cell r="AB11">
            <v>122.6</v>
          </cell>
          <cell r="AC11">
            <v>133.4</v>
          </cell>
          <cell r="AD11">
            <v>131.80000000000001</v>
          </cell>
          <cell r="AE11">
            <v>127.00573770491805</v>
          </cell>
        </row>
        <row r="12">
          <cell r="P12">
            <v>64.912328767123284</v>
          </cell>
          <cell r="Q12">
            <v>123.75555555555556</v>
          </cell>
          <cell r="R12">
            <v>131.15384615384616</v>
          </cell>
          <cell r="S12">
            <v>131.80434782608694</v>
          </cell>
          <cell r="T12">
            <v>166.71739130434781</v>
          </cell>
          <cell r="U12">
            <v>138.45753424657536</v>
          </cell>
          <cell r="V12">
            <v>165.5333333333333</v>
          </cell>
          <cell r="W12">
            <v>162.80000000000001</v>
          </cell>
          <cell r="X12">
            <v>165.07608695652175</v>
          </cell>
          <cell r="Y12">
            <v>152.30000000000001</v>
          </cell>
          <cell r="Z12">
            <v>161.40109589041094</v>
          </cell>
          <cell r="AA12">
            <v>169.9</v>
          </cell>
          <cell r="AB12">
            <v>180.79999999999998</v>
          </cell>
          <cell r="AC12">
            <v>189.20000000000002</v>
          </cell>
          <cell r="AD12">
            <v>186.4</v>
          </cell>
          <cell r="AE12">
            <v>181.60901639344263</v>
          </cell>
        </row>
        <row r="13">
          <cell r="P13">
            <v>0.59861562486810449</v>
          </cell>
          <cell r="Q13">
            <v>0.65631172562398998</v>
          </cell>
          <cell r="R13">
            <v>0.66116464180980317</v>
          </cell>
          <cell r="S13">
            <v>0.65363681345868396</v>
          </cell>
          <cell r="T13">
            <v>0.66201590820185163</v>
          </cell>
          <cell r="U13">
            <v>0.65854720303935743</v>
          </cell>
          <cell r="V13">
            <v>0.66572694321385428</v>
          </cell>
          <cell r="W13">
            <v>0.64619164619164615</v>
          </cell>
          <cell r="X13">
            <v>0.6345558701521038</v>
          </cell>
          <cell r="Y13">
            <v>0.64149704530531837</v>
          </cell>
          <cell r="Z13">
            <v>0.6470156879653175</v>
          </cell>
          <cell r="AA13">
            <v>0.70688640376692169</v>
          </cell>
          <cell r="AB13">
            <v>0.67809734513274345</v>
          </cell>
          <cell r="AC13">
            <v>0.70507399577167018</v>
          </cell>
          <cell r="AD13">
            <v>0.7070815450643777</v>
          </cell>
          <cell r="AE13">
            <v>0.69933608048275209</v>
          </cell>
        </row>
        <row r="16">
          <cell r="P16">
            <v>1.585</v>
          </cell>
          <cell r="Q16">
            <v>0.63800000000000001</v>
          </cell>
          <cell r="R16">
            <v>0.67400000000000004</v>
          </cell>
          <cell r="S16">
            <v>0.7</v>
          </cell>
          <cell r="T16">
            <v>0.86399999999999999</v>
          </cell>
          <cell r="U16">
            <v>2.8759999999999999</v>
          </cell>
          <cell r="V16">
            <v>0.83</v>
          </cell>
          <cell r="W16">
            <v>0.87360000000000004</v>
          </cell>
          <cell r="X16">
            <v>0.92500000000000004</v>
          </cell>
          <cell r="Y16">
            <v>0.83719999999999994</v>
          </cell>
          <cell r="Z16">
            <v>3.4657999999999998</v>
          </cell>
          <cell r="AA16">
            <v>0.75530000000000008</v>
          </cell>
          <cell r="AB16">
            <v>0.88269999999999993</v>
          </cell>
          <cell r="AC16">
            <v>0.85560000000000003</v>
          </cell>
          <cell r="AD16">
            <v>0.83719999999999994</v>
          </cell>
          <cell r="AE16">
            <v>3.3308</v>
          </cell>
        </row>
        <row r="17">
          <cell r="P17">
            <v>14.183</v>
          </cell>
          <cell r="Q17">
            <v>7.31</v>
          </cell>
          <cell r="R17">
            <v>7.891</v>
          </cell>
          <cell r="S17">
            <v>7.9260000000000002</v>
          </cell>
          <cell r="T17">
            <v>10.154</v>
          </cell>
          <cell r="U17">
            <v>33.281000000000006</v>
          </cell>
          <cell r="V17">
            <v>9.9179999999999993</v>
          </cell>
          <cell r="W17">
            <v>9.5731999999999999</v>
          </cell>
          <cell r="X17">
            <v>9.6370000000000005</v>
          </cell>
          <cell r="Y17">
            <v>8.9884000000000004</v>
          </cell>
          <cell r="Z17">
            <v>38.116599999999998</v>
          </cell>
          <cell r="AA17">
            <v>10.9291</v>
          </cell>
          <cell r="AB17">
            <v>11.156600000000001</v>
          </cell>
          <cell r="AC17">
            <v>12.272800000000002</v>
          </cell>
          <cell r="AD17">
            <v>12.1256</v>
          </cell>
          <cell r="AE17">
            <v>46.484100000000005</v>
          </cell>
        </row>
        <row r="18">
          <cell r="P18">
            <v>23.692999999999998</v>
          </cell>
          <cell r="Q18">
            <v>11.138</v>
          </cell>
          <cell r="R18">
            <v>11.935</v>
          </cell>
          <cell r="S18">
            <v>12.125999999999999</v>
          </cell>
          <cell r="T18">
            <v>15.338000000000001</v>
          </cell>
          <cell r="U18">
            <v>50.537000000000006</v>
          </cell>
          <cell r="V18">
            <v>14.898</v>
          </cell>
          <cell r="W18">
            <v>14.8148</v>
          </cell>
          <cell r="X18">
            <v>15.187000000000001</v>
          </cell>
          <cell r="Y18">
            <v>14.0116</v>
          </cell>
          <cell r="Z18">
            <v>58.9114</v>
          </cell>
          <cell r="AA18">
            <v>15.460900000000001</v>
          </cell>
          <cell r="AB18">
            <v>16.4528</v>
          </cell>
          <cell r="AC18">
            <v>17.406400000000001</v>
          </cell>
          <cell r="AD18">
            <v>17.148800000000001</v>
          </cell>
          <cell r="AE18">
            <v>66.468900000000005</v>
          </cell>
        </row>
        <row r="21">
          <cell r="P21">
            <v>23.692999999999998</v>
          </cell>
          <cell r="Q21">
            <v>11.138</v>
          </cell>
          <cell r="R21">
            <v>11.935</v>
          </cell>
          <cell r="S21">
            <v>12.125999999999999</v>
          </cell>
          <cell r="T21">
            <v>15.338000000000001</v>
          </cell>
          <cell r="U21">
            <v>50.537000000000006</v>
          </cell>
          <cell r="V21">
            <v>14.898</v>
          </cell>
          <cell r="W21">
            <v>14.8148</v>
          </cell>
          <cell r="X21">
            <v>15.187000000000001</v>
          </cell>
          <cell r="Y21">
            <v>14.0116</v>
          </cell>
          <cell r="Z21">
            <v>58.9114</v>
          </cell>
          <cell r="AA21">
            <v>15.460900000000001</v>
          </cell>
          <cell r="AB21">
            <v>16.4528</v>
          </cell>
          <cell r="AC21">
            <v>17.406400000000001</v>
          </cell>
          <cell r="AD21">
            <v>17.148800000000001</v>
          </cell>
          <cell r="AE21">
            <v>66.468900000000005</v>
          </cell>
        </row>
        <row r="22">
          <cell r="P22">
            <v>3.9488333333333334</v>
          </cell>
          <cell r="Q22">
            <v>1.8563333333333332</v>
          </cell>
          <cell r="R22">
            <v>1.9891666666666667</v>
          </cell>
          <cell r="S22">
            <v>2.0209999999999999</v>
          </cell>
          <cell r="T22">
            <v>2.5563333333333333</v>
          </cell>
          <cell r="U22">
            <v>8.4228333333333349</v>
          </cell>
          <cell r="V22">
            <v>2.4829999999999997</v>
          </cell>
          <cell r="W22">
            <v>2.4691333333333332</v>
          </cell>
          <cell r="X22">
            <v>2.5311666666666666</v>
          </cell>
          <cell r="Y22">
            <v>2.3352666666666666</v>
          </cell>
          <cell r="Z22">
            <v>9.8185666666666656</v>
          </cell>
          <cell r="AA22">
            <v>2.5768166666666668</v>
          </cell>
          <cell r="AB22">
            <v>2.7421333333333333</v>
          </cell>
          <cell r="AC22">
            <v>2.9010666666666669</v>
          </cell>
          <cell r="AD22">
            <v>2.858133333333333</v>
          </cell>
          <cell r="AE22">
            <v>11.078150000000001</v>
          </cell>
        </row>
        <row r="25">
          <cell r="P25">
            <v>19.61</v>
          </cell>
          <cell r="Q25">
            <v>16.12</v>
          </cell>
          <cell r="R25">
            <v>13.55</v>
          </cell>
          <cell r="S25">
            <v>12.84</v>
          </cell>
          <cell r="T25">
            <v>11.72</v>
          </cell>
          <cell r="U25">
            <v>13.397545201668985</v>
          </cell>
          <cell r="V25">
            <v>11.81</v>
          </cell>
          <cell r="W25">
            <v>15.47</v>
          </cell>
          <cell r="X25">
            <v>17.34</v>
          </cell>
          <cell r="Y25">
            <v>20.95</v>
          </cell>
          <cell r="Z25">
            <v>16.416334468232442</v>
          </cell>
          <cell r="AA25">
            <v>24.09</v>
          </cell>
          <cell r="AB25">
            <v>23.5</v>
          </cell>
          <cell r="AC25">
            <v>27.7</v>
          </cell>
          <cell r="AD25">
            <v>27.94</v>
          </cell>
          <cell r="AE25">
            <v>25.82866428485649</v>
          </cell>
        </row>
        <row r="26">
          <cell r="P26">
            <v>2.68</v>
          </cell>
          <cell r="Q26">
            <v>2.472</v>
          </cell>
          <cell r="R26">
            <v>2.37</v>
          </cell>
          <cell r="S26">
            <v>2.2400000000000002</v>
          </cell>
          <cell r="T26">
            <v>2.12</v>
          </cell>
          <cell r="U26">
            <v>2.2851690153541058</v>
          </cell>
          <cell r="V26">
            <v>2.09</v>
          </cell>
          <cell r="W26">
            <v>2.33</v>
          </cell>
          <cell r="X26">
            <v>2.54</v>
          </cell>
          <cell r="Y26">
            <v>2.504</v>
          </cell>
          <cell r="Z26">
            <v>2.3616773164448039</v>
          </cell>
          <cell r="AA26">
            <v>2.6549999999999998</v>
          </cell>
          <cell r="AB26">
            <v>3.41</v>
          </cell>
          <cell r="AC26">
            <v>3.92</v>
          </cell>
          <cell r="AD26">
            <v>4.55</v>
          </cell>
          <cell r="AE26">
            <v>3.6645137261988503</v>
          </cell>
        </row>
        <row r="29">
          <cell r="P29">
            <v>85.155753424657519</v>
          </cell>
          <cell r="Q29">
            <v>114.2728888888889</v>
          </cell>
          <cell r="R29">
            <v>100.35934065934067</v>
          </cell>
          <cell r="S29">
            <v>97.695652173913032</v>
          </cell>
          <cell r="T29">
            <v>110.06608695652176</v>
          </cell>
          <cell r="U29">
            <v>105.56531506849313</v>
          </cell>
          <cell r="V29">
            <v>108.91444444444444</v>
          </cell>
          <cell r="W29">
            <v>148.512</v>
          </cell>
          <cell r="X29">
            <v>174.34239130434784</v>
          </cell>
          <cell r="Y29">
            <v>190.64499999999998</v>
          </cell>
          <cell r="Z29">
            <v>155.87871780821916</v>
          </cell>
          <cell r="AA29">
            <v>199.947</v>
          </cell>
          <cell r="AB29">
            <v>227.95</v>
          </cell>
          <cell r="AC29">
            <v>257.61</v>
          </cell>
          <cell r="AD29">
            <v>254.25399999999999</v>
          </cell>
          <cell r="AE29">
            <v>235.05495901639344</v>
          </cell>
        </row>
        <row r="30">
          <cell r="P30">
            <v>104.13819178082191</v>
          </cell>
          <cell r="Q30">
            <v>200.78133333333335</v>
          </cell>
          <cell r="R30">
            <v>205.51285714285717</v>
          </cell>
          <cell r="S30">
            <v>192.98086956521743</v>
          </cell>
          <cell r="T30">
            <v>233.98347826086956</v>
          </cell>
          <cell r="U30">
            <v>208.36358904109593</v>
          </cell>
          <cell r="V30">
            <v>230.31799999999996</v>
          </cell>
          <cell r="W30">
            <v>245.11600000000001</v>
          </cell>
          <cell r="X30">
            <v>266.06500000000005</v>
          </cell>
          <cell r="Y30">
            <v>244.64080000000001</v>
          </cell>
          <cell r="Z30">
            <v>246.62769753424661</v>
          </cell>
          <cell r="AA30">
            <v>318.86549999999994</v>
          </cell>
          <cell r="AB30">
            <v>418.06599999999997</v>
          </cell>
          <cell r="AC30">
            <v>522.928</v>
          </cell>
          <cell r="AD30">
            <v>599.69000000000005</v>
          </cell>
          <cell r="AE30">
            <v>465.41426912568306</v>
          </cell>
        </row>
        <row r="33">
          <cell r="P33">
            <v>31.081849999999999</v>
          </cell>
          <cell r="Q33">
            <v>10.284560000000001</v>
          </cell>
          <cell r="R33">
            <v>9.1327000000000016</v>
          </cell>
          <cell r="S33">
            <v>8.9879999999999995</v>
          </cell>
          <cell r="T33">
            <v>10.12608</v>
          </cell>
          <cell r="U33">
            <v>38.53134</v>
          </cell>
          <cell r="V33">
            <v>9.8023000000000007</v>
          </cell>
          <cell r="W33">
            <v>13.514592</v>
          </cell>
          <cell r="X33">
            <v>16.0395</v>
          </cell>
          <cell r="Y33">
            <v>17.539339999999999</v>
          </cell>
          <cell r="Z33">
            <v>56.895731999999995</v>
          </cell>
          <cell r="AA33">
            <v>18.195177000000001</v>
          </cell>
          <cell r="AB33">
            <v>20.743449999999999</v>
          </cell>
          <cell r="AC33">
            <v>23.700120000000002</v>
          </cell>
          <cell r="AD33">
            <v>23.391368</v>
          </cell>
          <cell r="AE33">
            <v>86.030114999999995</v>
          </cell>
        </row>
        <row r="34">
          <cell r="P34">
            <v>38.010440000000003</v>
          </cell>
          <cell r="Q34">
            <v>18.070319999999999</v>
          </cell>
          <cell r="R34">
            <v>18.70167</v>
          </cell>
          <cell r="S34">
            <v>17.754240000000003</v>
          </cell>
          <cell r="T34">
            <v>21.526479999999999</v>
          </cell>
          <cell r="U34">
            <v>76.052710000000005</v>
          </cell>
          <cell r="V34">
            <v>20.728619999999996</v>
          </cell>
          <cell r="W34">
            <v>22.305555999999999</v>
          </cell>
          <cell r="X34">
            <v>24.477980000000002</v>
          </cell>
          <cell r="Y34">
            <v>22.506953600000003</v>
          </cell>
          <cell r="Z34">
            <v>90.019109600000007</v>
          </cell>
          <cell r="AA34">
            <v>29.016760499999997</v>
          </cell>
          <cell r="AB34">
            <v>38.044006000000003</v>
          </cell>
          <cell r="AC34">
            <v>48.109376000000005</v>
          </cell>
          <cell r="AD34">
            <v>55.171480000000003</v>
          </cell>
          <cell r="AE34">
            <v>170.3416225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iQ_Measure_Validations_Errors"/>
      <sheetName val="iQ_US_CoreIndustrials"/>
      <sheetName val="GeographicalBreakdown"/>
      <sheetName val="Sheet1"/>
      <sheetName val="Model for comment"/>
      <sheetName val="Model"/>
      <sheetName val="Balance Sheet (2)"/>
      <sheetName val="Cash Flows (2)"/>
      <sheetName val="Balance Sheet"/>
      <sheetName val="well stats"/>
      <sheetName val="2000notes"/>
      <sheetName val="Debt"/>
      <sheetName val="COGdom"/>
      <sheetName val="Module1"/>
      <sheetName val="iQ_CoreIndustrials"/>
      <sheetName val="GAAP &amp; Comments"/>
      <sheetName val="Variance"/>
      <sheetName val="Hedges"/>
    </sheetNames>
    <sheetDataSet>
      <sheetData sheetId="0" refreshError="1"/>
      <sheetData sheetId="1" refreshError="1"/>
      <sheetData sheetId="2" refreshError="1"/>
      <sheetData sheetId="3" refreshError="1"/>
      <sheetData sheetId="4" refreshError="1"/>
      <sheetData sheetId="5" refreshError="1"/>
      <sheetData sheetId="6" refreshError="1">
        <row r="2">
          <cell r="A2" t="str">
            <v>COMMODITY ASSUMPTIONS</v>
          </cell>
          <cell r="B2">
            <v>1988</v>
          </cell>
          <cell r="C2">
            <v>1989</v>
          </cell>
          <cell r="D2">
            <v>1990</v>
          </cell>
          <cell r="E2" t="str">
            <v>1Q 91</v>
          </cell>
          <cell r="F2" t="str">
            <v>2Q 91</v>
          </cell>
          <cell r="G2" t="str">
            <v>3Q 91</v>
          </cell>
          <cell r="H2" t="str">
            <v>4Q 91</v>
          </cell>
          <cell r="I2">
            <v>1991</v>
          </cell>
          <cell r="J2" t="str">
            <v>1Q92</v>
          </cell>
          <cell r="K2" t="str">
            <v>2Q92</v>
          </cell>
          <cell r="L2" t="str">
            <v>3Q92</v>
          </cell>
          <cell r="M2" t="str">
            <v>4Q92</v>
          </cell>
          <cell r="N2">
            <v>1992</v>
          </cell>
          <cell r="O2" t="str">
            <v>1Q93</v>
          </cell>
          <cell r="P2" t="str">
            <v>2Q93</v>
          </cell>
          <cell r="Q2" t="str">
            <v>3Q93</v>
          </cell>
          <cell r="R2" t="str">
            <v>4Q93</v>
          </cell>
          <cell r="S2">
            <v>1993</v>
          </cell>
          <cell r="T2" t="str">
            <v>1Q 94</v>
          </cell>
          <cell r="U2" t="str">
            <v>2Q 94</v>
          </cell>
          <cell r="V2" t="str">
            <v>3Q 94</v>
          </cell>
          <cell r="W2" t="str">
            <v>4Q 94</v>
          </cell>
          <cell r="X2">
            <v>1994</v>
          </cell>
          <cell r="Y2" t="str">
            <v>1Q 95</v>
          </cell>
          <cell r="Z2" t="str">
            <v>2Q 95</v>
          </cell>
          <cell r="AA2" t="str">
            <v>3Q 95</v>
          </cell>
          <cell r="AB2" t="str">
            <v>4Q 95</v>
          </cell>
          <cell r="AC2">
            <v>1995</v>
          </cell>
          <cell r="AD2" t="str">
            <v>1Q 96</v>
          </cell>
          <cell r="AE2" t="str">
            <v>2Q 96</v>
          </cell>
          <cell r="AF2" t="str">
            <v>3Q 96</v>
          </cell>
          <cell r="AG2" t="str">
            <v>4Q 96</v>
          </cell>
          <cell r="AH2" t="str">
            <v>1996</v>
          </cell>
          <cell r="AI2" t="str">
            <v>1Q 97</v>
          </cell>
          <cell r="AJ2" t="str">
            <v>2Q 97</v>
          </cell>
          <cell r="AK2" t="str">
            <v>3Q 97</v>
          </cell>
          <cell r="AL2" t="str">
            <v>4Q 97</v>
          </cell>
          <cell r="AM2" t="str">
            <v>1997</v>
          </cell>
          <cell r="AN2" t="str">
            <v>1Q 98</v>
          </cell>
          <cell r="AO2" t="str">
            <v>2Q 98</v>
          </cell>
          <cell r="AP2" t="str">
            <v>3Q 98</v>
          </cell>
          <cell r="AQ2" t="str">
            <v>4Q 98</v>
          </cell>
          <cell r="AR2" t="str">
            <v>1998</v>
          </cell>
          <cell r="AS2" t="str">
            <v>1Q 99</v>
          </cell>
          <cell r="AT2" t="str">
            <v>2Q 99</v>
          </cell>
          <cell r="AU2" t="str">
            <v>3Q 99</v>
          </cell>
          <cell r="AV2" t="str">
            <v>4Q 99</v>
          </cell>
          <cell r="AW2" t="str">
            <v>1999</v>
          </cell>
          <cell r="AX2" t="str">
            <v>1Q 00</v>
          </cell>
          <cell r="AY2" t="str">
            <v>2Q 00</v>
          </cell>
          <cell r="AZ2" t="str">
            <v>3Q 00</v>
          </cell>
          <cell r="BA2" t="str">
            <v>4Q 00</v>
          </cell>
          <cell r="BB2">
            <v>2000</v>
          </cell>
        </row>
        <row r="3">
          <cell r="A3" t="str">
            <v>WTI Spot</v>
          </cell>
          <cell r="B3">
            <v>15.98</v>
          </cell>
          <cell r="C3">
            <v>19.78</v>
          </cell>
          <cell r="D3">
            <v>24.47</v>
          </cell>
          <cell r="E3">
            <v>22.193333333333332</v>
          </cell>
          <cell r="F3">
            <v>20.74</v>
          </cell>
          <cell r="G3">
            <v>21.72666666666667</v>
          </cell>
          <cell r="H3">
            <v>21.75333333333333</v>
          </cell>
          <cell r="I3">
            <v>21.6</v>
          </cell>
          <cell r="J3">
            <v>18.89</v>
          </cell>
          <cell r="K3">
            <v>21.14</v>
          </cell>
          <cell r="L3">
            <v>21.636666666666667</v>
          </cell>
          <cell r="M3">
            <v>20.476666666666667</v>
          </cell>
          <cell r="N3">
            <v>20.54</v>
          </cell>
          <cell r="O3">
            <v>19.866666666666667</v>
          </cell>
          <cell r="P3">
            <v>19.786666666666665</v>
          </cell>
          <cell r="Q3">
            <v>17.796666666666667</v>
          </cell>
          <cell r="R3">
            <v>15.53</v>
          </cell>
          <cell r="S3">
            <v>18.489999999999998</v>
          </cell>
          <cell r="T3">
            <v>14.72</v>
          </cell>
          <cell r="U3">
            <v>17.606666666666669</v>
          </cell>
          <cell r="V3">
            <v>18.510000000000002</v>
          </cell>
          <cell r="W3">
            <v>17.233333333333334</v>
          </cell>
          <cell r="X3">
            <v>16.73</v>
          </cell>
          <cell r="Y3">
            <v>18.27</v>
          </cell>
          <cell r="Z3">
            <v>19.34</v>
          </cell>
          <cell r="AA3">
            <v>17.833333333333332</v>
          </cell>
          <cell r="AB3">
            <v>18.09</v>
          </cell>
          <cell r="AC3">
            <v>18.399999999999999</v>
          </cell>
          <cell r="AD3">
            <v>19.690000000000001</v>
          </cell>
          <cell r="AE3">
            <v>21.793333333333333</v>
          </cell>
          <cell r="AF3">
            <v>22.21</v>
          </cell>
          <cell r="AG3">
            <v>22.3</v>
          </cell>
          <cell r="AH3">
            <v>21.498333333333335</v>
          </cell>
          <cell r="AI3">
            <v>22.81</v>
          </cell>
          <cell r="AJ3">
            <v>19.86</v>
          </cell>
          <cell r="AK3">
            <v>19.72</v>
          </cell>
          <cell r="AL3">
            <v>21.42</v>
          </cell>
          <cell r="AM3">
            <v>20.952500000000001</v>
          </cell>
          <cell r="AN3">
            <v>15.94</v>
          </cell>
          <cell r="AO3">
            <v>14.65</v>
          </cell>
          <cell r="AP3">
            <v>14.05</v>
          </cell>
          <cell r="AQ3">
            <v>12.87</v>
          </cell>
          <cell r="AR3">
            <v>14.3775</v>
          </cell>
          <cell r="AS3">
            <v>12.89</v>
          </cell>
          <cell r="AT3">
            <v>17.55</v>
          </cell>
          <cell r="AU3">
            <v>21.53</v>
          </cell>
          <cell r="AV3">
            <v>24.34</v>
          </cell>
          <cell r="AW3">
            <v>19.077500000000001</v>
          </cell>
          <cell r="AX3">
            <v>28.77</v>
          </cell>
          <cell r="AY3">
            <v>28.69</v>
          </cell>
          <cell r="AZ3">
            <v>31.44</v>
          </cell>
          <cell r="BA3">
            <v>32.659999999999997</v>
          </cell>
          <cell r="BB3">
            <v>30.39</v>
          </cell>
        </row>
        <row r="4">
          <cell r="A4" t="str">
            <v>Natural Gas Composite</v>
          </cell>
          <cell r="B4">
            <v>1.59</v>
          </cell>
          <cell r="C4">
            <v>1.58</v>
          </cell>
          <cell r="D4">
            <v>1.59</v>
          </cell>
          <cell r="E4">
            <v>1.4075</v>
          </cell>
          <cell r="F4">
            <v>1.1936666666666664</v>
          </cell>
          <cell r="G4">
            <v>1.2030000000000001</v>
          </cell>
          <cell r="H4">
            <v>1.6641666666666666</v>
          </cell>
          <cell r="I4">
            <v>1.37</v>
          </cell>
          <cell r="J4">
            <v>1.1633333333333333</v>
          </cell>
          <cell r="K4">
            <v>1.4035</v>
          </cell>
          <cell r="L4">
            <v>1.7749999999999999</v>
          </cell>
          <cell r="M4">
            <v>2.1266666666666665</v>
          </cell>
          <cell r="N4">
            <v>1.62</v>
          </cell>
          <cell r="O4">
            <v>1.8166666666666664</v>
          </cell>
          <cell r="P4">
            <v>2.0233333333333334</v>
          </cell>
          <cell r="Q4">
            <v>2.0366666666666666</v>
          </cell>
          <cell r="R4">
            <v>1.99</v>
          </cell>
          <cell r="S4">
            <v>1.96</v>
          </cell>
          <cell r="T4">
            <v>2.16</v>
          </cell>
          <cell r="U4">
            <v>1.7433333333333334</v>
          </cell>
          <cell r="V4">
            <v>1.53</v>
          </cell>
          <cell r="W4">
            <v>1.45</v>
          </cell>
          <cell r="X4">
            <v>1.73</v>
          </cell>
          <cell r="Y4">
            <v>1.32</v>
          </cell>
          <cell r="Z4">
            <v>1.41</v>
          </cell>
          <cell r="AA4">
            <v>1.36</v>
          </cell>
          <cell r="AB4">
            <v>1.81</v>
          </cell>
          <cell r="AC4">
            <v>1.47</v>
          </cell>
          <cell r="AD4">
            <v>2.7366666666666668</v>
          </cell>
          <cell r="AE4">
            <v>2.1466666666666669</v>
          </cell>
          <cell r="AF4">
            <v>1.98</v>
          </cell>
          <cell r="AG4">
            <v>1.82</v>
          </cell>
          <cell r="AH4">
            <v>2.1708333333333334</v>
          </cell>
          <cell r="AI4">
            <v>2.5</v>
          </cell>
          <cell r="AJ4">
            <v>1.99</v>
          </cell>
          <cell r="AK4">
            <v>2.3199999999999998</v>
          </cell>
          <cell r="AL4">
            <v>2.7</v>
          </cell>
          <cell r="AM4">
            <v>2.3775000000000004</v>
          </cell>
          <cell r="AN4">
            <v>2.0499999999999998</v>
          </cell>
          <cell r="AO4">
            <v>2.1</v>
          </cell>
          <cell r="AP4">
            <v>1.9</v>
          </cell>
          <cell r="AQ4">
            <v>1.82</v>
          </cell>
          <cell r="AR4">
            <v>1.9675000000000002</v>
          </cell>
          <cell r="AS4">
            <v>1.68</v>
          </cell>
          <cell r="AT4">
            <v>2.08</v>
          </cell>
          <cell r="AU4">
            <v>2.41</v>
          </cell>
          <cell r="AV4">
            <v>2.38</v>
          </cell>
          <cell r="AW4">
            <v>2.1375000000000002</v>
          </cell>
          <cell r="AX4">
            <v>2.4500000000000002</v>
          </cell>
          <cell r="AY4">
            <v>3.41</v>
          </cell>
          <cell r="AZ4">
            <v>4.28</v>
          </cell>
          <cell r="BA4">
            <v>5.7</v>
          </cell>
          <cell r="BB4">
            <v>3.96</v>
          </cell>
        </row>
        <row r="6">
          <cell r="A6" t="str">
            <v>DAILY PRODUCTION (MMcf)</v>
          </cell>
          <cell r="B6">
            <v>1988</v>
          </cell>
          <cell r="C6">
            <v>1989</v>
          </cell>
          <cell r="D6">
            <v>1990</v>
          </cell>
          <cell r="E6" t="str">
            <v>1q</v>
          </cell>
          <cell r="F6" t="str">
            <v>2q</v>
          </cell>
          <cell r="G6" t="str">
            <v>3q</v>
          </cell>
          <cell r="H6" t="str">
            <v>4q</v>
          </cell>
          <cell r="I6">
            <v>1991</v>
          </cell>
          <cell r="J6" t="str">
            <v>1q</v>
          </cell>
          <cell r="K6" t="str">
            <v>2q'</v>
          </cell>
          <cell r="L6" t="str">
            <v>3q</v>
          </cell>
          <cell r="M6" t="str">
            <v>4q</v>
          </cell>
          <cell r="N6" t="str">
            <v>1992</v>
          </cell>
          <cell r="O6" t="str">
            <v>1q</v>
          </cell>
          <cell r="P6" t="str">
            <v xml:space="preserve">2q </v>
          </cell>
          <cell r="Q6" t="str">
            <v>3q*</v>
          </cell>
          <cell r="R6" t="str">
            <v>4q</v>
          </cell>
          <cell r="S6">
            <v>1993</v>
          </cell>
          <cell r="T6" t="str">
            <v>1q</v>
          </cell>
          <cell r="U6" t="str">
            <v>2q</v>
          </cell>
          <cell r="V6" t="str">
            <v>3q</v>
          </cell>
          <cell r="W6" t="str">
            <v>4q</v>
          </cell>
          <cell r="X6" t="str">
            <v>1994</v>
          </cell>
          <cell r="Y6" t="str">
            <v>1q</v>
          </cell>
          <cell r="Z6" t="str">
            <v>2q</v>
          </cell>
          <cell r="AA6" t="str">
            <v>3q</v>
          </cell>
          <cell r="AB6" t="str">
            <v>4q</v>
          </cell>
          <cell r="AC6">
            <v>1995</v>
          </cell>
          <cell r="AD6" t="str">
            <v>1q</v>
          </cell>
          <cell r="AE6" t="str">
            <v>2q</v>
          </cell>
          <cell r="AF6" t="str">
            <v>3q</v>
          </cell>
          <cell r="AG6" t="str">
            <v>4q</v>
          </cell>
          <cell r="AH6" t="str">
            <v>1996</v>
          </cell>
          <cell r="AI6" t="str">
            <v>1q</v>
          </cell>
          <cell r="AJ6" t="str">
            <v>2q</v>
          </cell>
          <cell r="AK6" t="str">
            <v>3q</v>
          </cell>
          <cell r="AL6" t="str">
            <v>4q</v>
          </cell>
          <cell r="AM6" t="str">
            <v>1997</v>
          </cell>
          <cell r="AN6" t="str">
            <v>1q</v>
          </cell>
          <cell r="AO6" t="str">
            <v>2q</v>
          </cell>
          <cell r="AP6" t="str">
            <v>3q</v>
          </cell>
          <cell r="AQ6" t="str">
            <v>4q</v>
          </cell>
          <cell r="AR6" t="str">
            <v>1998</v>
          </cell>
          <cell r="AS6" t="str">
            <v>1q</v>
          </cell>
          <cell r="AT6" t="str">
            <v>2q</v>
          </cell>
          <cell r="AU6" t="str">
            <v>3q</v>
          </cell>
          <cell r="AV6" t="str">
            <v>4q</v>
          </cell>
          <cell r="AW6" t="str">
            <v>1999</v>
          </cell>
          <cell r="AX6" t="str">
            <v>1q</v>
          </cell>
          <cell r="AY6" t="str">
            <v>2q</v>
          </cell>
          <cell r="AZ6" t="str">
            <v>3q</v>
          </cell>
          <cell r="BA6" t="str">
            <v>4q</v>
          </cell>
          <cell r="BB6">
            <v>2000</v>
          </cell>
        </row>
        <row r="7">
          <cell r="A7" t="str">
            <v xml:space="preserve">  East</v>
          </cell>
          <cell r="B7">
            <v>59.289617486338798</v>
          </cell>
          <cell r="C7">
            <v>69.315068493150676</v>
          </cell>
          <cell r="D7">
            <v>70.2</v>
          </cell>
          <cell r="E7">
            <v>74.900000000000006</v>
          </cell>
          <cell r="F7">
            <v>73.3</v>
          </cell>
          <cell r="G7">
            <v>67.599999999999994</v>
          </cell>
          <cell r="H7">
            <v>75.5</v>
          </cell>
          <cell r="I7">
            <v>72.8</v>
          </cell>
          <cell r="J7">
            <v>75.824175824175839</v>
          </cell>
          <cell r="K7">
            <v>68</v>
          </cell>
          <cell r="L7">
            <v>67.391304347826093</v>
          </cell>
          <cell r="M7">
            <v>67</v>
          </cell>
          <cell r="N7">
            <v>69.731506849315068</v>
          </cell>
          <cell r="O7">
            <v>73.5</v>
          </cell>
          <cell r="P7">
            <v>69</v>
          </cell>
          <cell r="Q7">
            <v>71</v>
          </cell>
          <cell r="R7">
            <v>78.260869565217391</v>
          </cell>
          <cell r="S7">
            <v>72.947945205479456</v>
          </cell>
          <cell r="T7">
            <v>80</v>
          </cell>
          <cell r="U7">
            <v>80.5</v>
          </cell>
          <cell r="V7">
            <v>82.608695652173907</v>
          </cell>
          <cell r="W7">
            <v>82.5</v>
          </cell>
          <cell r="X7">
            <v>81.412328767123284</v>
          </cell>
          <cell r="Y7">
            <v>82.222222222222229</v>
          </cell>
          <cell r="Z7">
            <v>76.92307692307692</v>
          </cell>
          <cell r="AA7">
            <v>71.739130434782609</v>
          </cell>
          <cell r="AB7">
            <v>70.652173913043484</v>
          </cell>
          <cell r="AC7">
            <v>75.342465753424648</v>
          </cell>
          <cell r="AD7">
            <v>74.444444444444457</v>
          </cell>
          <cell r="AE7">
            <v>71.428571428571431</v>
          </cell>
          <cell r="AF7">
            <v>71.739130434782609</v>
          </cell>
          <cell r="AG7">
            <v>76.08695652173914</v>
          </cell>
          <cell r="AH7">
            <v>73.424657534246563</v>
          </cell>
          <cell r="AI7">
            <v>73.333333333333329</v>
          </cell>
          <cell r="AJ7">
            <v>73.626373626373635</v>
          </cell>
          <cell r="AK7">
            <v>70.65217391304347</v>
          </cell>
          <cell r="AL7">
            <v>58.695652173913047</v>
          </cell>
          <cell r="AM7">
            <v>69.041095890410958</v>
          </cell>
          <cell r="AN7">
            <v>56.666666666666664</v>
          </cell>
          <cell r="AO7">
            <v>61.538461538461533</v>
          </cell>
          <cell r="AP7">
            <v>64.130434782608702</v>
          </cell>
          <cell r="AQ7">
            <v>66.304347826086953</v>
          </cell>
          <cell r="AR7">
            <v>62.191780821917817</v>
          </cell>
          <cell r="AS7">
            <v>62.222222222222221</v>
          </cell>
          <cell r="AT7">
            <v>57.142857142857146</v>
          </cell>
          <cell r="AU7">
            <v>57.608695652173914</v>
          </cell>
          <cell r="AV7">
            <v>49.999999999999993</v>
          </cell>
          <cell r="AW7">
            <v>56.712328767123296</v>
          </cell>
          <cell r="AX7">
            <v>49.450549450549445</v>
          </cell>
          <cell r="AY7">
            <v>49.450549450549445</v>
          </cell>
          <cell r="AZ7">
            <v>49.999999999999993</v>
          </cell>
          <cell r="BA7">
            <v>46.739130434782609</v>
          </cell>
          <cell r="BB7">
            <v>48.907103825136602</v>
          </cell>
        </row>
        <row r="8">
          <cell r="A8" t="str">
            <v xml:space="preserve">  Western</v>
          </cell>
          <cell r="B8">
            <v>0</v>
          </cell>
          <cell r="C8">
            <v>28.767123287671232</v>
          </cell>
          <cell r="D8">
            <v>38.5</v>
          </cell>
          <cell r="E8">
            <v>45.6</v>
          </cell>
          <cell r="F8">
            <v>41.7</v>
          </cell>
          <cell r="G8">
            <v>44.1</v>
          </cell>
          <cell r="H8">
            <v>54.8</v>
          </cell>
          <cell r="I8">
            <v>46.6</v>
          </cell>
          <cell r="J8">
            <v>59.340659340659343</v>
          </cell>
          <cell r="K8">
            <v>56</v>
          </cell>
          <cell r="L8">
            <v>48.913043478260867</v>
          </cell>
          <cell r="M8">
            <v>55</v>
          </cell>
          <cell r="N8">
            <v>54.947945205479449</v>
          </cell>
          <cell r="O8">
            <v>50</v>
          </cell>
          <cell r="P8">
            <v>52</v>
          </cell>
          <cell r="Q8">
            <v>55</v>
          </cell>
          <cell r="R8">
            <v>60.869565217391298</v>
          </cell>
          <cell r="S8">
            <v>54.4986301369863</v>
          </cell>
          <cell r="T8">
            <v>56.666666666666664</v>
          </cell>
          <cell r="U8">
            <v>80.400000000000006</v>
          </cell>
          <cell r="V8">
            <v>89.673913043478251</v>
          </cell>
          <cell r="W8">
            <v>85</v>
          </cell>
          <cell r="X8">
            <v>78.044931506849323</v>
          </cell>
          <cell r="Y8">
            <v>77.466666666666654</v>
          </cell>
          <cell r="Z8">
            <v>77.604395604395606</v>
          </cell>
          <cell r="AA8">
            <v>63.489130434782609</v>
          </cell>
          <cell r="AB8">
            <v>72.858695652173907</v>
          </cell>
          <cell r="AC8">
            <v>72.816438356164383</v>
          </cell>
          <cell r="AD8">
            <v>71.577777777777783</v>
          </cell>
          <cell r="AE8">
            <v>80.208791208791212</v>
          </cell>
          <cell r="AF8">
            <v>67.956521739130423</v>
          </cell>
          <cell r="AG8">
            <v>76.83695652173914</v>
          </cell>
          <cell r="AH8">
            <v>74.142465753424645</v>
          </cell>
          <cell r="AI8">
            <v>76.333333333333343</v>
          </cell>
          <cell r="AJ8">
            <v>77.175824175824175</v>
          </cell>
          <cell r="AK8">
            <v>87.967391304347828</v>
          </cell>
          <cell r="AL8">
            <v>89.869565217391298</v>
          </cell>
          <cell r="AM8">
            <v>82.887671232876698</v>
          </cell>
          <cell r="AN8">
            <v>84.444444444444443</v>
          </cell>
          <cell r="AO8">
            <v>83.516483516483518</v>
          </cell>
          <cell r="AP8">
            <v>85.869565217391312</v>
          </cell>
          <cell r="AQ8">
            <v>84.782608695652172</v>
          </cell>
          <cell r="AR8">
            <v>84.657534246575352</v>
          </cell>
          <cell r="AS8">
            <v>82.222222222222229</v>
          </cell>
          <cell r="AT8">
            <v>81.318681318681328</v>
          </cell>
          <cell r="AU8">
            <v>82.608695652173907</v>
          </cell>
          <cell r="AV8">
            <v>76.08695652173914</v>
          </cell>
          <cell r="AW8">
            <v>80.547945205479451</v>
          </cell>
          <cell r="AX8">
            <v>80.219780219780219</v>
          </cell>
          <cell r="AY8">
            <v>79.120879120879124</v>
          </cell>
          <cell r="AZ8">
            <v>80.434782608695656</v>
          </cell>
          <cell r="BA8">
            <v>76.08695652173914</v>
          </cell>
          <cell r="BB8">
            <v>78.961748633879779</v>
          </cell>
        </row>
        <row r="9">
          <cell r="A9" t="str">
            <v xml:space="preserve">  Gulf Coast</v>
          </cell>
          <cell r="Y9">
            <v>11.422222222222222</v>
          </cell>
          <cell r="Z9">
            <v>9.2087912087912098</v>
          </cell>
          <cell r="AA9">
            <v>9.336956521739129</v>
          </cell>
          <cell r="AB9">
            <v>10.836956521739131</v>
          </cell>
          <cell r="AC9">
            <v>10.197260273972603</v>
          </cell>
          <cell r="AD9">
            <v>11.755555555555556</v>
          </cell>
          <cell r="AE9">
            <v>12.098901098901099</v>
          </cell>
          <cell r="AF9">
            <v>14.652173913043478</v>
          </cell>
          <cell r="AG9">
            <v>15.554347826086957</v>
          </cell>
          <cell r="AH9">
            <v>13.52876712328767</v>
          </cell>
          <cell r="AI9">
            <v>18.111111111111111</v>
          </cell>
          <cell r="AJ9">
            <v>25.021978021978025</v>
          </cell>
          <cell r="AK9">
            <v>22.90217391304348</v>
          </cell>
          <cell r="AL9">
            <v>26.434782608695649</v>
          </cell>
          <cell r="AM9">
            <v>23.139726027397259</v>
          </cell>
          <cell r="AN9">
            <v>31.111111111111111</v>
          </cell>
          <cell r="AO9">
            <v>37.362637362637365</v>
          </cell>
          <cell r="AP9">
            <v>29.347826086956523</v>
          </cell>
          <cell r="AQ9">
            <v>18.478260869565219</v>
          </cell>
          <cell r="AR9">
            <v>29.041095890410954</v>
          </cell>
          <cell r="AS9">
            <v>34.444444444444443</v>
          </cell>
          <cell r="AT9">
            <v>48.35164835164835</v>
          </cell>
          <cell r="AU9">
            <v>45.652173913043477</v>
          </cell>
          <cell r="AV9">
            <v>41.086956521739125</v>
          </cell>
          <cell r="AW9">
            <v>42.410958904109584</v>
          </cell>
          <cell r="AX9">
            <v>37.362637362637365</v>
          </cell>
          <cell r="AY9">
            <v>32.967032967032971</v>
          </cell>
          <cell r="AZ9">
            <v>38.04347826086957</v>
          </cell>
          <cell r="BA9">
            <v>45.652173913043477</v>
          </cell>
          <cell r="BB9">
            <v>38.524590163934434</v>
          </cell>
        </row>
        <row r="10">
          <cell r="A10" t="str">
            <v xml:space="preserve">  Canada</v>
          </cell>
        </row>
        <row r="11">
          <cell r="A11" t="str">
            <v xml:space="preserve">  Total</v>
          </cell>
          <cell r="B11">
            <v>59.289617486338798</v>
          </cell>
          <cell r="C11">
            <v>98.082191780821915</v>
          </cell>
          <cell r="D11">
            <v>108.7</v>
          </cell>
          <cell r="E11">
            <v>120.5</v>
          </cell>
          <cell r="F11">
            <v>115</v>
          </cell>
          <cell r="G11">
            <v>111.69999999999999</v>
          </cell>
          <cell r="H11">
            <v>130.30000000000001</v>
          </cell>
          <cell r="I11">
            <v>119.4</v>
          </cell>
          <cell r="J11">
            <v>135.16483516483518</v>
          </cell>
          <cell r="K11">
            <v>124</v>
          </cell>
          <cell r="L11">
            <v>116.30434782608697</v>
          </cell>
          <cell r="M11">
            <v>122</v>
          </cell>
          <cell r="N11">
            <v>124.67945205479452</v>
          </cell>
          <cell r="O11">
            <v>123.5</v>
          </cell>
          <cell r="P11">
            <v>121</v>
          </cell>
          <cell r="Q11">
            <v>126</v>
          </cell>
          <cell r="R11">
            <v>139.13043478260869</v>
          </cell>
          <cell r="S11">
            <v>127.44657534246576</v>
          </cell>
          <cell r="T11">
            <v>136.66666666666666</v>
          </cell>
          <cell r="U11">
            <v>160.9</v>
          </cell>
          <cell r="V11">
            <v>172.28260869565216</v>
          </cell>
          <cell r="W11">
            <v>167.5</v>
          </cell>
          <cell r="X11">
            <v>159.45726027397262</v>
          </cell>
          <cell r="Y11">
            <v>171.11111111111109</v>
          </cell>
          <cell r="Z11">
            <v>163.73626373626374</v>
          </cell>
          <cell r="AA11">
            <v>144.56521739130434</v>
          </cell>
          <cell r="AB11">
            <v>154.3478260869565</v>
          </cell>
          <cell r="AC11">
            <v>158.35616438356163</v>
          </cell>
          <cell r="AD11">
            <v>157.7777777777778</v>
          </cell>
          <cell r="AE11">
            <v>163.73626373626374</v>
          </cell>
          <cell r="AF11">
            <v>154.3478260869565</v>
          </cell>
          <cell r="AG11">
            <v>168.47826086956525</v>
          </cell>
          <cell r="AH11">
            <v>161.0958904109589</v>
          </cell>
          <cell r="AI11">
            <v>167.7777777777778</v>
          </cell>
          <cell r="AJ11">
            <v>175.82417582417582</v>
          </cell>
          <cell r="AK11">
            <v>181.52173913043478</v>
          </cell>
          <cell r="AL11">
            <v>175</v>
          </cell>
          <cell r="AM11">
            <v>175.0684931506849</v>
          </cell>
          <cell r="AN11">
            <v>172.22222222222223</v>
          </cell>
          <cell r="AO11">
            <v>182.41758241758242</v>
          </cell>
          <cell r="AP11">
            <v>179.34782608695653</v>
          </cell>
          <cell r="AQ11">
            <v>169.56521739130434</v>
          </cell>
          <cell r="AR11">
            <v>175.89041095890414</v>
          </cell>
          <cell r="AS11">
            <v>178.88888888888891</v>
          </cell>
          <cell r="AT11">
            <v>186.81318681318683</v>
          </cell>
          <cell r="AU11">
            <v>185.86956521739128</v>
          </cell>
          <cell r="AV11">
            <v>167.17391304347825</v>
          </cell>
          <cell r="AW11">
            <v>179.67123287671234</v>
          </cell>
          <cell r="AX11">
            <v>167.03296703296704</v>
          </cell>
          <cell r="AY11">
            <v>161.53846153846152</v>
          </cell>
          <cell r="AZ11">
            <v>168.47826086956522</v>
          </cell>
          <cell r="BA11">
            <v>168.47826086956522</v>
          </cell>
          <cell r="BB11">
            <v>166.39344262295083</v>
          </cell>
        </row>
        <row r="13">
          <cell r="A13" t="str">
            <v>PERIOD PRODUCTION (Bcf)</v>
          </cell>
        </row>
        <row r="14">
          <cell r="A14" t="str">
            <v xml:space="preserve">  East</v>
          </cell>
          <cell r="B14">
            <v>21.7</v>
          </cell>
          <cell r="C14">
            <v>25.3</v>
          </cell>
          <cell r="D14">
            <v>25.623000000000001</v>
          </cell>
          <cell r="E14">
            <v>6.7410000000000005</v>
          </cell>
          <cell r="F14">
            <v>6.6703000000000001</v>
          </cell>
          <cell r="G14">
            <v>6.2191999999999998</v>
          </cell>
          <cell r="H14">
            <v>6.9459999999999997</v>
          </cell>
          <cell r="I14">
            <v>26.571999999999999</v>
          </cell>
          <cell r="J14">
            <v>6.9</v>
          </cell>
          <cell r="K14">
            <v>6.1879999999999997</v>
          </cell>
          <cell r="L14">
            <v>6.2</v>
          </cell>
          <cell r="M14">
            <v>6.1639999999999997</v>
          </cell>
          <cell r="N14">
            <v>25.452000000000002</v>
          </cell>
          <cell r="O14">
            <v>6.6150000000000002</v>
          </cell>
          <cell r="P14">
            <v>6.2789999999999999</v>
          </cell>
          <cell r="Q14">
            <v>6.532</v>
          </cell>
          <cell r="R14">
            <v>7.2</v>
          </cell>
          <cell r="S14">
            <v>26.626000000000001</v>
          </cell>
          <cell r="T14">
            <v>7.2</v>
          </cell>
          <cell r="U14">
            <v>7.3254999999999999</v>
          </cell>
          <cell r="V14">
            <v>7.6</v>
          </cell>
          <cell r="W14">
            <v>7.59</v>
          </cell>
          <cell r="X14">
            <v>29.715500000000002</v>
          </cell>
          <cell r="Y14">
            <v>7.4</v>
          </cell>
          <cell r="Z14">
            <v>7</v>
          </cell>
          <cell r="AA14">
            <v>6.6</v>
          </cell>
          <cell r="AB14">
            <v>6.5</v>
          </cell>
          <cell r="AC14">
            <v>27.5</v>
          </cell>
          <cell r="AD14">
            <v>6.7</v>
          </cell>
          <cell r="AE14">
            <v>6.5</v>
          </cell>
          <cell r="AF14">
            <v>6.6</v>
          </cell>
          <cell r="AG14">
            <v>7</v>
          </cell>
          <cell r="AH14">
            <v>26.799999999999997</v>
          </cell>
          <cell r="AI14">
            <v>6.6</v>
          </cell>
          <cell r="AJ14">
            <v>6.7</v>
          </cell>
          <cell r="AK14">
            <v>6.5</v>
          </cell>
          <cell r="AL14">
            <v>5.4</v>
          </cell>
          <cell r="AM14">
            <v>25.200000000000003</v>
          </cell>
          <cell r="AN14">
            <v>5.0999999999999996</v>
          </cell>
          <cell r="AO14">
            <v>5.6</v>
          </cell>
          <cell r="AP14">
            <v>5.9</v>
          </cell>
          <cell r="AQ14">
            <v>6.1</v>
          </cell>
          <cell r="AR14">
            <v>22.700000000000003</v>
          </cell>
          <cell r="AS14">
            <v>5.6</v>
          </cell>
          <cell r="AT14">
            <v>5.2</v>
          </cell>
          <cell r="AU14">
            <v>5.3</v>
          </cell>
          <cell r="AV14">
            <v>4.5999999999999996</v>
          </cell>
          <cell r="AW14">
            <v>20.700000000000003</v>
          </cell>
          <cell r="AX14">
            <v>4.5</v>
          </cell>
          <cell r="AY14">
            <v>4.5</v>
          </cell>
          <cell r="AZ14">
            <v>4.5999999999999996</v>
          </cell>
          <cell r="BA14">
            <v>4.3</v>
          </cell>
          <cell r="BB14">
            <v>17.899999999999999</v>
          </cell>
        </row>
        <row r="15">
          <cell r="A15" t="str">
            <v xml:space="preserve">  Western</v>
          </cell>
          <cell r="C15">
            <v>10.5</v>
          </cell>
          <cell r="D15">
            <v>14.0525</v>
          </cell>
          <cell r="E15">
            <v>4.1040000000000001</v>
          </cell>
          <cell r="F15">
            <v>3.7947000000000002</v>
          </cell>
          <cell r="G15">
            <v>4.0571999999999999</v>
          </cell>
          <cell r="H15">
            <v>5.0415999999999999</v>
          </cell>
          <cell r="I15">
            <v>17.009</v>
          </cell>
          <cell r="J15">
            <v>5.4</v>
          </cell>
          <cell r="K15">
            <v>5.0960000000000001</v>
          </cell>
          <cell r="L15">
            <v>4.5</v>
          </cell>
          <cell r="M15">
            <v>5</v>
          </cell>
          <cell r="N15">
            <v>20.056000000000001</v>
          </cell>
          <cell r="O15">
            <v>4.5</v>
          </cell>
          <cell r="P15">
            <v>4.7320000000000002</v>
          </cell>
          <cell r="Q15">
            <v>5.0599999999999996</v>
          </cell>
          <cell r="R15">
            <v>5.6</v>
          </cell>
          <cell r="S15">
            <v>19.891999999999999</v>
          </cell>
          <cell r="T15">
            <v>5.0999999999999996</v>
          </cell>
          <cell r="U15">
            <v>7.3164000000000007</v>
          </cell>
          <cell r="V15">
            <v>8.25</v>
          </cell>
          <cell r="W15">
            <v>7.82</v>
          </cell>
          <cell r="X15">
            <v>28.4864</v>
          </cell>
          <cell r="Y15">
            <v>6.9719999999999995</v>
          </cell>
          <cell r="Z15">
            <v>7.0620000000000003</v>
          </cell>
          <cell r="AA15">
            <v>5.8410000000000002</v>
          </cell>
          <cell r="AB15">
            <v>6.7030000000000003</v>
          </cell>
          <cell r="AC15">
            <v>26.577999999999999</v>
          </cell>
          <cell r="AD15">
            <v>6.4420000000000002</v>
          </cell>
          <cell r="AE15">
            <v>7.2990000000000004</v>
          </cell>
          <cell r="AF15">
            <v>6.2519999999999998</v>
          </cell>
          <cell r="AG15">
            <v>7.069</v>
          </cell>
          <cell r="AH15">
            <v>27.061999999999998</v>
          </cell>
          <cell r="AI15">
            <v>6.87</v>
          </cell>
          <cell r="AJ15">
            <v>7.0230000000000006</v>
          </cell>
          <cell r="AK15">
            <v>8.093</v>
          </cell>
          <cell r="AL15">
            <v>8.2679999999999989</v>
          </cell>
          <cell r="AM15">
            <v>30.253999999999998</v>
          </cell>
          <cell r="AN15">
            <v>7.6</v>
          </cell>
          <cell r="AO15">
            <v>7.6</v>
          </cell>
          <cell r="AP15">
            <v>7.9</v>
          </cell>
          <cell r="AQ15">
            <v>7.8</v>
          </cell>
          <cell r="AR15">
            <v>30.900000000000002</v>
          </cell>
          <cell r="AS15">
            <v>7.4</v>
          </cell>
          <cell r="AT15">
            <v>7.4</v>
          </cell>
          <cell r="AU15">
            <v>7.6</v>
          </cell>
          <cell r="AV15">
            <v>7</v>
          </cell>
          <cell r="AW15">
            <v>29.4</v>
          </cell>
          <cell r="AX15">
            <v>7.3</v>
          </cell>
          <cell r="AY15">
            <v>7.2</v>
          </cell>
          <cell r="AZ15">
            <v>7.4</v>
          </cell>
          <cell r="BA15">
            <v>7</v>
          </cell>
          <cell r="BB15">
            <v>28.9</v>
          </cell>
        </row>
        <row r="16">
          <cell r="A16" t="str">
            <v xml:space="preserve">  Gulf Coast</v>
          </cell>
          <cell r="Y16">
            <v>1.028</v>
          </cell>
          <cell r="Z16">
            <v>0.83799999999999997</v>
          </cell>
          <cell r="AA16">
            <v>0.85899999999999999</v>
          </cell>
          <cell r="AB16">
            <v>0.997</v>
          </cell>
          <cell r="AC16">
            <v>3.722</v>
          </cell>
          <cell r="AD16">
            <v>1.0580000000000001</v>
          </cell>
          <cell r="AE16">
            <v>1.101</v>
          </cell>
          <cell r="AF16">
            <v>1.3480000000000001</v>
          </cell>
          <cell r="AG16">
            <v>1.431</v>
          </cell>
          <cell r="AH16">
            <v>4.9379999999999997</v>
          </cell>
          <cell r="AI16">
            <v>1.63</v>
          </cell>
          <cell r="AJ16">
            <v>2.2770000000000001</v>
          </cell>
          <cell r="AK16">
            <v>2.1070000000000002</v>
          </cell>
          <cell r="AL16">
            <v>2.4319999999999999</v>
          </cell>
          <cell r="AM16">
            <v>8.4459999999999997</v>
          </cell>
          <cell r="AN16">
            <v>2.8</v>
          </cell>
          <cell r="AO16">
            <v>3.4</v>
          </cell>
          <cell r="AP16">
            <v>2.7</v>
          </cell>
          <cell r="AQ16">
            <v>1.7</v>
          </cell>
          <cell r="AR16">
            <v>10.599999999999998</v>
          </cell>
          <cell r="AS16">
            <v>3.1</v>
          </cell>
          <cell r="AT16">
            <v>4.4000000000000004</v>
          </cell>
          <cell r="AU16">
            <v>4.2</v>
          </cell>
          <cell r="AV16">
            <v>3.78</v>
          </cell>
          <cell r="AW16">
            <v>15.479999999999999</v>
          </cell>
          <cell r="AX16">
            <v>3.4</v>
          </cell>
          <cell r="AY16">
            <v>3</v>
          </cell>
          <cell r="AZ16">
            <v>3.5</v>
          </cell>
          <cell r="BA16">
            <v>4.2</v>
          </cell>
          <cell r="BB16">
            <v>14.100000000000001</v>
          </cell>
        </row>
        <row r="17">
          <cell r="A17" t="str">
            <v xml:space="preserve">  Canada</v>
          </cell>
        </row>
        <row r="18">
          <cell r="A18" t="str">
            <v xml:space="preserve">  Total</v>
          </cell>
          <cell r="B18">
            <v>21.7</v>
          </cell>
          <cell r="C18">
            <v>35.799999999999997</v>
          </cell>
          <cell r="D18">
            <v>39.6755</v>
          </cell>
          <cell r="E18">
            <v>10.845000000000001</v>
          </cell>
          <cell r="F18">
            <v>10.465</v>
          </cell>
          <cell r="G18">
            <v>10.276399999999999</v>
          </cell>
          <cell r="H18">
            <v>11.9876</v>
          </cell>
          <cell r="I18">
            <v>43.581000000000003</v>
          </cell>
          <cell r="J18">
            <v>12.3</v>
          </cell>
          <cell r="K18">
            <v>11.283999999999999</v>
          </cell>
          <cell r="L18">
            <v>10.7</v>
          </cell>
          <cell r="M18">
            <v>11.164</v>
          </cell>
          <cell r="N18">
            <v>45.508000000000003</v>
          </cell>
          <cell r="O18">
            <v>11.115</v>
          </cell>
          <cell r="P18">
            <v>11.010999999999999</v>
          </cell>
          <cell r="Q18">
            <v>11.591999999999999</v>
          </cell>
          <cell r="R18">
            <v>12.8</v>
          </cell>
          <cell r="S18">
            <v>46.518000000000001</v>
          </cell>
          <cell r="T18">
            <v>12.3</v>
          </cell>
          <cell r="U18">
            <v>14.6419</v>
          </cell>
          <cell r="V18">
            <v>15.85</v>
          </cell>
          <cell r="W18">
            <v>15.41</v>
          </cell>
          <cell r="X18">
            <v>58.201899999999995</v>
          </cell>
          <cell r="Y18">
            <v>15.4</v>
          </cell>
          <cell r="Z18">
            <v>14.9</v>
          </cell>
          <cell r="AA18">
            <v>13.299999999999999</v>
          </cell>
          <cell r="AB18">
            <v>14.2</v>
          </cell>
          <cell r="AC18">
            <v>57.8</v>
          </cell>
          <cell r="AD18">
            <v>14.2</v>
          </cell>
          <cell r="AE18">
            <v>14.899999999999999</v>
          </cell>
          <cell r="AF18">
            <v>14.200000000000001</v>
          </cell>
          <cell r="AG18">
            <v>15.5</v>
          </cell>
          <cell r="AH18">
            <v>58.8</v>
          </cell>
          <cell r="AI18">
            <v>15.099999999999998</v>
          </cell>
          <cell r="AJ18">
            <v>16</v>
          </cell>
          <cell r="AK18">
            <v>16.7</v>
          </cell>
          <cell r="AL18">
            <v>16.099999999999998</v>
          </cell>
          <cell r="AM18">
            <v>63.9</v>
          </cell>
          <cell r="AN18">
            <v>15.5</v>
          </cell>
          <cell r="AO18">
            <v>16.599999999999998</v>
          </cell>
          <cell r="AP18">
            <v>16.5</v>
          </cell>
          <cell r="AQ18">
            <v>15.599999999999998</v>
          </cell>
          <cell r="AR18">
            <v>64.2</v>
          </cell>
          <cell r="AS18">
            <v>16.100000000000001</v>
          </cell>
          <cell r="AT18">
            <v>17</v>
          </cell>
          <cell r="AU18">
            <v>17.099999999999998</v>
          </cell>
          <cell r="AV18">
            <v>15.379999999999999</v>
          </cell>
          <cell r="AW18">
            <v>65.58</v>
          </cell>
          <cell r="AX18">
            <v>15.200000000000001</v>
          </cell>
          <cell r="AY18">
            <v>14.7</v>
          </cell>
          <cell r="AZ18">
            <v>15.5</v>
          </cell>
          <cell r="BA18">
            <v>15.5</v>
          </cell>
          <cell r="BB18">
            <v>60.9</v>
          </cell>
        </row>
        <row r="20">
          <cell r="A20" t="str">
            <v>REALIZED PRICES ($/Mcf)</v>
          </cell>
        </row>
        <row r="21">
          <cell r="A21" t="str">
            <v xml:space="preserve">  East</v>
          </cell>
          <cell r="B21">
            <v>2.3199999999999998</v>
          </cell>
          <cell r="C21">
            <v>2.52</v>
          </cell>
          <cell r="D21">
            <v>2.57</v>
          </cell>
          <cell r="E21">
            <v>2.63</v>
          </cell>
          <cell r="F21">
            <v>2.21</v>
          </cell>
          <cell r="G21">
            <v>2.14</v>
          </cell>
          <cell r="H21">
            <v>2.58</v>
          </cell>
          <cell r="I21">
            <v>2.4300000000000002</v>
          </cell>
          <cell r="J21">
            <v>2.34</v>
          </cell>
          <cell r="K21">
            <v>2.2999999999999998</v>
          </cell>
          <cell r="L21">
            <v>2.2999999999999998</v>
          </cell>
          <cell r="M21">
            <v>2.94</v>
          </cell>
          <cell r="N21">
            <v>2.4699999999999998</v>
          </cell>
          <cell r="O21">
            <v>2.72</v>
          </cell>
          <cell r="P21">
            <v>2.69</v>
          </cell>
          <cell r="Q21">
            <v>2.6</v>
          </cell>
          <cell r="R21">
            <v>2.72</v>
          </cell>
          <cell r="S21">
            <v>2.6825000000000001</v>
          </cell>
          <cell r="T21">
            <v>2.94</v>
          </cell>
          <cell r="U21">
            <v>2.4700000000000002</v>
          </cell>
          <cell r="V21">
            <v>2.14</v>
          </cell>
          <cell r="W21">
            <v>2.21</v>
          </cell>
          <cell r="X21">
            <v>2.4330697783984783</v>
          </cell>
          <cell r="Y21">
            <v>2.25</v>
          </cell>
          <cell r="Z21">
            <v>2.12</v>
          </cell>
          <cell r="AA21">
            <v>1.97</v>
          </cell>
          <cell r="AB21">
            <v>2.4</v>
          </cell>
          <cell r="AC21">
            <v>2.1851636363636366</v>
          </cell>
          <cell r="AD21">
            <v>3</v>
          </cell>
          <cell r="AE21">
            <v>2.5099999999999998</v>
          </cell>
          <cell r="AF21">
            <v>2.31</v>
          </cell>
          <cell r="AG21">
            <v>3.05</v>
          </cell>
          <cell r="AH21">
            <v>2.7242910447761197</v>
          </cell>
          <cell r="AI21">
            <v>3.71</v>
          </cell>
          <cell r="AJ21">
            <v>2.38</v>
          </cell>
          <cell r="AK21">
            <v>2.5649999999999999</v>
          </cell>
          <cell r="AL21">
            <v>3.44</v>
          </cell>
          <cell r="AM21">
            <v>3.0031944444444441</v>
          </cell>
          <cell r="AN21">
            <v>2.78</v>
          </cell>
          <cell r="AO21">
            <v>2.6</v>
          </cell>
          <cell r="AP21">
            <v>2.19</v>
          </cell>
          <cell r="AQ21">
            <v>2.57</v>
          </cell>
          <cell r="AR21">
            <v>2.5258149779735679</v>
          </cell>
          <cell r="AS21">
            <v>2.25</v>
          </cell>
          <cell r="AT21">
            <v>2.31</v>
          </cell>
          <cell r="AU21">
            <v>2.4300000000000002</v>
          </cell>
          <cell r="AV21">
            <v>3.26</v>
          </cell>
          <cell r="AW21">
            <v>2.5356038647342989</v>
          </cell>
          <cell r="AX21">
            <v>3.07</v>
          </cell>
          <cell r="AY21">
            <v>2.63</v>
          </cell>
          <cell r="AZ21">
            <v>2.73</v>
          </cell>
          <cell r="BA21">
            <v>4.62</v>
          </cell>
          <cell r="BB21">
            <v>3.2443575418994417</v>
          </cell>
        </row>
        <row r="22">
          <cell r="A22" t="str">
            <v xml:space="preserve">  Western</v>
          </cell>
          <cell r="B22">
            <v>1.57</v>
          </cell>
          <cell r="C22">
            <v>1.55</v>
          </cell>
          <cell r="D22">
            <v>1.4</v>
          </cell>
          <cell r="E22">
            <v>1.62</v>
          </cell>
          <cell r="F22">
            <v>1.36</v>
          </cell>
          <cell r="G22">
            <v>1.18</v>
          </cell>
          <cell r="H22">
            <v>1.75</v>
          </cell>
          <cell r="I22">
            <v>1.49</v>
          </cell>
          <cell r="J22">
            <v>1.28</v>
          </cell>
          <cell r="K22">
            <v>1.44</v>
          </cell>
          <cell r="L22">
            <v>1.66</v>
          </cell>
          <cell r="M22">
            <v>2.15</v>
          </cell>
          <cell r="N22">
            <v>1.6324999999999998</v>
          </cell>
          <cell r="O22">
            <v>1.81</v>
          </cell>
          <cell r="P22">
            <v>2.02</v>
          </cell>
          <cell r="Q22">
            <v>1.96</v>
          </cell>
          <cell r="R22">
            <v>1.94</v>
          </cell>
          <cell r="S22">
            <v>1.9325000000000001</v>
          </cell>
          <cell r="T22">
            <v>2.04</v>
          </cell>
          <cell r="U22">
            <v>1.7749999999999999</v>
          </cell>
          <cell r="V22">
            <v>1.68</v>
          </cell>
          <cell r="W22">
            <v>1.62</v>
          </cell>
          <cell r="X22">
            <v>1.7523804341720961</v>
          </cell>
          <cell r="Y22">
            <v>1.22</v>
          </cell>
          <cell r="Z22">
            <v>1.36</v>
          </cell>
          <cell r="AA22">
            <v>1.17</v>
          </cell>
          <cell r="AB22">
            <v>1.5</v>
          </cell>
          <cell r="AC22">
            <v>1.3168270750244566</v>
          </cell>
          <cell r="AD22">
            <v>1.77</v>
          </cell>
          <cell r="AE22">
            <v>1.74</v>
          </cell>
          <cell r="AF22">
            <v>1.46</v>
          </cell>
          <cell r="AG22">
            <v>2.48</v>
          </cell>
          <cell r="AH22">
            <v>1.8757534550291923</v>
          </cell>
          <cell r="AI22">
            <v>2.62</v>
          </cell>
          <cell r="AJ22">
            <v>1.81</v>
          </cell>
          <cell r="AK22">
            <v>1.78</v>
          </cell>
          <cell r="AL22">
            <v>2.3130000000000002</v>
          </cell>
          <cell r="AM22">
            <v>2.1233705956237192</v>
          </cell>
          <cell r="AN22">
            <v>1.94</v>
          </cell>
          <cell r="AO22">
            <v>1.96</v>
          </cell>
          <cell r="AP22">
            <v>1.79</v>
          </cell>
          <cell r="AQ22">
            <v>1.92</v>
          </cell>
          <cell r="AR22">
            <v>1.9015210355987056</v>
          </cell>
          <cell r="AS22">
            <v>1.71</v>
          </cell>
          <cell r="AT22">
            <v>1.86</v>
          </cell>
          <cell r="AU22">
            <v>2.14</v>
          </cell>
          <cell r="AV22">
            <v>2.15</v>
          </cell>
          <cell r="AW22">
            <v>1.9636734693877551</v>
          </cell>
          <cell r="AX22">
            <v>2.2599999999999998</v>
          </cell>
          <cell r="AY22">
            <v>2.5099999999999998</v>
          </cell>
          <cell r="AZ22">
            <v>2.62</v>
          </cell>
          <cell r="BA22">
            <v>4.08</v>
          </cell>
          <cell r="BB22">
            <v>2.855294117647059</v>
          </cell>
        </row>
        <row r="23">
          <cell r="A23" t="str">
            <v xml:space="preserve">  Gulf Coast</v>
          </cell>
          <cell r="Y23">
            <v>1.54</v>
          </cell>
          <cell r="Z23">
            <v>1.54</v>
          </cell>
          <cell r="AA23">
            <v>1.5</v>
          </cell>
          <cell r="AB23">
            <v>1.66</v>
          </cell>
          <cell r="AC23">
            <v>1.5629124126813541</v>
          </cell>
          <cell r="AD23">
            <v>2.09</v>
          </cell>
          <cell r="AE23">
            <v>2.12</v>
          </cell>
          <cell r="AF23">
            <v>2.1800000000000002</v>
          </cell>
          <cell r="AG23">
            <v>2.85</v>
          </cell>
          <cell r="AH23">
            <v>2.3415006075334142</v>
          </cell>
          <cell r="AI23">
            <v>2.82</v>
          </cell>
          <cell r="AJ23">
            <v>2.0499999999999998</v>
          </cell>
          <cell r="AK23">
            <v>2.34</v>
          </cell>
          <cell r="AL23">
            <v>2.9</v>
          </cell>
          <cell r="AM23">
            <v>2.5157032914989346</v>
          </cell>
          <cell r="AN23">
            <v>2.2400000000000002</v>
          </cell>
          <cell r="AO23">
            <v>2.29</v>
          </cell>
          <cell r="AP23">
            <v>2.0699999999999998</v>
          </cell>
          <cell r="AQ23">
            <v>1.82</v>
          </cell>
          <cell r="AR23">
            <v>2.1453773584905664</v>
          </cell>
          <cell r="AS23">
            <v>1.75</v>
          </cell>
          <cell r="AT23">
            <v>2.16</v>
          </cell>
          <cell r="AU23">
            <v>2.4900000000000002</v>
          </cell>
          <cell r="AV23">
            <v>2.66</v>
          </cell>
          <cell r="AW23">
            <v>2.2895219638242899</v>
          </cell>
          <cell r="AX23">
            <v>2.5499999999999998</v>
          </cell>
          <cell r="AY23">
            <v>3.05</v>
          </cell>
          <cell r="AZ23">
            <v>3.72</v>
          </cell>
          <cell r="BA23">
            <v>5.41</v>
          </cell>
          <cell r="BB23">
            <v>3.7987234042553193</v>
          </cell>
        </row>
        <row r="24">
          <cell r="A24" t="str">
            <v xml:space="preserve">  Canada</v>
          </cell>
        </row>
        <row r="25">
          <cell r="A25" t="str">
            <v xml:space="preserve">  Average</v>
          </cell>
          <cell r="B25">
            <v>2.06</v>
          </cell>
          <cell r="C25">
            <v>2.2400000000000002</v>
          </cell>
          <cell r="D25">
            <v>2.2400000000000002</v>
          </cell>
          <cell r="E25">
            <v>2.35</v>
          </cell>
          <cell r="F25">
            <v>1.91</v>
          </cell>
          <cell r="G25">
            <v>1.79</v>
          </cell>
          <cell r="H25">
            <v>2.2999999999999998</v>
          </cell>
          <cell r="I25">
            <v>2.12</v>
          </cell>
          <cell r="J25">
            <v>1.97</v>
          </cell>
          <cell r="K25">
            <v>1.95</v>
          </cell>
          <cell r="L25">
            <v>2.0699999999999998</v>
          </cell>
          <cell r="M25">
            <v>2.66</v>
          </cell>
          <cell r="N25">
            <v>2.1009022589434823</v>
          </cell>
          <cell r="O25">
            <v>2.351578947368421</v>
          </cell>
          <cell r="P25">
            <v>2.4020661157024792</v>
          </cell>
          <cell r="Q25">
            <v>2.31</v>
          </cell>
          <cell r="R25">
            <v>2.3787500000000001</v>
          </cell>
          <cell r="S25">
            <v>2.3617854378950085</v>
          </cell>
          <cell r="T25">
            <v>2.566829268292683</v>
          </cell>
          <cell r="U25">
            <v>2.1227159726538223</v>
          </cell>
          <cell r="V25">
            <v>1.9005678233438486</v>
          </cell>
          <cell r="W25">
            <v>1.910597014925373</v>
          </cell>
          <cell r="X25">
            <v>2.0999124599025119</v>
          </cell>
          <cell r="Y25">
            <v>1.736296103896104</v>
          </cell>
          <cell r="Z25">
            <v>1.7271704697986578</v>
          </cell>
          <cell r="AA25">
            <v>1.5883060150375941</v>
          </cell>
          <cell r="AB25">
            <v>1.9232056338028169</v>
          </cell>
          <cell r="AC25">
            <v>1.7458095155709343</v>
          </cell>
          <cell r="AD25">
            <v>2.3741943661971834</v>
          </cell>
          <cell r="AE25">
            <v>2.1039852348993286</v>
          </cell>
          <cell r="AF25">
            <v>1.9234197183098591</v>
          </cell>
          <cell r="AG25">
            <v>2.7715787096774194</v>
          </cell>
          <cell r="AH25">
            <v>2.3016151360544215</v>
          </cell>
          <cell r="AI25">
            <v>3.1180132450331128</v>
          </cell>
          <cell r="AJ25">
            <v>2.0828424999999999</v>
          </cell>
          <cell r="AK25">
            <v>2.1561928143712574</v>
          </cell>
          <cell r="AL25">
            <v>2.7796698136645963</v>
          </cell>
          <cell r="AM25">
            <v>2.5222000625978094</v>
          </cell>
          <cell r="AN25">
            <v>2.27058064516129</v>
          </cell>
          <cell r="AO25">
            <v>2.2434939759036143</v>
          </cell>
          <cell r="AP25">
            <v>1.9788484848484849</v>
          </cell>
          <cell r="AQ25">
            <v>2.1632692307692305</v>
          </cell>
          <cell r="AR25">
            <v>2.1625233644859811</v>
          </cell>
          <cell r="AS25">
            <v>1.9055279503105589</v>
          </cell>
          <cell r="AT25">
            <v>2.0752941176470587</v>
          </cell>
          <cell r="AU25">
            <v>2.3158479532163745</v>
          </cell>
          <cell r="AV25">
            <v>2.6073342002600781</v>
          </cell>
          <cell r="AW25">
            <v>2.2211161939615733</v>
          </cell>
          <cell r="AX25">
            <v>2.5646710526315788</v>
          </cell>
          <cell r="AY25">
            <v>2.6569387755102047</v>
          </cell>
          <cell r="AZ25">
            <v>2.9010322580645163</v>
          </cell>
          <cell r="BA25">
            <v>4.5901935483870977</v>
          </cell>
          <cell r="BB25">
            <v>3.1880788177339903</v>
          </cell>
        </row>
        <row r="27">
          <cell r="A27" t="str">
            <v>GAS PRODUTION REVENUE</v>
          </cell>
        </row>
        <row r="28">
          <cell r="A28" t="str">
            <v>DAILY ($ 000s)</v>
          </cell>
        </row>
        <row r="29">
          <cell r="A29" t="str">
            <v xml:space="preserve">  Applachian</v>
          </cell>
          <cell r="B29">
            <v>137.55191256830599</v>
          </cell>
          <cell r="C29">
            <v>174.6739726027397</v>
          </cell>
          <cell r="D29">
            <v>180.41399999999999</v>
          </cell>
          <cell r="E29">
            <v>196.98699999999999</v>
          </cell>
          <cell r="F29">
            <v>161.99299999999999</v>
          </cell>
          <cell r="G29">
            <v>144.66399999999999</v>
          </cell>
          <cell r="H29">
            <v>194.79</v>
          </cell>
          <cell r="I29">
            <v>176.904</v>
          </cell>
          <cell r="J29">
            <v>177.42857142857144</v>
          </cell>
          <cell r="K29">
            <v>156.39999999999998</v>
          </cell>
          <cell r="L29">
            <v>155</v>
          </cell>
          <cell r="M29">
            <v>196.98</v>
          </cell>
          <cell r="N29">
            <v>172.23682191780819</v>
          </cell>
          <cell r="O29">
            <v>199.92000000000002</v>
          </cell>
          <cell r="P29">
            <v>185.60999999999999</v>
          </cell>
          <cell r="Q29">
            <v>184.6</v>
          </cell>
          <cell r="R29">
            <v>212.86956521739131</v>
          </cell>
          <cell r="S29">
            <v>195.68286301369864</v>
          </cell>
          <cell r="T29">
            <v>235.2</v>
          </cell>
          <cell r="U29">
            <v>198.83500000000001</v>
          </cell>
          <cell r="V29">
            <v>176.78260869565216</v>
          </cell>
          <cell r="W29">
            <v>182.32499999999999</v>
          </cell>
          <cell r="X29">
            <v>198.08187671232875</v>
          </cell>
          <cell r="Y29">
            <v>185</v>
          </cell>
          <cell r="Z29">
            <v>163.07692307692307</v>
          </cell>
          <cell r="AA29">
            <v>141.32608695652175</v>
          </cell>
          <cell r="AB29">
            <v>169.56521739130434</v>
          </cell>
          <cell r="AC29">
            <v>164.63561643835618</v>
          </cell>
          <cell r="AD29">
            <v>223.33333333333337</v>
          </cell>
          <cell r="AE29">
            <v>179.28571428571428</v>
          </cell>
          <cell r="AF29">
            <v>165.71739130434784</v>
          </cell>
          <cell r="AG29">
            <v>232.06521739130437</v>
          </cell>
          <cell r="AH29">
            <v>200.03013698630136</v>
          </cell>
          <cell r="AI29">
            <v>272.06666666666666</v>
          </cell>
          <cell r="AJ29">
            <v>175.23076923076925</v>
          </cell>
          <cell r="AK29">
            <v>181.2228260869565</v>
          </cell>
          <cell r="AL29">
            <v>201.91304347826087</v>
          </cell>
          <cell r="AM29">
            <v>207.34383561643833</v>
          </cell>
          <cell r="AN29">
            <v>157.5333333333333</v>
          </cell>
          <cell r="AO29">
            <v>160</v>
          </cell>
          <cell r="AP29">
            <v>140.44565217391306</v>
          </cell>
          <cell r="AQ29">
            <v>170.40217391304347</v>
          </cell>
          <cell r="AR29">
            <v>157.0849315068493</v>
          </cell>
          <cell r="AS29">
            <v>140</v>
          </cell>
          <cell r="AT29">
            <v>132</v>
          </cell>
          <cell r="AU29">
            <v>139.98913043478262</v>
          </cell>
          <cell r="AV29">
            <v>162.99999999999997</v>
          </cell>
          <cell r="AW29">
            <v>143.79999999999998</v>
          </cell>
          <cell r="AX29">
            <v>151.8131868131868</v>
          </cell>
          <cell r="AY29">
            <v>130.05494505494502</v>
          </cell>
          <cell r="AZ29">
            <v>136.49999999999997</v>
          </cell>
          <cell r="BA29">
            <v>215.93478260869566</v>
          </cell>
          <cell r="BB29">
            <v>158.67213114754097</v>
          </cell>
        </row>
        <row r="30">
          <cell r="A30" t="str">
            <v xml:space="preserve">  Western</v>
          </cell>
          <cell r="B30">
            <v>0</v>
          </cell>
          <cell r="C30">
            <v>44.589041095890408</v>
          </cell>
          <cell r="D30">
            <v>53.9</v>
          </cell>
          <cell r="E30">
            <v>73.872000000000014</v>
          </cell>
          <cell r="F30">
            <v>56.71200000000001</v>
          </cell>
          <cell r="G30">
            <v>52.037999999999997</v>
          </cell>
          <cell r="H30">
            <v>95.899999999999991</v>
          </cell>
          <cell r="I30">
            <v>69.433999999999997</v>
          </cell>
          <cell r="J30">
            <v>75.956043956043956</v>
          </cell>
          <cell r="K30">
            <v>80.64</v>
          </cell>
          <cell r="L30">
            <v>81.195652173913032</v>
          </cell>
          <cell r="M30">
            <v>118.25</v>
          </cell>
          <cell r="N30">
            <v>89.702520547945198</v>
          </cell>
          <cell r="O30">
            <v>90.5</v>
          </cell>
          <cell r="P30">
            <v>105.04</v>
          </cell>
          <cell r="Q30">
            <v>107.8</v>
          </cell>
          <cell r="R30">
            <v>118.08695652173911</v>
          </cell>
          <cell r="S30">
            <v>105.31860273972603</v>
          </cell>
          <cell r="T30">
            <v>115.6</v>
          </cell>
          <cell r="U30">
            <v>142.71</v>
          </cell>
          <cell r="V30">
            <v>150.65217391304347</v>
          </cell>
          <cell r="W30">
            <v>137.70000000000002</v>
          </cell>
          <cell r="X30">
            <v>136.76441095890411</v>
          </cell>
          <cell r="Y30">
            <v>94.509333333333316</v>
          </cell>
          <cell r="Z30">
            <v>105.54197802197803</v>
          </cell>
          <cell r="AA30">
            <v>74.282282608695652</v>
          </cell>
          <cell r="AB30">
            <v>109.28804347826086</v>
          </cell>
          <cell r="AC30">
            <v>95.886657534246595</v>
          </cell>
          <cell r="AD30">
            <v>126.69266666666668</v>
          </cell>
          <cell r="AE30">
            <v>139.56329670329671</v>
          </cell>
          <cell r="AF30">
            <v>99.216521739130414</v>
          </cell>
          <cell r="AG30">
            <v>190.55565217391307</v>
          </cell>
          <cell r="AH30">
            <v>139.07298630136984</v>
          </cell>
          <cell r="AI30">
            <v>199.99333333333337</v>
          </cell>
          <cell r="AJ30">
            <v>139.68824175824176</v>
          </cell>
          <cell r="AK30">
            <v>156.58195652173913</v>
          </cell>
          <cell r="AL30">
            <v>207.8683043478261</v>
          </cell>
          <cell r="AM30">
            <v>176.00124383561641</v>
          </cell>
          <cell r="AN30">
            <v>163.82222222222222</v>
          </cell>
          <cell r="AO30">
            <v>163.69230769230768</v>
          </cell>
          <cell r="AP30">
            <v>153.70652173913044</v>
          </cell>
          <cell r="AQ30">
            <v>162.78260869565216</v>
          </cell>
          <cell r="AR30">
            <v>160.97808219178086</v>
          </cell>
          <cell r="AS30">
            <v>140.6</v>
          </cell>
          <cell r="AT30">
            <v>151.25274725274727</v>
          </cell>
          <cell r="AU30">
            <v>176.78260869565216</v>
          </cell>
          <cell r="AV30">
            <v>163.58695652173915</v>
          </cell>
          <cell r="AW30">
            <v>158.16986301369863</v>
          </cell>
          <cell r="AX30">
            <v>181.29670329670327</v>
          </cell>
          <cell r="AY30">
            <v>198.5934065934066</v>
          </cell>
          <cell r="AZ30">
            <v>210.73913043478262</v>
          </cell>
          <cell r="BA30">
            <v>310.43478260869568</v>
          </cell>
          <cell r="BB30">
            <v>225.45901639344262</v>
          </cell>
        </row>
        <row r="31">
          <cell r="A31" t="str">
            <v xml:space="preserve">  Gulf Coast</v>
          </cell>
          <cell r="Y31">
            <v>17.590222222222224</v>
          </cell>
          <cell r="Z31">
            <v>14.181538461538464</v>
          </cell>
          <cell r="AA31">
            <v>14.005434782608694</v>
          </cell>
          <cell r="AB31">
            <v>17.989347826086956</v>
          </cell>
          <cell r="AC31">
            <v>15.937424657534244</v>
          </cell>
          <cell r="AD31">
            <v>24.569111111111113</v>
          </cell>
          <cell r="AE31">
            <v>25.649670329670329</v>
          </cell>
          <cell r="AF31">
            <v>31.941739130434787</v>
          </cell>
          <cell r="AG31">
            <v>44.329891304347832</v>
          </cell>
          <cell r="AH31">
            <v>31.677616438356161</v>
          </cell>
          <cell r="AI31">
            <v>51.073333333333331</v>
          </cell>
          <cell r="AJ31">
            <v>51.29505494505495</v>
          </cell>
          <cell r="AK31">
            <v>53.591086956521742</v>
          </cell>
          <cell r="AL31">
            <v>76.660869565217382</v>
          </cell>
          <cell r="AM31">
            <v>58.21268493150685</v>
          </cell>
          <cell r="AN31">
            <v>69.688888888888897</v>
          </cell>
          <cell r="AO31">
            <v>85.560439560439562</v>
          </cell>
          <cell r="AP31">
            <v>60.75</v>
          </cell>
          <cell r="AQ31">
            <v>33.630434782608702</v>
          </cell>
          <cell r="AR31">
            <v>62.304109589041097</v>
          </cell>
          <cell r="AS31">
            <v>60.277777777777771</v>
          </cell>
          <cell r="AT31">
            <v>104.43956043956044</v>
          </cell>
          <cell r="AU31">
            <v>113.67391304347827</v>
          </cell>
          <cell r="AV31">
            <v>109.29130434782608</v>
          </cell>
          <cell r="AW31">
            <v>97.100821917808233</v>
          </cell>
          <cell r="AX31">
            <v>95.27472527472527</v>
          </cell>
          <cell r="AY31">
            <v>100.54945054945055</v>
          </cell>
          <cell r="AZ31">
            <v>141.52173913043481</v>
          </cell>
          <cell r="BA31">
            <v>246.97826086956522</v>
          </cell>
          <cell r="BB31">
            <v>146.34426229508199</v>
          </cell>
        </row>
        <row r="32">
          <cell r="A32" t="str">
            <v xml:space="preserve">  Canada</v>
          </cell>
        </row>
        <row r="33">
          <cell r="A33" t="str">
            <v xml:space="preserve">  Total</v>
          </cell>
          <cell r="B33">
            <v>137.55191256830599</v>
          </cell>
          <cell r="C33">
            <v>219.26301369863012</v>
          </cell>
          <cell r="D33">
            <v>234.31399999999999</v>
          </cell>
          <cell r="E33">
            <v>270.85900000000004</v>
          </cell>
          <cell r="F33">
            <v>218.70500000000001</v>
          </cell>
          <cell r="G33">
            <v>196.702</v>
          </cell>
          <cell r="H33">
            <v>290.69</v>
          </cell>
          <cell r="I33">
            <v>246.33799999999999</v>
          </cell>
          <cell r="J33">
            <v>253.38461538461542</v>
          </cell>
          <cell r="K33">
            <v>237.03999999999996</v>
          </cell>
          <cell r="L33">
            <v>236.19565217391303</v>
          </cell>
          <cell r="M33">
            <v>315.23</v>
          </cell>
          <cell r="N33">
            <v>261.93934246575338</v>
          </cell>
          <cell r="O33">
            <v>290.42</v>
          </cell>
          <cell r="P33">
            <v>290.64999999999998</v>
          </cell>
          <cell r="Q33">
            <v>292.39999999999998</v>
          </cell>
          <cell r="R33">
            <v>330.95652173913044</v>
          </cell>
          <cell r="S33">
            <v>301.00146575342467</v>
          </cell>
          <cell r="T33">
            <v>350.79999999999995</v>
          </cell>
          <cell r="U33">
            <v>341.54500000000002</v>
          </cell>
          <cell r="V33">
            <v>327.43478260869563</v>
          </cell>
          <cell r="W33">
            <v>320.02499999999998</v>
          </cell>
          <cell r="X33">
            <v>334.84628767123286</v>
          </cell>
          <cell r="Y33">
            <v>297.09955555555553</v>
          </cell>
          <cell r="Z33">
            <v>282.8004395604396</v>
          </cell>
          <cell r="AA33">
            <v>229.61380434782609</v>
          </cell>
          <cell r="AB33">
            <v>296.84260869565213</v>
          </cell>
          <cell r="AC33">
            <v>276.45969863013698</v>
          </cell>
          <cell r="AD33">
            <v>374.59511111111118</v>
          </cell>
          <cell r="AE33">
            <v>344.49868131868129</v>
          </cell>
          <cell r="AF33">
            <v>296.87565217391301</v>
          </cell>
          <cell r="AG33">
            <v>466.95076086956527</v>
          </cell>
          <cell r="AH33">
            <v>370.78073972602738</v>
          </cell>
          <cell r="AI33">
            <v>523.13333333333344</v>
          </cell>
          <cell r="AJ33">
            <v>366.21406593406596</v>
          </cell>
          <cell r="AK33">
            <v>391.39586956521737</v>
          </cell>
          <cell r="AL33">
            <v>486.44221739130433</v>
          </cell>
          <cell r="AM33">
            <v>441.55776438356156</v>
          </cell>
          <cell r="AN33">
            <v>391.04444444444437</v>
          </cell>
          <cell r="AO33">
            <v>409.25274725274721</v>
          </cell>
          <cell r="AP33">
            <v>354.9021739130435</v>
          </cell>
          <cell r="AQ33">
            <v>366.81521739130432</v>
          </cell>
          <cell r="AR33">
            <v>380.36712328767123</v>
          </cell>
          <cell r="AS33">
            <v>340.87777777777779</v>
          </cell>
          <cell r="AT33">
            <v>387.69230769230774</v>
          </cell>
          <cell r="AU33">
            <v>430.445652173913</v>
          </cell>
          <cell r="AV33">
            <v>435.87826086956522</v>
          </cell>
          <cell r="AW33">
            <v>399.07068493150683</v>
          </cell>
          <cell r="AX33">
            <v>428.38461538461536</v>
          </cell>
          <cell r="AY33">
            <v>429.19780219780222</v>
          </cell>
          <cell r="AZ33">
            <v>488.76086956521743</v>
          </cell>
          <cell r="BA33">
            <v>773.34782608695662</v>
          </cell>
          <cell r="BB33">
            <v>530.47540983606564</v>
          </cell>
        </row>
        <row r="35">
          <cell r="A35" t="str">
            <v>PERIOD ($ Millions)</v>
          </cell>
        </row>
        <row r="36">
          <cell r="A36" t="str">
            <v xml:space="preserve">  Applachian</v>
          </cell>
          <cell r="B36">
            <v>50.343999999999994</v>
          </cell>
          <cell r="C36">
            <v>63.756</v>
          </cell>
          <cell r="D36">
            <v>65.851110000000006</v>
          </cell>
          <cell r="E36">
            <v>17.728830000000002</v>
          </cell>
          <cell r="F36">
            <v>14.741363</v>
          </cell>
          <cell r="G36">
            <v>13.309088000000001</v>
          </cell>
          <cell r="H36">
            <v>17.920680000000001</v>
          </cell>
          <cell r="I36">
            <v>64.569960000000009</v>
          </cell>
          <cell r="J36">
            <v>16.146000000000001</v>
          </cell>
          <cell r="K36">
            <v>14.232399999999998</v>
          </cell>
          <cell r="L36">
            <v>14.26</v>
          </cell>
          <cell r="M36">
            <v>18.122159999999997</v>
          </cell>
          <cell r="N36">
            <v>62.866439999999997</v>
          </cell>
          <cell r="O36">
            <v>17.992800000000003</v>
          </cell>
          <cell r="P36">
            <v>16.890509999999999</v>
          </cell>
          <cell r="Q36">
            <v>16.9832</v>
          </cell>
          <cell r="R36">
            <v>19.584000000000003</v>
          </cell>
          <cell r="S36">
            <v>71.424244999999999</v>
          </cell>
          <cell r="T36">
            <v>21.167999999999999</v>
          </cell>
          <cell r="U36">
            <v>18.093985</v>
          </cell>
          <cell r="V36">
            <v>16.263999999999999</v>
          </cell>
          <cell r="W36">
            <v>16.773900000000001</v>
          </cell>
          <cell r="X36">
            <v>72.299884999999989</v>
          </cell>
          <cell r="Y36">
            <v>16.650000000000002</v>
          </cell>
          <cell r="Z36">
            <v>14.84</v>
          </cell>
          <cell r="AA36">
            <v>13.001999999999999</v>
          </cell>
          <cell r="AB36">
            <v>15.6</v>
          </cell>
          <cell r="AC36">
            <v>60.092000000000006</v>
          </cell>
          <cell r="AD36">
            <v>20.100000000000001</v>
          </cell>
          <cell r="AE36">
            <v>16.314999999999998</v>
          </cell>
          <cell r="AF36">
            <v>15.245999999999999</v>
          </cell>
          <cell r="AG36">
            <v>21.349999999999998</v>
          </cell>
          <cell r="AH36">
            <v>73.010999999999996</v>
          </cell>
          <cell r="AI36">
            <v>24.485999999999997</v>
          </cell>
          <cell r="AJ36">
            <v>15.946</v>
          </cell>
          <cell r="AK36">
            <v>16.672499999999999</v>
          </cell>
          <cell r="AL36">
            <v>18.576000000000001</v>
          </cell>
          <cell r="AM36">
            <v>75.680499999999995</v>
          </cell>
          <cell r="AN36">
            <v>14.177999999999997</v>
          </cell>
          <cell r="AO36">
            <v>14.559999999999999</v>
          </cell>
          <cell r="AP36">
            <v>12.921000000000001</v>
          </cell>
          <cell r="AQ36">
            <v>15.676999999999998</v>
          </cell>
          <cell r="AR36">
            <v>57.335999999999999</v>
          </cell>
          <cell r="AS36">
            <v>12.6</v>
          </cell>
          <cell r="AT36">
            <v>12.012</v>
          </cell>
          <cell r="AU36">
            <v>12.879</v>
          </cell>
          <cell r="AV36">
            <v>14.995999999999999</v>
          </cell>
          <cell r="AW36">
            <v>52.486999999999995</v>
          </cell>
          <cell r="AX36">
            <v>13.815</v>
          </cell>
          <cell r="AY36">
            <v>11.834999999999999</v>
          </cell>
          <cell r="AZ36">
            <v>12.558</v>
          </cell>
          <cell r="BA36">
            <v>19.866</v>
          </cell>
          <cell r="BB36">
            <v>58.073999999999998</v>
          </cell>
        </row>
        <row r="37">
          <cell r="A37" t="str">
            <v xml:space="preserve">  Western</v>
          </cell>
          <cell r="B37">
            <v>0</v>
          </cell>
          <cell r="C37">
            <v>16.275000000000002</v>
          </cell>
          <cell r="D37">
            <v>19.673500000000001</v>
          </cell>
          <cell r="E37">
            <v>6.6484800000000002</v>
          </cell>
          <cell r="F37">
            <v>5.1607920000000007</v>
          </cell>
          <cell r="G37">
            <v>4.787496</v>
          </cell>
          <cell r="H37">
            <v>8.8227999999999991</v>
          </cell>
          <cell r="I37">
            <v>25.343409999999999</v>
          </cell>
          <cell r="J37">
            <v>6.9120000000000008</v>
          </cell>
          <cell r="K37">
            <v>7.3382399999999999</v>
          </cell>
          <cell r="L37">
            <v>7.47</v>
          </cell>
          <cell r="M37">
            <v>10.75</v>
          </cell>
          <cell r="N37">
            <v>32.741419999999998</v>
          </cell>
          <cell r="O37">
            <v>8.1449999999999996</v>
          </cell>
          <cell r="P37">
            <v>9.5586400000000005</v>
          </cell>
          <cell r="Q37">
            <v>9.9175999999999984</v>
          </cell>
          <cell r="R37">
            <v>10.863999999999999</v>
          </cell>
          <cell r="S37">
            <v>38.441290000000002</v>
          </cell>
          <cell r="T37">
            <v>10.404</v>
          </cell>
          <cell r="U37">
            <v>12.986610000000001</v>
          </cell>
          <cell r="V37">
            <v>13.86</v>
          </cell>
          <cell r="W37">
            <v>12.668400000000002</v>
          </cell>
          <cell r="X37">
            <v>49.91901</v>
          </cell>
          <cell r="Y37">
            <v>8.5058399999999992</v>
          </cell>
          <cell r="Z37">
            <v>9.6043200000000013</v>
          </cell>
          <cell r="AA37">
            <v>6.8339699999999999</v>
          </cell>
          <cell r="AB37">
            <v>10.054500000000001</v>
          </cell>
          <cell r="AC37">
            <v>34.998630000000006</v>
          </cell>
          <cell r="AD37">
            <v>11.402340000000001</v>
          </cell>
          <cell r="AE37">
            <v>12.70026</v>
          </cell>
          <cell r="AF37">
            <v>9.1279199999999996</v>
          </cell>
          <cell r="AG37">
            <v>17.531120000000001</v>
          </cell>
          <cell r="AH37">
            <v>50.76164</v>
          </cell>
          <cell r="AI37">
            <v>17.999400000000001</v>
          </cell>
          <cell r="AJ37">
            <v>12.711630000000001</v>
          </cell>
          <cell r="AK37">
            <v>14.40554</v>
          </cell>
          <cell r="AL37">
            <v>19.123884</v>
          </cell>
          <cell r="AM37">
            <v>64.240454</v>
          </cell>
          <cell r="AN37">
            <v>14.744</v>
          </cell>
          <cell r="AO37">
            <v>14.895999999999999</v>
          </cell>
          <cell r="AP37">
            <v>14.141000000000002</v>
          </cell>
          <cell r="AQ37">
            <v>14.975999999999999</v>
          </cell>
          <cell r="AR37">
            <v>58.757000000000005</v>
          </cell>
          <cell r="AS37">
            <v>12.654</v>
          </cell>
          <cell r="AT37">
            <v>13.764000000000001</v>
          </cell>
          <cell r="AU37">
            <v>16.263999999999999</v>
          </cell>
          <cell r="AV37">
            <v>15.049999999999999</v>
          </cell>
          <cell r="AW37">
            <v>57.731999999999999</v>
          </cell>
          <cell r="AX37">
            <v>16.497999999999998</v>
          </cell>
          <cell r="AY37">
            <v>18.071999999999999</v>
          </cell>
          <cell r="AZ37">
            <v>19.388000000000002</v>
          </cell>
          <cell r="BA37">
            <v>28.560000000000002</v>
          </cell>
          <cell r="BB37">
            <v>82.518000000000001</v>
          </cell>
        </row>
        <row r="38">
          <cell r="A38" t="str">
            <v xml:space="preserve">  Gulf Coast</v>
          </cell>
          <cell r="Y38">
            <v>1.5831200000000001</v>
          </cell>
          <cell r="Z38">
            <v>1.2905199999999999</v>
          </cell>
          <cell r="AA38">
            <v>1.2885</v>
          </cell>
          <cell r="AB38">
            <v>1.6550199999999999</v>
          </cell>
          <cell r="AC38">
            <v>5.8171599999999994</v>
          </cell>
          <cell r="AD38">
            <v>2.21122</v>
          </cell>
          <cell r="AE38">
            <v>2.33412</v>
          </cell>
          <cell r="AF38">
            <v>2.9386400000000004</v>
          </cell>
          <cell r="AG38">
            <v>4.0783500000000004</v>
          </cell>
          <cell r="AH38">
            <v>11.562329999999999</v>
          </cell>
          <cell r="AI38">
            <v>4.5965999999999996</v>
          </cell>
          <cell r="AJ38">
            <v>4.6678499999999996</v>
          </cell>
          <cell r="AK38">
            <v>4.9303800000000004</v>
          </cell>
          <cell r="AL38">
            <v>7.0527999999999995</v>
          </cell>
          <cell r="AM38">
            <v>21.247630000000001</v>
          </cell>
          <cell r="AN38">
            <v>6.2720000000000002</v>
          </cell>
          <cell r="AO38">
            <v>7.7859999999999996</v>
          </cell>
          <cell r="AP38">
            <v>5.5889999999999995</v>
          </cell>
          <cell r="AQ38">
            <v>3.0939999999999999</v>
          </cell>
          <cell r="AR38">
            <v>22.741</v>
          </cell>
          <cell r="AS38">
            <v>5.4249999999999998</v>
          </cell>
          <cell r="AT38">
            <v>9.5040000000000013</v>
          </cell>
          <cell r="AU38">
            <v>10.458000000000002</v>
          </cell>
          <cell r="AV38">
            <v>10.0548</v>
          </cell>
          <cell r="AW38">
            <v>35.441800000000001</v>
          </cell>
          <cell r="AX38">
            <v>8.67</v>
          </cell>
          <cell r="AY38">
            <v>9.1499999999999986</v>
          </cell>
          <cell r="AZ38">
            <v>13.020000000000001</v>
          </cell>
          <cell r="BA38">
            <v>22.722000000000001</v>
          </cell>
          <cell r="BB38">
            <v>53.562000000000005</v>
          </cell>
        </row>
        <row r="39">
          <cell r="A39" t="str">
            <v xml:space="preserve">  Canada</v>
          </cell>
        </row>
        <row r="40">
          <cell r="A40" t="str">
            <v xml:space="preserve">  Total Calculated</v>
          </cell>
          <cell r="B40">
            <v>50.343999999999994</v>
          </cell>
          <cell r="C40">
            <v>80.031000000000006</v>
          </cell>
          <cell r="D40">
            <v>85.52461000000001</v>
          </cell>
          <cell r="E40">
            <v>24.377310000000001</v>
          </cell>
          <cell r="F40">
            <v>19.902155</v>
          </cell>
          <cell r="G40">
            <v>18.096584</v>
          </cell>
          <cell r="H40">
            <v>26.743479999999998</v>
          </cell>
          <cell r="I40">
            <v>89.913370000000015</v>
          </cell>
          <cell r="J40">
            <v>23.058</v>
          </cell>
          <cell r="K40">
            <v>21.570639999999997</v>
          </cell>
          <cell r="L40">
            <v>21.73</v>
          </cell>
          <cell r="M40">
            <v>28.872159999999997</v>
          </cell>
          <cell r="N40">
            <v>95.607859999999988</v>
          </cell>
          <cell r="O40">
            <v>26.137800000000002</v>
          </cell>
          <cell r="P40">
            <v>26.449149999999999</v>
          </cell>
          <cell r="Q40">
            <v>26.900799999999997</v>
          </cell>
          <cell r="R40">
            <v>30.448</v>
          </cell>
          <cell r="S40">
            <v>109.86553499999999</v>
          </cell>
          <cell r="T40">
            <v>31.571999999999999</v>
          </cell>
          <cell r="U40">
            <v>31.080595000000002</v>
          </cell>
          <cell r="V40">
            <v>30.123999999999999</v>
          </cell>
          <cell r="W40">
            <v>29.442300000000003</v>
          </cell>
          <cell r="X40">
            <v>122.218895</v>
          </cell>
          <cell r="Y40">
            <v>26.738960000000002</v>
          </cell>
          <cell r="Z40">
            <v>25.734840000000002</v>
          </cell>
          <cell r="AA40">
            <v>21.124469999999999</v>
          </cell>
          <cell r="AB40">
            <v>27.309519999999999</v>
          </cell>
          <cell r="AC40">
            <v>100.90779000000001</v>
          </cell>
          <cell r="AD40">
            <v>33.713560000000001</v>
          </cell>
          <cell r="AE40">
            <v>31.349379999999996</v>
          </cell>
          <cell r="AF40">
            <v>27.312559999999998</v>
          </cell>
          <cell r="AG40">
            <v>42.959469999999996</v>
          </cell>
          <cell r="AH40">
            <v>135.33497</v>
          </cell>
          <cell r="AI40">
            <v>47.082000000000001</v>
          </cell>
          <cell r="AJ40">
            <v>33.325479999999999</v>
          </cell>
          <cell r="AK40">
            <v>36.008420000000001</v>
          </cell>
          <cell r="AL40">
            <v>44.752683999999995</v>
          </cell>
          <cell r="AM40">
            <v>161.16858400000001</v>
          </cell>
          <cell r="AN40">
            <v>35.193999999999996</v>
          </cell>
          <cell r="AO40">
            <v>37.241999999999997</v>
          </cell>
          <cell r="AP40">
            <v>32.651000000000003</v>
          </cell>
          <cell r="AQ40">
            <v>33.747</v>
          </cell>
          <cell r="AR40">
            <v>138.834</v>
          </cell>
          <cell r="AS40">
            <v>30.678999999999998</v>
          </cell>
          <cell r="AT40">
            <v>35.28</v>
          </cell>
          <cell r="AU40">
            <v>39.600999999999999</v>
          </cell>
          <cell r="AV40">
            <v>40.1008</v>
          </cell>
          <cell r="AW40">
            <v>145.66079999999999</v>
          </cell>
          <cell r="AX40">
            <v>38.982999999999997</v>
          </cell>
          <cell r="AY40">
            <v>39.056999999999995</v>
          </cell>
          <cell r="AZ40">
            <v>44.966000000000001</v>
          </cell>
          <cell r="BA40">
            <v>71.147999999999996</v>
          </cell>
          <cell r="BB40">
            <v>194.154</v>
          </cell>
        </row>
        <row r="42">
          <cell r="A42" t="str">
            <v>Variance with reported</v>
          </cell>
          <cell r="B42">
            <v>37.719000000000008</v>
          </cell>
          <cell r="C42">
            <v>16.61</v>
          </cell>
          <cell r="D42">
            <v>3.3163899999999842</v>
          </cell>
          <cell r="E42">
            <v>1.3946899999999971</v>
          </cell>
          <cell r="F42">
            <v>7.4844999999999828E-2</v>
          </cell>
          <cell r="G42">
            <v>0.29041600000000045</v>
          </cell>
          <cell r="H42">
            <v>0.83352000000000359</v>
          </cell>
          <cell r="I42">
            <v>1.7996299999999792</v>
          </cell>
          <cell r="J42">
            <v>7.2000000000002728E-2</v>
          </cell>
          <cell r="N42">
            <v>7.2000000000002728E-2</v>
          </cell>
          <cell r="S42">
            <v>0</v>
          </cell>
          <cell r="X42">
            <v>0</v>
          </cell>
          <cell r="AC42">
            <v>0</v>
          </cell>
          <cell r="AH42">
            <v>0</v>
          </cell>
          <cell r="AI42">
            <v>0</v>
          </cell>
          <cell r="AJ42">
            <v>0</v>
          </cell>
          <cell r="AK42">
            <v>-0.59242000000000417</v>
          </cell>
          <cell r="AL42">
            <v>1.0823160000000058</v>
          </cell>
          <cell r="AM42">
            <v>0</v>
          </cell>
          <cell r="AN42">
            <v>-1.7999999999993577E-2</v>
          </cell>
          <cell r="AO42">
            <v>0</v>
          </cell>
          <cell r="AP42">
            <v>8.8999999999998636E-2</v>
          </cell>
          <cell r="AQ42">
            <v>-8.5000000000000853E-2</v>
          </cell>
          <cell r="AR42">
            <v>0</v>
          </cell>
          <cell r="AS42">
            <v>0</v>
          </cell>
          <cell r="AT42">
            <v>-3.1000000000005912E-2</v>
          </cell>
          <cell r="AU42">
            <v>-9.2999999999996419E-2</v>
          </cell>
          <cell r="AV42">
            <v>0</v>
          </cell>
          <cell r="AW42">
            <v>-0.12399999999999523</v>
          </cell>
          <cell r="AX42">
            <v>0.10300000000000153</v>
          </cell>
          <cell r="AY42">
            <v>-0.15399999999999636</v>
          </cell>
          <cell r="AZ42">
            <v>0</v>
          </cell>
          <cell r="BA42">
            <v>-5.1000000000001933E-2</v>
          </cell>
          <cell r="BB42">
            <v>0</v>
          </cell>
        </row>
        <row r="44">
          <cell r="A44" t="str">
            <v>Reported Gas Prod. Rev.</v>
          </cell>
          <cell r="B44">
            <v>88.063000000000002</v>
          </cell>
          <cell r="C44">
            <v>96.641000000000005</v>
          </cell>
          <cell r="D44">
            <v>88.840999999999994</v>
          </cell>
          <cell r="E44">
            <v>25.771999999999998</v>
          </cell>
          <cell r="F44">
            <v>19.977</v>
          </cell>
          <cell r="G44">
            <v>18.387</v>
          </cell>
          <cell r="H44">
            <v>27.577000000000002</v>
          </cell>
          <cell r="I44">
            <v>91.712999999999994</v>
          </cell>
          <cell r="J44">
            <v>23.130000000000003</v>
          </cell>
          <cell r="K44">
            <v>21.570639999999997</v>
          </cell>
          <cell r="L44">
            <v>21.73</v>
          </cell>
          <cell r="M44">
            <v>28.872159999999997</v>
          </cell>
          <cell r="N44">
            <v>95.607859999999988</v>
          </cell>
          <cell r="O44">
            <v>26.137800000000002</v>
          </cell>
          <cell r="P44">
            <v>26.449149999999999</v>
          </cell>
          <cell r="Q44">
            <v>26.900799999999997</v>
          </cell>
          <cell r="R44">
            <v>30.448</v>
          </cell>
          <cell r="S44">
            <v>109.86553499999999</v>
          </cell>
          <cell r="T44">
            <v>31.571999999999999</v>
          </cell>
          <cell r="U44">
            <v>31.080595000000002</v>
          </cell>
          <cell r="V44">
            <v>30.123999999999999</v>
          </cell>
          <cell r="W44">
            <v>29.442300000000003</v>
          </cell>
          <cell r="X44">
            <v>122.218895</v>
          </cell>
          <cell r="Y44">
            <v>26.738960000000002</v>
          </cell>
          <cell r="Z44">
            <v>25.734840000000002</v>
          </cell>
          <cell r="AA44">
            <v>21.124469999999999</v>
          </cell>
          <cell r="AB44">
            <v>27.309519999999999</v>
          </cell>
          <cell r="AC44">
            <v>100.90779000000001</v>
          </cell>
          <cell r="AD44">
            <v>33.713560000000001</v>
          </cell>
          <cell r="AE44">
            <v>31.349379999999996</v>
          </cell>
          <cell r="AF44">
            <v>29.655999999999999</v>
          </cell>
          <cell r="AG44">
            <v>42.959469999999996</v>
          </cell>
          <cell r="AH44">
            <v>135.33497</v>
          </cell>
          <cell r="AI44">
            <v>47.082000000000001</v>
          </cell>
          <cell r="AJ44">
            <v>33.325479999999999</v>
          </cell>
          <cell r="AK44">
            <v>35.415999999999997</v>
          </cell>
          <cell r="AL44">
            <v>45.835000000000001</v>
          </cell>
          <cell r="AM44">
            <v>161.16858400000001</v>
          </cell>
          <cell r="AN44">
            <v>35.176000000000002</v>
          </cell>
          <cell r="AO44">
            <v>37.241999999999997</v>
          </cell>
          <cell r="AP44">
            <v>32.74</v>
          </cell>
          <cell r="AQ44">
            <v>33.661999999999999</v>
          </cell>
          <cell r="AR44">
            <v>138.834</v>
          </cell>
          <cell r="AS44">
            <v>30.678999999999998</v>
          </cell>
          <cell r="AT44">
            <v>35.248999999999995</v>
          </cell>
          <cell r="AU44">
            <v>39.508000000000003</v>
          </cell>
          <cell r="AV44">
            <v>40.1008</v>
          </cell>
          <cell r="AW44">
            <v>145.5368</v>
          </cell>
          <cell r="AX44">
            <v>39.085999999999999</v>
          </cell>
          <cell r="AY44">
            <v>38.902999999999999</v>
          </cell>
          <cell r="AZ44">
            <v>44.966000000000001</v>
          </cell>
          <cell r="BA44">
            <v>71.096999999999994</v>
          </cell>
          <cell r="BB44">
            <v>194.154</v>
          </cell>
        </row>
        <row r="45">
          <cell r="A45" t="str">
            <v>ReportedOil Prod. Rev.</v>
          </cell>
        </row>
        <row r="47">
          <cell r="A47" t="str">
            <v>GAS PRICE($/Mcf)</v>
          </cell>
        </row>
        <row r="49">
          <cell r="A49" t="str">
            <v>Mkting Revenue ($Mil.)</v>
          </cell>
          <cell r="D49">
            <v>31.993000000000002</v>
          </cell>
          <cell r="E49">
            <v>16.873000000000001</v>
          </cell>
          <cell r="F49">
            <v>6.5087999999999999</v>
          </cell>
          <cell r="G49">
            <v>4.8867000000000003</v>
          </cell>
          <cell r="H49">
            <v>12.070589999999999</v>
          </cell>
          <cell r="I49">
            <v>40.29907</v>
          </cell>
          <cell r="J49">
            <v>12.84</v>
          </cell>
          <cell r="K49">
            <v>7.0379999999999994</v>
          </cell>
          <cell r="L49">
            <v>9.1080000000000005</v>
          </cell>
          <cell r="M49">
            <v>14.56</v>
          </cell>
          <cell r="N49">
            <v>43.545999999999999</v>
          </cell>
          <cell r="O49">
            <v>14.094000000000001</v>
          </cell>
          <cell r="P49">
            <v>9.234</v>
          </cell>
          <cell r="Q49">
            <v>6.24</v>
          </cell>
          <cell r="R49">
            <v>16.12107</v>
          </cell>
          <cell r="S49">
            <v>45.836467500000005</v>
          </cell>
          <cell r="T49">
            <v>32.148250000000004</v>
          </cell>
          <cell r="U49">
            <v>21.824999999999999</v>
          </cell>
          <cell r="V49">
            <v>20.14</v>
          </cell>
          <cell r="W49">
            <v>23.684000000000001</v>
          </cell>
          <cell r="X49">
            <v>97.853274999999996</v>
          </cell>
          <cell r="Y49">
            <v>26.1</v>
          </cell>
          <cell r="Z49">
            <v>21.93</v>
          </cell>
          <cell r="AA49">
            <v>19.558</v>
          </cell>
          <cell r="AB49">
            <v>28.13</v>
          </cell>
          <cell r="AC49">
            <v>95.717999999999989</v>
          </cell>
        </row>
        <row r="50">
          <cell r="A50" t="str">
            <v>Marketing Costs</v>
          </cell>
          <cell r="D50">
            <v>25.709669999999999</v>
          </cell>
          <cell r="E50">
            <v>10.787669999999999</v>
          </cell>
          <cell r="F50">
            <v>7.7025600000000001</v>
          </cell>
          <cell r="G50">
            <v>10.70748</v>
          </cell>
          <cell r="H50">
            <v>10.287899999999999</v>
          </cell>
          <cell r="I50">
            <v>36.121749999999999</v>
          </cell>
          <cell r="J50">
            <v>9.7644000000000002</v>
          </cell>
          <cell r="K50">
            <v>7.0519999999999996</v>
          </cell>
          <cell r="L50">
            <v>9</v>
          </cell>
          <cell r="M50">
            <v>13.356</v>
          </cell>
          <cell r="N50">
            <v>39.172400000000003</v>
          </cell>
          <cell r="O50">
            <v>8.831999999999999</v>
          </cell>
          <cell r="P50">
            <v>10.835000000000001</v>
          </cell>
          <cell r="Q50">
            <v>6.8</v>
          </cell>
          <cell r="R50">
            <v>13.824000000000002</v>
          </cell>
          <cell r="S50">
            <v>43.847999999999999</v>
          </cell>
          <cell r="T50">
            <v>29.06</v>
          </cell>
          <cell r="U50">
            <v>22.32</v>
          </cell>
          <cell r="V50">
            <v>22.835999999999999</v>
          </cell>
          <cell r="W50">
            <v>21.78</v>
          </cell>
          <cell r="X50">
            <v>98.566600000000022</v>
          </cell>
          <cell r="Y50">
            <v>24.472000000000001</v>
          </cell>
          <cell r="Z50">
            <v>21.731999999999999</v>
          </cell>
          <cell r="AA50">
            <v>18.359000000000002</v>
          </cell>
          <cell r="AB50">
            <v>27.212</v>
          </cell>
          <cell r="AC50">
            <v>91.775000000000006</v>
          </cell>
        </row>
        <row r="51">
          <cell r="A51" t="str">
            <v>Gross Marketing Margin</v>
          </cell>
          <cell r="D51">
            <v>6.283330000000003</v>
          </cell>
          <cell r="E51">
            <v>6.0853300000000026</v>
          </cell>
          <cell r="F51">
            <v>-1.1937600000000002</v>
          </cell>
          <cell r="G51">
            <v>-5.8207800000000001</v>
          </cell>
          <cell r="H51">
            <v>1.7826900000000006</v>
          </cell>
          <cell r="I51">
            <v>4.1773200000000017</v>
          </cell>
          <cell r="J51">
            <v>3.0755999999999997</v>
          </cell>
          <cell r="K51">
            <v>-1.4000000000000234E-2</v>
          </cell>
          <cell r="L51">
            <v>0.10800000000000054</v>
          </cell>
          <cell r="M51">
            <v>1.2040000000000006</v>
          </cell>
          <cell r="N51">
            <v>4.3736000000000006</v>
          </cell>
          <cell r="O51">
            <v>5.2620000000000022</v>
          </cell>
          <cell r="P51">
            <v>-1.6010000000000009</v>
          </cell>
          <cell r="Q51">
            <v>-0.55999999999999961</v>
          </cell>
          <cell r="R51">
            <v>2.2970699999999979</v>
          </cell>
          <cell r="S51">
            <v>1.9884675000000058</v>
          </cell>
          <cell r="T51">
            <v>3.0882500000000057</v>
          </cell>
          <cell r="U51">
            <v>-0.49500000000000099</v>
          </cell>
          <cell r="V51">
            <v>-2.695999999999998</v>
          </cell>
          <cell r="W51">
            <v>1.9039999999999999</v>
          </cell>
          <cell r="X51">
            <v>-0.71332500000002597</v>
          </cell>
          <cell r="Y51">
            <v>1.6280000000000001</v>
          </cell>
          <cell r="Z51">
            <v>0.1980000000000004</v>
          </cell>
          <cell r="AA51">
            <v>1.1989999999999981</v>
          </cell>
          <cell r="AB51">
            <v>0.91799999999999926</v>
          </cell>
          <cell r="AC51">
            <v>3.9429999999999978</v>
          </cell>
        </row>
        <row r="52">
          <cell r="A52" t="str">
            <v>Other Marketing costs</v>
          </cell>
          <cell r="D52">
            <v>5.5563300000000027</v>
          </cell>
          <cell r="E52">
            <v>1.7473300000000025</v>
          </cell>
          <cell r="F52">
            <v>-0.36076000000000019</v>
          </cell>
          <cell r="G52">
            <v>-5.74078</v>
          </cell>
          <cell r="H52">
            <v>1.2976900000000007</v>
          </cell>
          <cell r="I52">
            <v>0.26732000000000156</v>
          </cell>
          <cell r="J52">
            <v>0.48859999999999948</v>
          </cell>
          <cell r="K52">
            <v>-0.31400000000000022</v>
          </cell>
          <cell r="L52">
            <v>-0.3</v>
          </cell>
          <cell r="M52">
            <v>-0.13999999999999949</v>
          </cell>
          <cell r="N52">
            <v>-0.26540000000000019</v>
          </cell>
          <cell r="O52">
            <v>-0.4</v>
          </cell>
          <cell r="P52">
            <v>-0.1</v>
          </cell>
          <cell r="Q52">
            <v>-1.7</v>
          </cell>
          <cell r="R52">
            <v>-4</v>
          </cell>
          <cell r="S52">
            <v>-6.2</v>
          </cell>
          <cell r="T52">
            <v>-0.1</v>
          </cell>
          <cell r="U52">
            <v>-0.5</v>
          </cell>
          <cell r="V52">
            <v>1.3</v>
          </cell>
          <cell r="W52">
            <v>0</v>
          </cell>
          <cell r="X52">
            <v>0.7</v>
          </cell>
          <cell r="Y52">
            <v>-1</v>
          </cell>
          <cell r="Z52">
            <v>-0.25</v>
          </cell>
          <cell r="AA52">
            <v>-0.25</v>
          </cell>
          <cell r="AB52">
            <v>-0.25</v>
          </cell>
          <cell r="AC52">
            <v>-1.75</v>
          </cell>
        </row>
        <row r="53">
          <cell r="A53" t="str">
            <v>Marketing Margin</v>
          </cell>
          <cell r="D53">
            <v>0.72699999999999998</v>
          </cell>
          <cell r="E53">
            <v>4.3380000000000001</v>
          </cell>
          <cell r="F53">
            <v>-0.83299999999999996</v>
          </cell>
          <cell r="G53">
            <v>-0.08</v>
          </cell>
          <cell r="H53">
            <v>0.48499999999999999</v>
          </cell>
          <cell r="I53">
            <v>3.91</v>
          </cell>
          <cell r="J53">
            <v>2.5870000000000002</v>
          </cell>
          <cell r="K53">
            <v>0.3</v>
          </cell>
          <cell r="L53">
            <v>0.40800000000000053</v>
          </cell>
          <cell r="M53">
            <v>1.0640000000000012</v>
          </cell>
          <cell r="N53">
            <v>4.3590000000000018</v>
          </cell>
          <cell r="O53">
            <v>4.8620000000000019</v>
          </cell>
          <cell r="P53">
            <v>-1.701000000000001</v>
          </cell>
          <cell r="Q53">
            <v>-2.2599999999999998</v>
          </cell>
          <cell r="R53">
            <v>-1.7029300000000021</v>
          </cell>
          <cell r="S53">
            <v>-0.80193000000000092</v>
          </cell>
          <cell r="T53">
            <v>2.9882500000000056</v>
          </cell>
          <cell r="U53">
            <v>-0.99500000000000099</v>
          </cell>
          <cell r="V53">
            <v>-1.3959999999999979</v>
          </cell>
          <cell r="W53">
            <v>1.9039999999999999</v>
          </cell>
          <cell r="X53">
            <v>2.5012500000000069</v>
          </cell>
          <cell r="Y53">
            <v>0.95199999999999996</v>
          </cell>
          <cell r="Z53">
            <v>-5.1999999999999602E-2</v>
          </cell>
          <cell r="AA53">
            <v>0.94899999999999807</v>
          </cell>
          <cell r="AB53">
            <v>0.66799999999999926</v>
          </cell>
          <cell r="AC53">
            <v>2.5169999999999977</v>
          </cell>
          <cell r="AD53">
            <v>2.09</v>
          </cell>
          <cell r="AE53">
            <v>0.7</v>
          </cell>
          <cell r="AF53">
            <v>0.97099999999999997</v>
          </cell>
          <cell r="AG53">
            <v>1.4339999999999999</v>
          </cell>
          <cell r="AH53">
            <v>5.1950000000000003</v>
          </cell>
          <cell r="AI53">
            <v>0.497</v>
          </cell>
          <cell r="AJ53">
            <v>0.93200000000000005</v>
          </cell>
          <cell r="AK53">
            <v>1.0529999999999999</v>
          </cell>
          <cell r="AL53">
            <v>1.629</v>
          </cell>
          <cell r="AM53">
            <v>4.1110000000000007</v>
          </cell>
          <cell r="AN53">
            <v>1.387</v>
          </cell>
          <cell r="AO53">
            <v>1.143</v>
          </cell>
          <cell r="AP53">
            <v>1.095</v>
          </cell>
          <cell r="AQ53">
            <v>1.91</v>
          </cell>
          <cell r="AR53">
            <v>5.5350000000000001</v>
          </cell>
          <cell r="AS53">
            <v>0.88300000000000001</v>
          </cell>
          <cell r="AT53">
            <v>1.056</v>
          </cell>
          <cell r="AU53">
            <v>0.90500000000000003</v>
          </cell>
          <cell r="AV53">
            <v>1.546</v>
          </cell>
          <cell r="AW53">
            <v>4.3900000000000006</v>
          </cell>
          <cell r="AX53">
            <v>1.4510000000000001</v>
          </cell>
          <cell r="AY53">
            <v>1.2</v>
          </cell>
          <cell r="AZ53">
            <v>1.23</v>
          </cell>
          <cell r="BA53">
            <v>1.6040000000000001</v>
          </cell>
          <cell r="BB53">
            <v>5.4849999999999994</v>
          </cell>
        </row>
        <row r="56">
          <cell r="A56" t="str">
            <v>CRUDE OIL PRODUCTION</v>
          </cell>
          <cell r="B56">
            <v>1988</v>
          </cell>
          <cell r="C56">
            <v>1989</v>
          </cell>
          <cell r="D56">
            <v>1990</v>
          </cell>
          <cell r="E56" t="str">
            <v>1q</v>
          </cell>
          <cell r="F56" t="str">
            <v>2q</v>
          </cell>
          <cell r="G56" t="str">
            <v>3q</v>
          </cell>
          <cell r="H56" t="str">
            <v>4q</v>
          </cell>
          <cell r="I56">
            <v>1991</v>
          </cell>
          <cell r="J56" t="str">
            <v>1q</v>
          </cell>
          <cell r="K56" t="str">
            <v>2q'</v>
          </cell>
          <cell r="L56" t="str">
            <v>3q</v>
          </cell>
          <cell r="M56" t="str">
            <v>4q</v>
          </cell>
          <cell r="N56" t="str">
            <v>1992</v>
          </cell>
          <cell r="O56" t="str">
            <v>1q</v>
          </cell>
          <cell r="P56" t="str">
            <v xml:space="preserve">2q </v>
          </cell>
          <cell r="Q56" t="str">
            <v>3q*</v>
          </cell>
          <cell r="R56" t="str">
            <v>4q</v>
          </cell>
          <cell r="S56">
            <v>1993</v>
          </cell>
          <cell r="T56" t="str">
            <v>1q</v>
          </cell>
          <cell r="U56" t="str">
            <v>2q</v>
          </cell>
          <cell r="V56" t="str">
            <v>3q</v>
          </cell>
          <cell r="W56" t="str">
            <v>4q</v>
          </cell>
          <cell r="X56" t="str">
            <v>1994</v>
          </cell>
          <cell r="Y56" t="str">
            <v>1q</v>
          </cell>
          <cell r="Z56" t="str">
            <v>2q</v>
          </cell>
          <cell r="AA56" t="str">
            <v>3q</v>
          </cell>
          <cell r="AB56" t="str">
            <v>4q</v>
          </cell>
          <cell r="AC56">
            <v>1995</v>
          </cell>
          <cell r="AD56" t="str">
            <v>1q</v>
          </cell>
          <cell r="AE56" t="str">
            <v>2q</v>
          </cell>
          <cell r="AF56" t="str">
            <v>3q</v>
          </cell>
          <cell r="AG56" t="str">
            <v>4q</v>
          </cell>
          <cell r="AH56" t="str">
            <v>1996</v>
          </cell>
          <cell r="AI56" t="str">
            <v>1q</v>
          </cell>
          <cell r="AJ56" t="str">
            <v>2q</v>
          </cell>
          <cell r="AK56" t="str">
            <v>3q</v>
          </cell>
          <cell r="AL56" t="str">
            <v>4q</v>
          </cell>
          <cell r="AM56" t="str">
            <v>1997</v>
          </cell>
          <cell r="AN56" t="str">
            <v>1q</v>
          </cell>
          <cell r="AO56" t="str">
            <v>2q</v>
          </cell>
          <cell r="AP56" t="str">
            <v>3q</v>
          </cell>
          <cell r="AQ56" t="str">
            <v>4q</v>
          </cell>
          <cell r="AR56" t="str">
            <v>1998</v>
          </cell>
          <cell r="AS56" t="str">
            <v>1q</v>
          </cell>
          <cell r="AT56" t="str">
            <v>2q</v>
          </cell>
          <cell r="AU56" t="str">
            <v>3q</v>
          </cell>
          <cell r="AV56" t="str">
            <v>4q</v>
          </cell>
          <cell r="AW56" t="str">
            <v>1999</v>
          </cell>
          <cell r="AX56" t="str">
            <v>1q</v>
          </cell>
          <cell r="AY56" t="str">
            <v>2q</v>
          </cell>
          <cell r="AZ56" t="str">
            <v>3q</v>
          </cell>
          <cell r="BA56" t="str">
            <v>4q</v>
          </cell>
          <cell r="BB56">
            <v>2000</v>
          </cell>
        </row>
        <row r="57">
          <cell r="A57" t="str">
            <v>Daily (MBbls)</v>
          </cell>
          <cell r="B57">
            <v>0.20599999999999999</v>
          </cell>
          <cell r="C57">
            <v>0.156</v>
          </cell>
          <cell r="D57">
            <v>0.48</v>
          </cell>
          <cell r="E57">
            <v>0.4</v>
          </cell>
          <cell r="F57">
            <v>0.4</v>
          </cell>
          <cell r="G57">
            <v>0.4</v>
          </cell>
          <cell r="H57">
            <v>0.4</v>
          </cell>
          <cell r="I57">
            <v>0.4</v>
          </cell>
          <cell r="J57">
            <v>0.41</v>
          </cell>
          <cell r="K57">
            <v>0.41760000000000003</v>
          </cell>
          <cell r="L57">
            <v>0.43</v>
          </cell>
          <cell r="M57">
            <v>0.4</v>
          </cell>
          <cell r="N57">
            <v>0.4</v>
          </cell>
          <cell r="O57">
            <v>0.43</v>
          </cell>
          <cell r="P57">
            <v>1.0329999999999999</v>
          </cell>
          <cell r="Q57">
            <v>1.1200000000000001</v>
          </cell>
          <cell r="R57">
            <v>1.1413043478260869</v>
          </cell>
          <cell r="S57">
            <v>0.93354246575342459</v>
          </cell>
          <cell r="T57">
            <v>1.02</v>
          </cell>
          <cell r="U57">
            <v>1.8791208791208791</v>
          </cell>
          <cell r="V57">
            <v>2.3043478260869565</v>
          </cell>
          <cell r="W57">
            <v>2.4239130434782608</v>
          </cell>
          <cell r="X57">
            <v>1.9117808219178081</v>
          </cell>
          <cell r="Y57">
            <v>2.0555555555555554</v>
          </cell>
          <cell r="Z57">
            <v>1.8241758241758241</v>
          </cell>
          <cell r="AA57">
            <v>1.2934782608695652</v>
          </cell>
          <cell r="AB57">
            <v>1.6086956521739131</v>
          </cell>
          <cell r="AC57">
            <v>1.6931506849315068</v>
          </cell>
          <cell r="AD57">
            <v>1.5111111111111111</v>
          </cell>
          <cell r="AE57">
            <v>1.5714285714285714</v>
          </cell>
          <cell r="AF57">
            <v>1.5978260869565217</v>
          </cell>
          <cell r="AG57">
            <v>1.2717391304347827</v>
          </cell>
          <cell r="AH57">
            <v>1.4876712328767123</v>
          </cell>
          <cell r="AI57">
            <v>1.5777777777777777</v>
          </cell>
          <cell r="AJ57">
            <v>1.6813186813186813</v>
          </cell>
          <cell r="AK57">
            <v>1.5108695652173914</v>
          </cell>
          <cell r="AL57">
            <v>1.5217391304347827</v>
          </cell>
          <cell r="AM57">
            <v>1.5726027397260274</v>
          </cell>
          <cell r="AN57">
            <v>1.5444444444444445</v>
          </cell>
          <cell r="AO57">
            <v>1.5494505494505495</v>
          </cell>
          <cell r="AP57">
            <v>1.8913043478260869</v>
          </cell>
          <cell r="AQ57">
            <v>1.9456521739130435</v>
          </cell>
          <cell r="AR57">
            <v>1.7342465753424658</v>
          </cell>
          <cell r="AS57">
            <v>2.6555555555555554</v>
          </cell>
          <cell r="AT57">
            <v>2.6703296703296702</v>
          </cell>
          <cell r="AU57">
            <v>2.6304347826086958</v>
          </cell>
          <cell r="AV57">
            <v>2.4456521739130435</v>
          </cell>
          <cell r="AW57">
            <v>2.6</v>
          </cell>
          <cell r="AX57">
            <v>2.2197802197802199</v>
          </cell>
          <cell r="AY57">
            <v>2.2527472527472527</v>
          </cell>
          <cell r="AZ57">
            <v>2.8260869565217392</v>
          </cell>
          <cell r="BA57">
            <v>3.2282608695652173</v>
          </cell>
          <cell r="BB57">
            <v>2.6338797814207648</v>
          </cell>
        </row>
        <row r="58">
          <cell r="A58" t="str">
            <v>Period (MBbls)</v>
          </cell>
          <cell r="B58">
            <v>75.396000000000001</v>
          </cell>
          <cell r="C58">
            <v>56.94</v>
          </cell>
          <cell r="D58">
            <v>175.2</v>
          </cell>
          <cell r="E58">
            <v>36</v>
          </cell>
          <cell r="F58">
            <v>36.4</v>
          </cell>
          <cell r="G58">
            <v>36.800000000000004</v>
          </cell>
          <cell r="H58">
            <v>36.800000000000004</v>
          </cell>
          <cell r="I58">
            <v>146</v>
          </cell>
          <cell r="J58">
            <v>37.309999999999995</v>
          </cell>
          <cell r="K58">
            <v>38.001600000000003</v>
          </cell>
          <cell r="L58">
            <v>39.56</v>
          </cell>
          <cell r="M58">
            <v>36.800000000000004</v>
          </cell>
          <cell r="N58">
            <v>146</v>
          </cell>
          <cell r="O58">
            <v>38.700000000000003</v>
          </cell>
          <cell r="P58">
            <v>94.002999999999986</v>
          </cell>
          <cell r="Q58">
            <v>103.04</v>
          </cell>
          <cell r="R58">
            <v>105</v>
          </cell>
          <cell r="S58">
            <v>340.74299999999999</v>
          </cell>
          <cell r="T58">
            <v>91.8</v>
          </cell>
          <cell r="U58">
            <v>171</v>
          </cell>
          <cell r="V58">
            <v>212</v>
          </cell>
          <cell r="W58">
            <v>223</v>
          </cell>
          <cell r="X58">
            <v>697.8</v>
          </cell>
          <cell r="Y58">
            <v>185</v>
          </cell>
          <cell r="Z58">
            <v>166</v>
          </cell>
          <cell r="AA58">
            <v>119</v>
          </cell>
          <cell r="AB58">
            <v>148</v>
          </cell>
          <cell r="AC58">
            <v>618</v>
          </cell>
          <cell r="AD58">
            <v>136</v>
          </cell>
          <cell r="AE58">
            <v>143</v>
          </cell>
          <cell r="AF58">
            <v>147</v>
          </cell>
          <cell r="AG58">
            <v>117</v>
          </cell>
          <cell r="AH58">
            <v>543</v>
          </cell>
          <cell r="AI58">
            <v>142</v>
          </cell>
          <cell r="AJ58">
            <v>153</v>
          </cell>
          <cell r="AK58">
            <v>139</v>
          </cell>
          <cell r="AL58">
            <v>140</v>
          </cell>
          <cell r="AM58">
            <v>574</v>
          </cell>
          <cell r="AN58">
            <v>139</v>
          </cell>
          <cell r="AO58">
            <v>141</v>
          </cell>
          <cell r="AP58">
            <v>174</v>
          </cell>
          <cell r="AQ58">
            <v>179</v>
          </cell>
          <cell r="AR58">
            <v>633</v>
          </cell>
          <cell r="AS58">
            <v>239</v>
          </cell>
          <cell r="AT58">
            <v>243</v>
          </cell>
          <cell r="AU58">
            <v>242</v>
          </cell>
          <cell r="AV58">
            <v>225</v>
          </cell>
          <cell r="AW58">
            <v>949</v>
          </cell>
          <cell r="AX58">
            <v>202</v>
          </cell>
          <cell r="AY58">
            <v>205</v>
          </cell>
          <cell r="AZ58">
            <v>260</v>
          </cell>
          <cell r="BA58">
            <v>297</v>
          </cell>
          <cell r="BB58">
            <v>964</v>
          </cell>
        </row>
        <row r="59">
          <cell r="AU59" t="str">
            <v xml:space="preserve"> </v>
          </cell>
          <cell r="AZ59" t="str">
            <v xml:space="preserve"> </v>
          </cell>
        </row>
        <row r="60">
          <cell r="A60" t="str">
            <v>Price ($/Bbl)</v>
          </cell>
          <cell r="B60">
            <v>19.489999999999998</v>
          </cell>
          <cell r="C60">
            <v>18.239999999999998</v>
          </cell>
          <cell r="D60">
            <v>19.63</v>
          </cell>
          <cell r="E60">
            <v>19.02</v>
          </cell>
          <cell r="F60">
            <v>19.23</v>
          </cell>
          <cell r="G60">
            <v>19.96</v>
          </cell>
          <cell r="H60">
            <v>20.95</v>
          </cell>
          <cell r="I60">
            <v>19.8</v>
          </cell>
          <cell r="J60">
            <v>17.73</v>
          </cell>
          <cell r="K60">
            <v>19.11</v>
          </cell>
          <cell r="L60">
            <v>20.87</v>
          </cell>
          <cell r="M60">
            <v>18.32</v>
          </cell>
          <cell r="N60">
            <v>19.0075</v>
          </cell>
          <cell r="O60">
            <v>17.899999999999999</v>
          </cell>
          <cell r="P60">
            <v>18.68</v>
          </cell>
          <cell r="Q60">
            <v>15.71</v>
          </cell>
          <cell r="R60">
            <v>15.01</v>
          </cell>
          <cell r="S60">
            <v>16.824999999999999</v>
          </cell>
          <cell r="T60">
            <v>13.43</v>
          </cell>
          <cell r="U60">
            <v>16.38</v>
          </cell>
          <cell r="V60">
            <v>17.920000000000002</v>
          </cell>
          <cell r="W60">
            <v>16.86</v>
          </cell>
          <cell r="X60">
            <v>16.147500000000001</v>
          </cell>
          <cell r="Y60">
            <v>16.84</v>
          </cell>
          <cell r="Z60">
            <v>19</v>
          </cell>
          <cell r="AA60">
            <v>17.829999999999998</v>
          </cell>
          <cell r="AB60">
            <v>18.23</v>
          </cell>
          <cell r="AC60">
            <v>17.975000000000001</v>
          </cell>
          <cell r="AD60">
            <v>19.55</v>
          </cell>
          <cell r="AE60">
            <v>20.53</v>
          </cell>
          <cell r="AF60">
            <v>20.92</v>
          </cell>
          <cell r="AG60">
            <v>23.88</v>
          </cell>
          <cell r="AH60">
            <v>21.22</v>
          </cell>
          <cell r="AI60">
            <v>22.59</v>
          </cell>
          <cell r="AJ60">
            <v>19.239999999999998</v>
          </cell>
          <cell r="AK60">
            <v>19.57</v>
          </cell>
          <cell r="AL60">
            <v>19.11</v>
          </cell>
          <cell r="AM60">
            <v>20.127499999999998</v>
          </cell>
          <cell r="AN60">
            <v>15.5</v>
          </cell>
          <cell r="AO60">
            <v>13.55</v>
          </cell>
          <cell r="AP60">
            <v>12.35</v>
          </cell>
          <cell r="AQ60">
            <v>11.69</v>
          </cell>
          <cell r="AR60">
            <v>13.272499999999999</v>
          </cell>
          <cell r="AS60">
            <v>11.53</v>
          </cell>
          <cell r="AT60">
            <v>16.2</v>
          </cell>
          <cell r="AU60">
            <v>20.23</v>
          </cell>
          <cell r="AV60">
            <v>20.92</v>
          </cell>
          <cell r="AW60">
            <v>17.22</v>
          </cell>
          <cell r="AX60">
            <v>22.19</v>
          </cell>
          <cell r="AY60">
            <v>22.66</v>
          </cell>
          <cell r="AZ60">
            <v>29.72</v>
          </cell>
          <cell r="BA60">
            <v>30.23</v>
          </cell>
          <cell r="BB60">
            <v>26.2</v>
          </cell>
        </row>
        <row r="62">
          <cell r="A62" t="str">
            <v>Crude Production Revenue</v>
          </cell>
        </row>
        <row r="63">
          <cell r="A63" t="str">
            <v>Daily ($ 000s)</v>
          </cell>
          <cell r="B63">
            <v>4.0149399999999993</v>
          </cell>
          <cell r="C63">
            <v>2.84544</v>
          </cell>
          <cell r="D63">
            <v>9.4223999999999997</v>
          </cell>
          <cell r="E63">
            <v>7.6080000000000005</v>
          </cell>
          <cell r="F63">
            <v>7.6920000000000002</v>
          </cell>
          <cell r="G63">
            <v>7.9840000000000009</v>
          </cell>
          <cell r="H63">
            <v>8.3800000000000008</v>
          </cell>
          <cell r="I63">
            <v>7.9200000000000008</v>
          </cell>
          <cell r="J63">
            <v>7.2692999999999994</v>
          </cell>
          <cell r="K63">
            <v>7.9803360000000003</v>
          </cell>
          <cell r="L63">
            <v>8.9741</v>
          </cell>
          <cell r="M63">
            <v>7.3280000000000003</v>
          </cell>
          <cell r="N63">
            <v>7.6030000000000006</v>
          </cell>
          <cell r="O63">
            <v>7.6969999999999992</v>
          </cell>
          <cell r="P63">
            <v>19.296439999999997</v>
          </cell>
          <cell r="Q63">
            <v>17.595200000000002</v>
          </cell>
          <cell r="R63">
            <v>17.130978260869565</v>
          </cell>
          <cell r="S63">
            <v>15.706851986301368</v>
          </cell>
          <cell r="T63">
            <v>13.698600000000001</v>
          </cell>
          <cell r="U63">
            <v>30.779999999999998</v>
          </cell>
          <cell r="V63">
            <v>41.293913043478263</v>
          </cell>
          <cell r="W63">
            <v>40.867173913043473</v>
          </cell>
          <cell r="X63">
            <v>30.870480821917809</v>
          </cell>
          <cell r="Y63">
            <v>34.615555555555552</v>
          </cell>
          <cell r="Z63">
            <v>34.659340659340657</v>
          </cell>
          <cell r="AA63">
            <v>23.062717391304346</v>
          </cell>
          <cell r="AB63">
            <v>29.326521739130435</v>
          </cell>
          <cell r="AC63">
            <v>30.381397260273978</v>
          </cell>
          <cell r="AD63">
            <v>29.542222222222222</v>
          </cell>
          <cell r="AE63">
            <v>32.261428571428574</v>
          </cell>
          <cell r="AF63">
            <v>33.426521739130436</v>
          </cell>
          <cell r="AG63">
            <v>30.369130434782608</v>
          </cell>
          <cell r="AH63">
            <v>31.568383561643834</v>
          </cell>
          <cell r="AI63">
            <v>35.641999999999996</v>
          </cell>
          <cell r="AJ63">
            <v>32.348571428571425</v>
          </cell>
          <cell r="AK63">
            <v>29.567717391304349</v>
          </cell>
          <cell r="AL63">
            <v>29.080434782608698</v>
          </cell>
          <cell r="AM63">
            <v>31.652561643835611</v>
          </cell>
          <cell r="AN63">
            <v>23.93888888888889</v>
          </cell>
          <cell r="AO63">
            <v>20.995054945054946</v>
          </cell>
          <cell r="AP63">
            <v>23.357608695652171</v>
          </cell>
          <cell r="AQ63">
            <v>22.744673913043478</v>
          </cell>
          <cell r="AR63">
            <v>23.017787671232877</v>
          </cell>
          <cell r="AS63">
            <v>30.618555555555552</v>
          </cell>
          <cell r="AT63">
            <v>43.259340659340651</v>
          </cell>
          <cell r="AU63">
            <v>53.213695652173918</v>
          </cell>
          <cell r="AV63">
            <v>51.163043478260875</v>
          </cell>
          <cell r="AW63">
            <v>44.771999999999998</v>
          </cell>
          <cell r="AX63">
            <v>49.25692307692308</v>
          </cell>
          <cell r="AY63">
            <v>51.047252747252749</v>
          </cell>
          <cell r="AZ63">
            <v>83.991304347826087</v>
          </cell>
          <cell r="BA63">
            <v>97.590326086956523</v>
          </cell>
          <cell r="BB63">
            <v>69.00765027322403</v>
          </cell>
        </row>
        <row r="64">
          <cell r="A64" t="str">
            <v>Period ($ Millions)</v>
          </cell>
          <cell r="B64">
            <v>1.46946804</v>
          </cell>
          <cell r="C64">
            <v>1.0385855999999998</v>
          </cell>
          <cell r="D64">
            <v>3.4391759999999993</v>
          </cell>
          <cell r="E64">
            <v>0.68472</v>
          </cell>
          <cell r="F64">
            <v>0.69997199999999993</v>
          </cell>
          <cell r="G64">
            <v>0.73452800000000018</v>
          </cell>
          <cell r="H64">
            <v>0.77096000000000009</v>
          </cell>
          <cell r="I64">
            <v>2.8908</v>
          </cell>
          <cell r="J64">
            <v>0.66150629999999988</v>
          </cell>
          <cell r="K64">
            <v>0.72621057600000005</v>
          </cell>
          <cell r="L64">
            <v>0.9</v>
          </cell>
          <cell r="M64">
            <v>0.674176</v>
          </cell>
          <cell r="N64">
            <v>2.7750950000000003</v>
          </cell>
          <cell r="O64">
            <v>0.69273000000000007</v>
          </cell>
          <cell r="P64">
            <v>1.7559760399999997</v>
          </cell>
          <cell r="Q64">
            <v>1.6187584000000002</v>
          </cell>
          <cell r="R64">
            <v>1.57605</v>
          </cell>
          <cell r="S64">
            <v>5.7330009749999995</v>
          </cell>
          <cell r="T64">
            <v>1.232874</v>
          </cell>
          <cell r="U64">
            <v>2.80098</v>
          </cell>
          <cell r="V64">
            <v>3.7990400000000006</v>
          </cell>
          <cell r="W64">
            <v>3.7597799999999997</v>
          </cell>
          <cell r="X64">
            <v>11.267725500000001</v>
          </cell>
          <cell r="Y64">
            <v>3.1154000000000002</v>
          </cell>
          <cell r="Z64">
            <v>3.1539999999999999</v>
          </cell>
          <cell r="AA64">
            <v>2.1217700000000002</v>
          </cell>
          <cell r="AB64">
            <v>2.6980399999999998</v>
          </cell>
          <cell r="AC64">
            <v>11.089210000000001</v>
          </cell>
          <cell r="AD64">
            <v>2.6588000000000003</v>
          </cell>
          <cell r="AE64">
            <v>2.9357899999999999</v>
          </cell>
          <cell r="AF64">
            <v>3.0752400000000004</v>
          </cell>
          <cell r="AG64">
            <v>2.7939600000000002</v>
          </cell>
          <cell r="AH64">
            <v>11.522459999999999</v>
          </cell>
          <cell r="AI64">
            <v>3.2077800000000001</v>
          </cell>
          <cell r="AJ64">
            <v>2.9437199999999999</v>
          </cell>
          <cell r="AK64">
            <v>2.7202299999999999</v>
          </cell>
          <cell r="AL64">
            <v>2.6754000000000002</v>
          </cell>
          <cell r="AM64">
            <v>11.553184999999999</v>
          </cell>
          <cell r="AN64">
            <v>2.1545000000000001</v>
          </cell>
          <cell r="AO64">
            <v>1.9105500000000002</v>
          </cell>
          <cell r="AP64">
            <v>2.1489000000000003</v>
          </cell>
          <cell r="AQ64">
            <v>2.0925099999999999</v>
          </cell>
          <cell r="AR64">
            <v>8.4014924999999998</v>
          </cell>
          <cell r="AS64">
            <v>2.7556700000000003</v>
          </cell>
          <cell r="AT64">
            <v>3.9365999999999999</v>
          </cell>
          <cell r="AU64">
            <v>4.8956599999999995</v>
          </cell>
          <cell r="AV64">
            <v>4.7069999999999999</v>
          </cell>
          <cell r="AW64">
            <v>16.34178</v>
          </cell>
          <cell r="AX64">
            <v>4.48238</v>
          </cell>
          <cell r="AY64">
            <v>4.6452999999999998</v>
          </cell>
          <cell r="AZ64">
            <v>7.7271999999999998</v>
          </cell>
          <cell r="BA64">
            <v>8.9783099999999987</v>
          </cell>
          <cell r="BB64">
            <v>25.256799999999998</v>
          </cell>
        </row>
        <row r="66">
          <cell r="A66" t="str">
            <v>Ngls</v>
          </cell>
        </row>
        <row r="67">
          <cell r="A67" t="str">
            <v xml:space="preserve">Quarter </v>
          </cell>
          <cell r="Y67">
            <v>38</v>
          </cell>
          <cell r="AD67">
            <v>20</v>
          </cell>
          <cell r="AE67">
            <v>20</v>
          </cell>
          <cell r="AF67">
            <v>20</v>
          </cell>
          <cell r="AG67">
            <v>15</v>
          </cell>
          <cell r="AH67">
            <v>75</v>
          </cell>
          <cell r="AI67">
            <v>13</v>
          </cell>
          <cell r="AJ67">
            <v>13</v>
          </cell>
          <cell r="AK67">
            <v>14</v>
          </cell>
          <cell r="AL67">
            <v>17</v>
          </cell>
          <cell r="AM67">
            <v>57</v>
          </cell>
          <cell r="AN67">
            <v>14.25</v>
          </cell>
          <cell r="AO67">
            <v>29</v>
          </cell>
          <cell r="AP67">
            <v>16</v>
          </cell>
          <cell r="AQ67">
            <v>15</v>
          </cell>
          <cell r="AR67">
            <v>74.25</v>
          </cell>
        </row>
        <row r="68">
          <cell r="A68" t="str">
            <v>$/Bbl</v>
          </cell>
          <cell r="AD68">
            <v>11.73</v>
          </cell>
          <cell r="AE68">
            <v>12.318</v>
          </cell>
          <cell r="AF68">
            <v>12.552000000000001</v>
          </cell>
          <cell r="AG68">
            <v>14.327999999999999</v>
          </cell>
          <cell r="AH68">
            <v>12.731999999999999</v>
          </cell>
          <cell r="AI68">
            <v>13.554</v>
          </cell>
          <cell r="AJ68">
            <v>11.543999999999999</v>
          </cell>
          <cell r="AK68">
            <v>11.741999999999999</v>
          </cell>
          <cell r="AL68">
            <v>12.4215</v>
          </cell>
          <cell r="AM68">
            <v>12.076499999999998</v>
          </cell>
          <cell r="AN68">
            <v>9.2999999999999989</v>
          </cell>
          <cell r="AO68">
            <v>8.1300000000000008</v>
          </cell>
          <cell r="AP68">
            <v>7.4099999999999993</v>
          </cell>
          <cell r="AQ68">
            <v>7.0139999999999993</v>
          </cell>
          <cell r="AR68">
            <v>7.9634999999999998</v>
          </cell>
        </row>
        <row r="69">
          <cell r="A69" t="str">
            <v>Period Revenue ($ Millions)</v>
          </cell>
          <cell r="AD69">
            <v>234.60000000000002</v>
          </cell>
          <cell r="AE69">
            <v>246.35999999999999</v>
          </cell>
          <cell r="AF69">
            <v>251.04000000000002</v>
          </cell>
          <cell r="AG69">
            <v>214.92</v>
          </cell>
          <cell r="AH69">
            <v>946.92</v>
          </cell>
          <cell r="AI69">
            <v>176.202</v>
          </cell>
          <cell r="AJ69">
            <v>150.07199999999997</v>
          </cell>
          <cell r="AK69">
            <v>164.38799999999998</v>
          </cell>
          <cell r="AL69">
            <v>211.16550000000001</v>
          </cell>
          <cell r="AM69">
            <v>701.82749999999999</v>
          </cell>
          <cell r="AN69">
            <v>132.52499999999998</v>
          </cell>
          <cell r="AO69">
            <v>235.77</v>
          </cell>
          <cell r="AP69">
            <v>118.55999999999999</v>
          </cell>
          <cell r="AQ69">
            <v>105.21</v>
          </cell>
          <cell r="AR69">
            <v>592.06499999999994</v>
          </cell>
        </row>
        <row r="71">
          <cell r="A71" t="str">
            <v>PERIOD ENERGY EQUIVALENT PRODUCTION UNITS</v>
          </cell>
        </row>
        <row r="72">
          <cell r="A72" t="str">
            <v>Bcfe</v>
          </cell>
          <cell r="B72">
            <v>22.152376</v>
          </cell>
          <cell r="C72">
            <v>36.141639999999995</v>
          </cell>
          <cell r="D72">
            <v>40.726700000000001</v>
          </cell>
          <cell r="E72">
            <v>11.061</v>
          </cell>
          <cell r="F72">
            <v>10.683400000000001</v>
          </cell>
          <cell r="G72">
            <v>10.497199999999999</v>
          </cell>
          <cell r="H72">
            <v>12.208400000000001</v>
          </cell>
          <cell r="I72">
            <v>44.457000000000001</v>
          </cell>
          <cell r="J72">
            <v>12.523860000000001</v>
          </cell>
          <cell r="K72">
            <v>11.512009599999999</v>
          </cell>
          <cell r="L72">
            <v>10.93736</v>
          </cell>
          <cell r="M72">
            <v>11.3848</v>
          </cell>
          <cell r="N72">
            <v>46.384</v>
          </cell>
          <cell r="O72">
            <v>11.347200000000001</v>
          </cell>
          <cell r="P72">
            <v>11.575018</v>
          </cell>
          <cell r="Q72">
            <v>12.210239999999999</v>
          </cell>
          <cell r="R72">
            <v>13.430000000000001</v>
          </cell>
          <cell r="S72">
            <v>48.562457999999999</v>
          </cell>
          <cell r="T72">
            <v>12.850800000000001</v>
          </cell>
          <cell r="U72">
            <v>15.667899999999999</v>
          </cell>
          <cell r="V72">
            <v>17.122</v>
          </cell>
          <cell r="W72">
            <v>16.748000000000001</v>
          </cell>
          <cell r="X72">
            <v>62.388699999999993</v>
          </cell>
          <cell r="Y72">
            <v>16.510000000000002</v>
          </cell>
          <cell r="Z72">
            <v>15.896000000000001</v>
          </cell>
          <cell r="AA72">
            <v>14.013999999999999</v>
          </cell>
          <cell r="AB72">
            <v>15.087999999999999</v>
          </cell>
          <cell r="AC72">
            <v>61.507999999999996</v>
          </cell>
          <cell r="AD72">
            <v>15.016</v>
          </cell>
          <cell r="AE72">
            <v>15.757999999999999</v>
          </cell>
          <cell r="AF72">
            <v>15.082000000000001</v>
          </cell>
          <cell r="AG72">
            <v>16.202000000000002</v>
          </cell>
          <cell r="AH72">
            <v>62.058</v>
          </cell>
          <cell r="AI72">
            <v>15.951999999999998</v>
          </cell>
          <cell r="AJ72">
            <v>16.917999999999999</v>
          </cell>
          <cell r="AK72">
            <v>17.533999999999999</v>
          </cell>
          <cell r="AL72">
            <v>16.939999999999998</v>
          </cell>
          <cell r="AM72">
            <v>67.343999999999994</v>
          </cell>
          <cell r="AN72">
            <v>16.334</v>
          </cell>
          <cell r="AO72">
            <v>17.445999999999998</v>
          </cell>
          <cell r="AP72">
            <v>17.544</v>
          </cell>
          <cell r="AQ72">
            <v>16.673999999999999</v>
          </cell>
          <cell r="AR72">
            <v>67.998000000000005</v>
          </cell>
          <cell r="AS72">
            <v>17.534000000000002</v>
          </cell>
          <cell r="AT72">
            <v>18.457999999999998</v>
          </cell>
          <cell r="AU72">
            <v>18.552</v>
          </cell>
          <cell r="AV72">
            <v>16.73</v>
          </cell>
          <cell r="AW72">
            <v>71.274000000000001</v>
          </cell>
          <cell r="AX72">
            <v>16.412000000000003</v>
          </cell>
          <cell r="AY72">
            <v>15.93</v>
          </cell>
          <cell r="AZ72">
            <v>17.059999999999999</v>
          </cell>
          <cell r="BA72">
            <v>17.282</v>
          </cell>
          <cell r="BB72">
            <v>66.683999999999997</v>
          </cell>
        </row>
        <row r="73">
          <cell r="A73" t="str">
            <v>MMBOEs</v>
          </cell>
          <cell r="B73">
            <v>3.6920626666666667</v>
          </cell>
          <cell r="C73">
            <v>6.0236066666666659</v>
          </cell>
          <cell r="D73">
            <v>6.7877833333333335</v>
          </cell>
          <cell r="E73">
            <v>1.8435000000000001</v>
          </cell>
          <cell r="F73">
            <v>1.7805666666666666</v>
          </cell>
          <cell r="G73">
            <v>1.7495333333333332</v>
          </cell>
          <cell r="H73">
            <v>2.0347333333333335</v>
          </cell>
          <cell r="I73">
            <v>7.4095000000000004</v>
          </cell>
          <cell r="J73">
            <v>2.0873100000000004</v>
          </cell>
          <cell r="K73">
            <v>1.9186682666666666</v>
          </cell>
          <cell r="L73">
            <v>1.8228933333333333</v>
          </cell>
          <cell r="M73">
            <v>1.8974666666666666</v>
          </cell>
          <cell r="N73">
            <v>7.730666666666667</v>
          </cell>
          <cell r="O73">
            <v>1.8912</v>
          </cell>
          <cell r="P73">
            <v>1.9291696666666667</v>
          </cell>
          <cell r="Q73">
            <v>2.0350399999999995</v>
          </cell>
          <cell r="R73">
            <v>2.2383333333333333</v>
          </cell>
          <cell r="S73">
            <v>8.0937429999999999</v>
          </cell>
          <cell r="T73">
            <v>2.1418000000000004</v>
          </cell>
          <cell r="U73">
            <v>2.6113166666666663</v>
          </cell>
          <cell r="V73">
            <v>2.8536666666666668</v>
          </cell>
          <cell r="W73">
            <v>2.7913333333333332</v>
          </cell>
          <cell r="X73">
            <v>10.398116666666667</v>
          </cell>
          <cell r="Y73">
            <v>2.7516666666666669</v>
          </cell>
          <cell r="Z73">
            <v>2.6493333333333333</v>
          </cell>
          <cell r="AA73">
            <v>2.3356666666666666</v>
          </cell>
          <cell r="AB73">
            <v>2.5146666666666668</v>
          </cell>
          <cell r="AC73">
            <v>10.251333333333333</v>
          </cell>
          <cell r="AD73">
            <v>2.5026666666666668</v>
          </cell>
          <cell r="AE73">
            <v>2.6263333333333327</v>
          </cell>
          <cell r="AF73">
            <v>2.5136666666666669</v>
          </cell>
          <cell r="AG73">
            <v>2.7003333333333335</v>
          </cell>
          <cell r="AH73">
            <v>10.342999999999998</v>
          </cell>
          <cell r="AI73">
            <v>2.6586666666666661</v>
          </cell>
          <cell r="AJ73">
            <v>2.8196666666666665</v>
          </cell>
          <cell r="AK73">
            <v>2.922333333333333</v>
          </cell>
          <cell r="AL73">
            <v>2.8233333333333333</v>
          </cell>
          <cell r="AM73">
            <v>11.224</v>
          </cell>
          <cell r="AN73">
            <v>2.7223333333333333</v>
          </cell>
          <cell r="AO73">
            <v>2.9076666666666662</v>
          </cell>
          <cell r="AP73">
            <v>2.9239999999999999</v>
          </cell>
          <cell r="AQ73">
            <v>2.7789999999999995</v>
          </cell>
          <cell r="AR73">
            <v>11.333000000000002</v>
          </cell>
          <cell r="AS73">
            <v>2.9223333333333334</v>
          </cell>
          <cell r="AT73">
            <v>3.0763333333333334</v>
          </cell>
          <cell r="AU73">
            <v>3.0920000000000001</v>
          </cell>
          <cell r="AV73">
            <v>2.7883333333333331</v>
          </cell>
          <cell r="AW73">
            <v>11.879</v>
          </cell>
          <cell r="AX73">
            <v>2.7353333333333336</v>
          </cell>
          <cell r="AY73">
            <v>2.6549999999999998</v>
          </cell>
          <cell r="AZ73">
            <v>2.8433333333333333</v>
          </cell>
          <cell r="BA73">
            <v>2.8803333333333336</v>
          </cell>
          <cell r="BB73">
            <v>11.114000000000001</v>
          </cell>
        </row>
        <row r="75">
          <cell r="A75" t="str">
            <v>MCFE ANALYSIS</v>
          </cell>
        </row>
        <row r="76">
          <cell r="A76" t="str">
            <v>$ Operating Expenses Per Energy Equivalent Unit(s)</v>
          </cell>
        </row>
        <row r="77">
          <cell r="A77" t="str">
            <v>Per Mcfe</v>
          </cell>
        </row>
        <row r="79">
          <cell r="A79" t="str">
            <v>Production</v>
          </cell>
          <cell r="B79">
            <v>1.1614555477028738</v>
          </cell>
          <cell r="C79">
            <v>0.61444361683642479</v>
          </cell>
          <cell r="D79">
            <v>0.64250233876056739</v>
          </cell>
          <cell r="E79">
            <v>0.55401862399421387</v>
          </cell>
          <cell r="F79">
            <v>0.61572158676076905</v>
          </cell>
          <cell r="G79">
            <v>0.59492055024196933</v>
          </cell>
          <cell r="H79">
            <v>0.53422233871760427</v>
          </cell>
          <cell r="I79">
            <v>0.57298063297118562</v>
          </cell>
          <cell r="J79">
            <v>0.47908552155645301</v>
          </cell>
          <cell r="K79">
            <v>0.51250825920089582</v>
          </cell>
          <cell r="L79">
            <v>0.55762999480679065</v>
          </cell>
          <cell r="M79">
            <v>0.57972032885953195</v>
          </cell>
          <cell r="N79">
            <v>0.53033373577095544</v>
          </cell>
          <cell r="O79">
            <v>0.60763888888888884</v>
          </cell>
          <cell r="P79">
            <v>0.60734246806354864</v>
          </cell>
          <cell r="Q79">
            <v>0.58147915192494171</v>
          </cell>
          <cell r="R79">
            <v>0.57289650037230078</v>
          </cell>
          <cell r="S79">
            <v>0.59138275084840219</v>
          </cell>
          <cell r="T79">
            <v>0.58043079030099287</v>
          </cell>
          <cell r="U79">
            <v>0.5550839614753732</v>
          </cell>
          <cell r="V79">
            <v>0.50981193785772683</v>
          </cell>
          <cell r="W79">
            <v>0.50441843802245045</v>
          </cell>
          <cell r="X79">
            <v>0.53427944483536283</v>
          </cell>
          <cell r="Y79">
            <v>0.44173228346456689</v>
          </cell>
          <cell r="Z79">
            <v>0.41607951685958727</v>
          </cell>
          <cell r="AA79">
            <v>0.48415869844441278</v>
          </cell>
          <cell r="AB79">
            <v>0.50609756097560976</v>
          </cell>
          <cell r="AC79">
            <v>0.46055797619821814</v>
          </cell>
          <cell r="AD79">
            <v>0.4543153969099627</v>
          </cell>
          <cell r="AE79">
            <v>0.43171722299784238</v>
          </cell>
          <cell r="AF79">
            <v>0.46147725765813552</v>
          </cell>
          <cell r="AG79">
            <v>0.49222318232316992</v>
          </cell>
          <cell r="AH79">
            <v>0.46021463791936579</v>
          </cell>
          <cell r="AI79">
            <v>0.44314192577733202</v>
          </cell>
          <cell r="AJ79">
            <v>0.43527603735666154</v>
          </cell>
          <cell r="AK79">
            <v>0.40800730010265773</v>
          </cell>
          <cell r="AL79">
            <v>0.46003541912632828</v>
          </cell>
          <cell r="AM79">
            <v>0.43626752197671659</v>
          </cell>
          <cell r="AN79">
            <v>0.42634994490020817</v>
          </cell>
          <cell r="AO79">
            <v>0.43173220222400555</v>
          </cell>
          <cell r="AP79">
            <v>0.42914956680346555</v>
          </cell>
          <cell r="AQ79">
            <v>0.49322298188796931</v>
          </cell>
          <cell r="AR79">
            <v>0.44485131915644571</v>
          </cell>
          <cell r="AS79">
            <v>0.44753051214782702</v>
          </cell>
          <cell r="AT79">
            <v>0.42052226676779719</v>
          </cell>
          <cell r="AU79">
            <v>0.4582794307891333</v>
          </cell>
          <cell r="AV79">
            <v>0.55265989240884639</v>
          </cell>
          <cell r="AW79">
            <v>0.46801077531778768</v>
          </cell>
          <cell r="AX79">
            <v>0.51858396295393605</v>
          </cell>
          <cell r="AY79">
            <v>0.53622096672944131</v>
          </cell>
          <cell r="AZ79">
            <v>0.51101992966002352</v>
          </cell>
          <cell r="BA79">
            <v>0.54600162018284926</v>
          </cell>
          <cell r="BB79">
            <v>0.52796772839061834</v>
          </cell>
        </row>
        <row r="80">
          <cell r="A80" t="str">
            <v>Production Taxes</v>
          </cell>
          <cell r="B80">
            <v>0.28159507585100579</v>
          </cell>
          <cell r="C80">
            <v>0.18302987910897239</v>
          </cell>
          <cell r="D80">
            <v>0.12613347018049584</v>
          </cell>
          <cell r="E80">
            <v>0.17783202242111926</v>
          </cell>
          <cell r="F80">
            <v>0.13750304210270139</v>
          </cell>
          <cell r="G80">
            <v>0.10555195671226614</v>
          </cell>
          <cell r="H80">
            <v>0.18905016218341467</v>
          </cell>
          <cell r="I80">
            <v>0.15412645927525476</v>
          </cell>
          <cell r="J80">
            <v>0.15969517385215101</v>
          </cell>
          <cell r="K80">
            <v>0.1549467128727898</v>
          </cell>
          <cell r="L80">
            <v>0.12414330331999678</v>
          </cell>
          <cell r="M80">
            <v>0.1756728269271309</v>
          </cell>
          <cell r="N80">
            <v>0.15396576505001724</v>
          </cell>
          <cell r="O80">
            <v>0.19678863508178229</v>
          </cell>
          <cell r="P80">
            <v>0.1975806862676153</v>
          </cell>
          <cell r="Q80">
            <v>0.18836648583484028</v>
          </cell>
          <cell r="R80">
            <v>0.19910647803425166</v>
          </cell>
          <cell r="S80">
            <v>0.19550081258242735</v>
          </cell>
          <cell r="T80">
            <v>0.20348927693217542</v>
          </cell>
          <cell r="U80">
            <v>0.19007014341424189</v>
          </cell>
          <cell r="V80">
            <v>0.19238406728185961</v>
          </cell>
          <cell r="W80">
            <v>0.19423214712204442</v>
          </cell>
          <cell r="X80">
            <v>0.1945865196742359</v>
          </cell>
          <cell r="Y80">
            <v>0.17692307692307691</v>
          </cell>
          <cell r="Z80">
            <v>0.1806114745848012</v>
          </cell>
          <cell r="AA80">
            <v>0.21285857000142716</v>
          </cell>
          <cell r="AB80">
            <v>0.16171792152704137</v>
          </cell>
          <cell r="AC80">
            <v>0.18233400533263966</v>
          </cell>
          <cell r="AD80">
            <v>0.22669152903569526</v>
          </cell>
          <cell r="AE80">
            <v>0.19755045056479251</v>
          </cell>
          <cell r="AF80">
            <v>0.19155284445033813</v>
          </cell>
          <cell r="AG80">
            <v>0.21102333045303048</v>
          </cell>
          <cell r="AH80">
            <v>0.20666151020013535</v>
          </cell>
          <cell r="AI80">
            <v>0.25589267803410232</v>
          </cell>
          <cell r="AJ80">
            <v>0.20599361626669818</v>
          </cell>
          <cell r="AK80">
            <v>0.19676057944564848</v>
          </cell>
          <cell r="AL80">
            <v>0.22768595041322318</v>
          </cell>
          <cell r="AM80">
            <v>0.22086600142551674</v>
          </cell>
          <cell r="AN80">
            <v>0.23258234357781316</v>
          </cell>
          <cell r="AO80">
            <v>0.23134242806373953</v>
          </cell>
          <cell r="AP80">
            <v>0.21523027815777471</v>
          </cell>
          <cell r="AQ80">
            <v>0.22274199352284996</v>
          </cell>
          <cell r="AR80">
            <v>0.22537427571399157</v>
          </cell>
          <cell r="AS80">
            <v>0.20748260522413592</v>
          </cell>
          <cell r="AT80">
            <v>0.22564741575468633</v>
          </cell>
          <cell r="AU80">
            <v>0.25695342820181116</v>
          </cell>
          <cell r="AV80">
            <v>0.26407650926479381</v>
          </cell>
          <cell r="AW80">
            <v>0.23834778460588713</v>
          </cell>
          <cell r="AX80">
            <v>0.28034365098708258</v>
          </cell>
          <cell r="AY80">
            <v>0.31098556183301945</v>
          </cell>
          <cell r="AZ80">
            <v>0.3526377491207503</v>
          </cell>
          <cell r="BA80">
            <v>0.43224163869922461</v>
          </cell>
          <cell r="BB80">
            <v>0.34552516345750106</v>
          </cell>
        </row>
        <row r="81">
          <cell r="A81" t="str">
            <v>Total LOE</v>
          </cell>
          <cell r="B81">
            <v>1.4430506235538796</v>
          </cell>
          <cell r="C81">
            <v>0.79747349594539718</v>
          </cell>
          <cell r="D81">
            <v>0.7686358089410632</v>
          </cell>
          <cell r="E81">
            <v>0.73185064641533315</v>
          </cell>
          <cell r="F81">
            <v>0.75322462886347041</v>
          </cell>
          <cell r="G81">
            <v>0.70047250695423546</v>
          </cell>
          <cell r="H81">
            <v>0.72327250090101891</v>
          </cell>
          <cell r="I81">
            <v>0.72710709224644043</v>
          </cell>
          <cell r="J81">
            <v>0.63878069540860405</v>
          </cell>
          <cell r="K81">
            <v>0.66745497207368565</v>
          </cell>
          <cell r="L81">
            <v>0.68177329812678744</v>
          </cell>
          <cell r="M81">
            <v>0.75539315578666288</v>
          </cell>
          <cell r="N81">
            <v>0.68429950082097268</v>
          </cell>
          <cell r="O81">
            <v>0.80442752397067108</v>
          </cell>
          <cell r="P81">
            <v>0.8049231543311639</v>
          </cell>
          <cell r="Q81">
            <v>0.76984563775978199</v>
          </cell>
          <cell r="R81">
            <v>0.77200297840655241</v>
          </cell>
          <cell r="S81">
            <v>0.78688356343082955</v>
          </cell>
          <cell r="T81">
            <v>0.78392006723316832</v>
          </cell>
          <cell r="U81">
            <v>0.74515410488961509</v>
          </cell>
          <cell r="V81">
            <v>0.70219600513958647</v>
          </cell>
          <cell r="W81">
            <v>0.69865058514449485</v>
          </cell>
          <cell r="X81">
            <v>0.72886596450959873</v>
          </cell>
          <cell r="Y81">
            <v>0.61865536038764379</v>
          </cell>
          <cell r="Z81">
            <v>0.59669099144438853</v>
          </cell>
          <cell r="AA81">
            <v>0.69701726844584</v>
          </cell>
          <cell r="AB81">
            <v>0.6678154825026511</v>
          </cell>
          <cell r="AC81">
            <v>0.6428919815308578</v>
          </cell>
          <cell r="AD81">
            <v>0.68100692594565793</v>
          </cell>
          <cell r="AE81">
            <v>0.62926767356263491</v>
          </cell>
          <cell r="AF81">
            <v>0.65303010210847368</v>
          </cell>
          <cell r="AG81">
            <v>0.70324651277620043</v>
          </cell>
          <cell r="AH81">
            <v>0.66687614811950113</v>
          </cell>
          <cell r="AI81">
            <v>0.69903460381143434</v>
          </cell>
          <cell r="AJ81">
            <v>0.64126965362335975</v>
          </cell>
          <cell r="AK81">
            <v>0.60476787954830624</v>
          </cell>
          <cell r="AL81">
            <v>0.68772136953955143</v>
          </cell>
          <cell r="AM81">
            <v>0.6571335234022333</v>
          </cell>
          <cell r="AN81">
            <v>0.65893228847802132</v>
          </cell>
          <cell r="AO81">
            <v>0.66307463028774505</v>
          </cell>
          <cell r="AP81">
            <v>0.64437984496124023</v>
          </cell>
          <cell r="AQ81">
            <v>0.71596497541081927</v>
          </cell>
          <cell r="AR81">
            <v>0.67022559487043731</v>
          </cell>
          <cell r="AS81">
            <v>0.65501311737196288</v>
          </cell>
          <cell r="AT81">
            <v>0.64616968252248352</v>
          </cell>
          <cell r="AU81">
            <v>0.71523285899094446</v>
          </cell>
          <cell r="AV81">
            <v>0.81673640167364026</v>
          </cell>
          <cell r="AW81">
            <v>0.7063585599236748</v>
          </cell>
          <cell r="AX81">
            <v>0.79892761394101863</v>
          </cell>
          <cell r="AY81">
            <v>0.84720652856246081</v>
          </cell>
          <cell r="AZ81">
            <v>0.86365767878077382</v>
          </cell>
          <cell r="BA81">
            <v>0.97824325888207386</v>
          </cell>
          <cell r="BB81">
            <v>0.8734928918481194</v>
          </cell>
        </row>
        <row r="83">
          <cell r="A83" t="str">
            <v>G&amp;A</v>
          </cell>
          <cell r="B83">
            <v>0.61790211578207233</v>
          </cell>
          <cell r="C83">
            <v>0.38351884419190724</v>
          </cell>
          <cell r="D83">
            <v>0.44977864644078702</v>
          </cell>
          <cell r="E83">
            <v>0.43495163185968716</v>
          </cell>
          <cell r="F83">
            <v>0.49375666922515304</v>
          </cell>
          <cell r="G83">
            <v>0.41820675989787753</v>
          </cell>
          <cell r="H83">
            <v>0.675846138724157</v>
          </cell>
          <cell r="I83">
            <v>0.511213082304249</v>
          </cell>
          <cell r="J83">
            <v>0.32737510639690953</v>
          </cell>
          <cell r="K83">
            <v>0.36483638790572243</v>
          </cell>
          <cell r="L83">
            <v>0.40229086360876853</v>
          </cell>
          <cell r="M83">
            <v>0.41283114327875764</v>
          </cell>
          <cell r="N83">
            <v>0.37512935494998279</v>
          </cell>
          <cell r="O83">
            <v>0.37136914833615342</v>
          </cell>
          <cell r="P83">
            <v>0.37036659467829769</v>
          </cell>
          <cell r="Q83">
            <v>0.36854312445947013</v>
          </cell>
          <cell r="R83">
            <v>0.35845122859270284</v>
          </cell>
          <cell r="S83">
            <v>0.3668471641200699</v>
          </cell>
          <cell r="T83">
            <v>0.32527157842313315</v>
          </cell>
          <cell r="U83">
            <v>0.26723428155655832</v>
          </cell>
          <cell r="V83">
            <v>0.26024997079780404</v>
          </cell>
          <cell r="W83">
            <v>0.26594220205397656</v>
          </cell>
          <cell r="X83">
            <v>0.27692514830409998</v>
          </cell>
          <cell r="Y83">
            <v>0.25808600847970925</v>
          </cell>
          <cell r="Z83">
            <v>0.32656014091595365</v>
          </cell>
          <cell r="AA83">
            <v>0.23355216212359073</v>
          </cell>
          <cell r="AB83">
            <v>0.26895546129374337</v>
          </cell>
          <cell r="AC83">
            <v>0.2728588151134812</v>
          </cell>
          <cell r="AD83">
            <v>0.24906766116142781</v>
          </cell>
          <cell r="AE83">
            <v>0.27427338494732834</v>
          </cell>
          <cell r="AF83">
            <v>0.26355920965389207</v>
          </cell>
          <cell r="AG83">
            <v>0.29570423404517959</v>
          </cell>
          <cell r="AH83">
            <v>0.2711656837152342</v>
          </cell>
          <cell r="AI83">
            <v>0.26053159478435306</v>
          </cell>
          <cell r="AJ83">
            <v>0.27781061591204637</v>
          </cell>
          <cell r="AK83">
            <v>0.28578761263830277</v>
          </cell>
          <cell r="AL83">
            <v>0.34693034238488785</v>
          </cell>
          <cell r="AM83">
            <v>0.29318127821335238</v>
          </cell>
          <cell r="AN83">
            <v>0.3367209501652994</v>
          </cell>
          <cell r="AO83">
            <v>0.33383010432190763</v>
          </cell>
          <cell r="AP83">
            <v>0.28038075695394432</v>
          </cell>
          <cell r="AQ83">
            <v>0.3422694014633561</v>
          </cell>
          <cell r="AR83">
            <v>0.32280361187093737</v>
          </cell>
          <cell r="AS83">
            <v>0.24472453518877607</v>
          </cell>
          <cell r="AT83">
            <v>0.23978762596164269</v>
          </cell>
          <cell r="AU83">
            <v>0.26509271237602416</v>
          </cell>
          <cell r="AV83">
            <v>0.38858338314405261</v>
          </cell>
          <cell r="AW83">
            <v>0.28251536324606452</v>
          </cell>
          <cell r="AX83">
            <v>0.29776992444552758</v>
          </cell>
          <cell r="AY83">
            <v>0.31581920903954808</v>
          </cell>
          <cell r="AZ83">
            <v>0.31172332942555686</v>
          </cell>
          <cell r="BA83">
            <v>0.28272190718666823</v>
          </cell>
          <cell r="BB83">
            <v>0.30175154459840442</v>
          </cell>
        </row>
        <row r="84">
          <cell r="A84" t="str">
            <v>Net Interest Expense</v>
          </cell>
          <cell r="B84">
            <v>0.87268291220770178</v>
          </cell>
          <cell r="C84">
            <v>0.26232899226487788</v>
          </cell>
          <cell r="D84">
            <v>9.0849491856693526E-2</v>
          </cell>
          <cell r="E84">
            <v>-4.6469577795859328E-2</v>
          </cell>
          <cell r="F84">
            <v>-0.21173034801654902</v>
          </cell>
          <cell r="G84">
            <v>-0.22367869527111992</v>
          </cell>
          <cell r="H84">
            <v>-0.20231971429507553</v>
          </cell>
          <cell r="I84">
            <v>-0.1708167442697438</v>
          </cell>
          <cell r="J84">
            <v>-0.19163420862258121</v>
          </cell>
          <cell r="K84">
            <v>-0.2084779359461271</v>
          </cell>
          <cell r="L84">
            <v>-0.22857435432316392</v>
          </cell>
          <cell r="M84">
            <v>-0.21959103365891364</v>
          </cell>
          <cell r="N84">
            <v>-0.21127975163849605</v>
          </cell>
          <cell r="O84">
            <v>-0.22913141567963902</v>
          </cell>
          <cell r="P84">
            <v>-0.21356338279560341</v>
          </cell>
          <cell r="Q84">
            <v>-0.19983227192913491</v>
          </cell>
          <cell r="R84">
            <v>-0.21064780342516753</v>
          </cell>
          <cell r="S84">
            <v>-0.21294226910837177</v>
          </cell>
          <cell r="T84">
            <v>-0.22387711270893637</v>
          </cell>
          <cell r="U84">
            <v>-0.2424064488540264</v>
          </cell>
          <cell r="V84">
            <v>-0.27052914379161314</v>
          </cell>
          <cell r="W84">
            <v>-0.31908287556723192</v>
          </cell>
          <cell r="X84">
            <v>-0.26689127999140871</v>
          </cell>
          <cell r="Y84">
            <v>-0.37874015748031492</v>
          </cell>
          <cell r="Z84">
            <v>-0.36078258681429293</v>
          </cell>
          <cell r="AA84">
            <v>-0.39410589410589408</v>
          </cell>
          <cell r="AB84">
            <v>-0.51477995758218453</v>
          </cell>
          <cell r="AC84">
            <v>-0.41097093061065226</v>
          </cell>
          <cell r="AD84">
            <v>-0.29508524240809803</v>
          </cell>
          <cell r="AE84">
            <v>-0.30206879045564156</v>
          </cell>
          <cell r="AF84">
            <v>-0.30108738894045883</v>
          </cell>
          <cell r="AG84">
            <v>-0.28021231946673247</v>
          </cell>
          <cell r="AH84">
            <v>-0.29443423893776788</v>
          </cell>
          <cell r="AI84">
            <v>-0.28717402206619863</v>
          </cell>
          <cell r="AJ84">
            <v>-0.2575954604563187</v>
          </cell>
          <cell r="AK84">
            <v>-0.26314588798904986</v>
          </cell>
          <cell r="AL84">
            <v>-0.25383707201889022</v>
          </cell>
          <cell r="AM84">
            <v>-0.26510156806842483</v>
          </cell>
          <cell r="AN84">
            <v>-0.26049957144606345</v>
          </cell>
          <cell r="AO84">
            <v>-0.26246704115556574</v>
          </cell>
          <cell r="AP84">
            <v>-0.25210898312813496</v>
          </cell>
          <cell r="AQ84">
            <v>-0.32043900683699172</v>
          </cell>
          <cell r="AR84">
            <v>-0.27353745698402893</v>
          </cell>
          <cell r="AS84">
            <v>-0.38314132542488871</v>
          </cell>
          <cell r="AT84">
            <v>-0.34944197637880597</v>
          </cell>
          <cell r="AU84">
            <v>-0.35068995256576113</v>
          </cell>
          <cell r="AV84">
            <v>-0.36724447101016139</v>
          </cell>
          <cell r="AW84">
            <v>-0.36223587844094618</v>
          </cell>
          <cell r="AX84">
            <v>-0.36381915671459902</v>
          </cell>
          <cell r="AY84">
            <v>-0.33678593848085375</v>
          </cell>
          <cell r="AZ84">
            <v>-0.33464243845252051</v>
          </cell>
          <cell r="BA84">
            <v>-0.33757666936697139</v>
          </cell>
          <cell r="BB84">
            <v>-0.34309579509327576</v>
          </cell>
        </row>
        <row r="85">
          <cell r="A85" t="str">
            <v>Total Cash Expenses</v>
          </cell>
          <cell r="B85">
            <v>2.9336356515436535</v>
          </cell>
          <cell r="C85">
            <v>1.4433213324021823</v>
          </cell>
          <cell r="D85">
            <v>1.3092639472385437</v>
          </cell>
          <cell r="E85">
            <v>1.2132718560708795</v>
          </cell>
          <cell r="F85">
            <v>1.4587116461051726</v>
          </cell>
          <cell r="G85">
            <v>1.3423579621232329</v>
          </cell>
          <cell r="H85">
            <v>1.6014383539202515</v>
          </cell>
          <cell r="I85">
            <v>1.4091369188204332</v>
          </cell>
          <cell r="J85">
            <v>1.1577900104280949</v>
          </cell>
          <cell r="K85">
            <v>1.2407692959255352</v>
          </cell>
          <cell r="L85">
            <v>1.31263851605872</v>
          </cell>
          <cell r="M85">
            <v>1.3878153327243341</v>
          </cell>
          <cell r="N85">
            <v>1.2707086074094516</v>
          </cell>
          <cell r="O85">
            <v>1.4049280879864634</v>
          </cell>
          <cell r="P85">
            <v>1.388853131805065</v>
          </cell>
          <cell r="Q85">
            <v>1.3382210341483871</v>
          </cell>
          <cell r="R85">
            <v>1.3411020104244229</v>
          </cell>
          <cell r="S85">
            <v>1.3666729966592712</v>
          </cell>
          <cell r="T85">
            <v>1.3330687583652376</v>
          </cell>
          <cell r="U85">
            <v>1.2547948353001996</v>
          </cell>
          <cell r="V85">
            <v>1.2329751197290035</v>
          </cell>
          <cell r="W85">
            <v>1.2836756627657033</v>
          </cell>
          <cell r="X85">
            <v>1.2726823928051074</v>
          </cell>
          <cell r="Y85">
            <v>1.255481526347668</v>
          </cell>
          <cell r="Z85">
            <v>1.2840337191746352</v>
          </cell>
          <cell r="AA85">
            <v>1.3246753246753249</v>
          </cell>
          <cell r="AB85">
            <v>1.451550901378579</v>
          </cell>
          <cell r="AC85">
            <v>1.3267217272549914</v>
          </cell>
          <cell r="AD85">
            <v>1.2251598295151838</v>
          </cell>
          <cell r="AE85">
            <v>1.2056098489656049</v>
          </cell>
          <cell r="AF85">
            <v>1.2176767007028246</v>
          </cell>
          <cell r="AG85">
            <v>1.2791630662881126</v>
          </cell>
          <cell r="AH85">
            <v>1.2324760707725031</v>
          </cell>
          <cell r="AI85">
            <v>1.246740220661986</v>
          </cell>
          <cell r="AJ85">
            <v>1.1766757299917248</v>
          </cell>
          <cell r="AK85">
            <v>1.1537013801756588</v>
          </cell>
          <cell r="AL85">
            <v>1.2884887839433294</v>
          </cell>
          <cell r="AM85">
            <v>1.2154163696840106</v>
          </cell>
          <cell r="AN85">
            <v>1.2561528100893842</v>
          </cell>
          <cell r="AO85">
            <v>1.2593717757652185</v>
          </cell>
          <cell r="AP85">
            <v>1.1768695850433195</v>
          </cell>
          <cell r="AQ85">
            <v>1.3786733837111671</v>
          </cell>
          <cell r="AR85">
            <v>1.2665666637254036</v>
          </cell>
          <cell r="AS85">
            <v>1.2828789779856278</v>
          </cell>
          <cell r="AT85">
            <v>1.2353992848629323</v>
          </cell>
          <cell r="AU85">
            <v>1.3310155239327297</v>
          </cell>
          <cell r="AV85">
            <v>1.5725642558278543</v>
          </cell>
          <cell r="AW85">
            <v>1.3511098016106855</v>
          </cell>
          <cell r="AX85">
            <v>1.4605166951011452</v>
          </cell>
          <cell r="AY85">
            <v>1.4998116760828628</v>
          </cell>
          <cell r="AZ85">
            <v>1.5100234466588511</v>
          </cell>
          <cell r="BA85">
            <v>1.5985418354357135</v>
          </cell>
          <cell r="BB85">
            <v>1.5183402315397996</v>
          </cell>
        </row>
        <row r="87">
          <cell r="A87" t="str">
            <v>Non-Cash Expenses</v>
          </cell>
        </row>
        <row r="88">
          <cell r="A88" t="str">
            <v>Exploration Expense</v>
          </cell>
          <cell r="B88">
            <v>0.54400485076634664</v>
          </cell>
          <cell r="C88">
            <v>0.371289183335344</v>
          </cell>
          <cell r="D88">
            <v>0.15031907814775072</v>
          </cell>
          <cell r="E88">
            <v>0.16390923063014193</v>
          </cell>
          <cell r="F88">
            <v>0.16726884699627459</v>
          </cell>
          <cell r="G88">
            <v>0.23453873413862747</v>
          </cell>
          <cell r="H88">
            <v>0.16357589856164609</v>
          </cell>
          <cell r="I88">
            <v>0.18127628944823085</v>
          </cell>
          <cell r="J88">
            <v>7.9847586926075506E-2</v>
          </cell>
          <cell r="K88">
            <v>5.2119483986531774E-2</v>
          </cell>
          <cell r="L88">
            <v>0.11885866424804524</v>
          </cell>
          <cell r="M88">
            <v>0.16688918558077434</v>
          </cell>
          <cell r="N88">
            <v>0.10348395998620215</v>
          </cell>
          <cell r="O88">
            <v>0.1649746192893401</v>
          </cell>
          <cell r="P88">
            <v>0.14980538259206164</v>
          </cell>
          <cell r="Q88">
            <v>0.13103755536336717</v>
          </cell>
          <cell r="R88">
            <v>0.13045420699925539</v>
          </cell>
          <cell r="S88">
            <v>0.14327940319660096</v>
          </cell>
          <cell r="T88">
            <v>7.9139041927350814E-2</v>
          </cell>
          <cell r="U88">
            <v>0.13371287792237635</v>
          </cell>
          <cell r="V88">
            <v>0.12837285363859363</v>
          </cell>
          <cell r="W88">
            <v>0.16145211368521614</v>
          </cell>
          <cell r="X88">
            <v>0.12845274865480452</v>
          </cell>
          <cell r="Y88">
            <v>0.10042398546335553</v>
          </cell>
          <cell r="Z88">
            <v>8.385757423251132E-2</v>
          </cell>
          <cell r="AA88">
            <v>0.14449835878407308</v>
          </cell>
          <cell r="AB88">
            <v>0.19982767762460235</v>
          </cell>
          <cell r="AC88">
            <v>0.13056838134876766</v>
          </cell>
          <cell r="AD88">
            <v>0.16249334043686733</v>
          </cell>
          <cell r="AE88">
            <v>0.23448407158268816</v>
          </cell>
          <cell r="AF88">
            <v>0.19400609998673915</v>
          </cell>
          <cell r="AG88">
            <v>0.22126897913837795</v>
          </cell>
          <cell r="AH88">
            <v>0.20377711173418417</v>
          </cell>
          <cell r="AI88">
            <v>0.22736960882647944</v>
          </cell>
          <cell r="AJ88">
            <v>0.19393545336328172</v>
          </cell>
          <cell r="AK88">
            <v>0.16915706627124447</v>
          </cell>
          <cell r="AL88">
            <v>0.23677685950413227</v>
          </cell>
          <cell r="AM88">
            <v>0.20618020907578996</v>
          </cell>
          <cell r="AN88">
            <v>0.20815476919309417</v>
          </cell>
          <cell r="AO88">
            <v>0.17069815430471172</v>
          </cell>
          <cell r="AP88">
            <v>0.41011171910624716</v>
          </cell>
          <cell r="AQ88">
            <v>0.35918195993762747</v>
          </cell>
          <cell r="AR88">
            <v>0.28768493190976208</v>
          </cell>
          <cell r="AS88">
            <v>0.13830272613208619</v>
          </cell>
          <cell r="AT88">
            <v>0.10916675696175102</v>
          </cell>
          <cell r="AU88">
            <v>0.16133031479085813</v>
          </cell>
          <cell r="AV88">
            <v>0.24249850567842202</v>
          </cell>
          <cell r="AW88">
            <v>0.16120885596430676</v>
          </cell>
          <cell r="AX88">
            <v>0.19699000731172311</v>
          </cell>
          <cell r="AY88">
            <v>0.25310734463276835</v>
          </cell>
          <cell r="AZ88">
            <v>0.27497069167643612</v>
          </cell>
          <cell r="BA88">
            <v>0.44965860432820276</v>
          </cell>
          <cell r="BB88">
            <v>0.29582808469797855</v>
          </cell>
        </row>
        <row r="89">
          <cell r="A89" t="str">
            <v>DD&amp;A</v>
          </cell>
          <cell r="B89">
            <v>1.640681794133505</v>
          </cell>
          <cell r="C89">
            <v>0.99098989420513306</v>
          </cell>
          <cell r="D89">
            <v>0.56687627526904949</v>
          </cell>
          <cell r="E89">
            <v>0.62833378537202789</v>
          </cell>
          <cell r="F89">
            <v>0.57584664058258606</v>
          </cell>
          <cell r="G89">
            <v>0.55729146820104414</v>
          </cell>
          <cell r="H89">
            <v>0.45829101274532286</v>
          </cell>
          <cell r="I89">
            <v>0.55215151719639199</v>
          </cell>
          <cell r="J89">
            <v>0.66273497148642668</v>
          </cell>
          <cell r="K89">
            <v>0.66886671116049112</v>
          </cell>
          <cell r="L89">
            <v>0.70400901131534488</v>
          </cell>
          <cell r="M89">
            <v>0.68512402501581049</v>
          </cell>
          <cell r="N89">
            <v>0.67911348740945154</v>
          </cell>
          <cell r="O89">
            <v>0.62217992103778896</v>
          </cell>
          <cell r="P89">
            <v>0.72051723807254553</v>
          </cell>
          <cell r="Q89">
            <v>0.71251670728830885</v>
          </cell>
          <cell r="R89">
            <v>0.72263588979895743</v>
          </cell>
          <cell r="S89">
            <v>0.69611385815767401</v>
          </cell>
          <cell r="T89">
            <v>0.71746506054097792</v>
          </cell>
          <cell r="U89">
            <v>0.93088416443811883</v>
          </cell>
          <cell r="V89">
            <v>0.9356967643966827</v>
          </cell>
          <cell r="W89">
            <v>0.8389658466682588</v>
          </cell>
          <cell r="X89">
            <v>0.86356984518029722</v>
          </cell>
          <cell r="Y89">
            <v>0.88467595396729248</v>
          </cell>
          <cell r="Z89">
            <v>0.89789884247609453</v>
          </cell>
          <cell r="AA89">
            <v>0.89053803339517634</v>
          </cell>
          <cell r="AB89">
            <v>0.72203075291622487</v>
          </cell>
          <cell r="AC89">
            <v>0.84953176822527143</v>
          </cell>
          <cell r="AD89">
            <v>0.69645711241342567</v>
          </cell>
          <cell r="AE89">
            <v>0.69590049498667339</v>
          </cell>
          <cell r="AF89">
            <v>0.73949078371568755</v>
          </cell>
          <cell r="AG89">
            <v>0.79082829280335754</v>
          </cell>
          <cell r="AH89">
            <v>0.73141254955042057</v>
          </cell>
          <cell r="AI89">
            <v>0.70379889669007034</v>
          </cell>
          <cell r="AJ89">
            <v>0.64020569807305827</v>
          </cell>
          <cell r="AK89">
            <v>0.64794114292232241</v>
          </cell>
          <cell r="AL89">
            <v>0.59238488783943333</v>
          </cell>
          <cell r="AM89">
            <v>0.64525421715371822</v>
          </cell>
          <cell r="AN89">
            <v>0.64062691318721687</v>
          </cell>
          <cell r="AO89">
            <v>0.65493522870572063</v>
          </cell>
          <cell r="AP89">
            <v>0.70354537163702691</v>
          </cell>
          <cell r="AQ89">
            <v>0.68100035984166973</v>
          </cell>
          <cell r="AR89">
            <v>0.67043148327891999</v>
          </cell>
          <cell r="AS89">
            <v>0.81190829246036267</v>
          </cell>
          <cell r="AT89">
            <v>0.84039440892837802</v>
          </cell>
          <cell r="AU89">
            <v>0.78120957309185002</v>
          </cell>
          <cell r="AV89">
            <v>0.78099222952779446</v>
          </cell>
          <cell r="AW89">
            <v>0.80403793809804414</v>
          </cell>
          <cell r="AX89">
            <v>0.8291494028759443</v>
          </cell>
          <cell r="AY89">
            <v>0.84287507846829879</v>
          </cell>
          <cell r="AZ89">
            <v>0.83112543962485352</v>
          </cell>
          <cell r="BA89">
            <v>0.96024765652123589</v>
          </cell>
          <cell r="BB89">
            <v>0.86690960350308921</v>
          </cell>
        </row>
        <row r="90">
          <cell r="A90" t="str">
            <v>Total Pre-tax Costs</v>
          </cell>
          <cell r="B90">
            <v>5.1183222964435053</v>
          </cell>
          <cell r="C90">
            <v>2.8056004099426595</v>
          </cell>
          <cell r="D90">
            <v>2.0264593006553442</v>
          </cell>
          <cell r="E90">
            <v>2.0055148720730491</v>
          </cell>
          <cell r="F90">
            <v>2.2018271336840334</v>
          </cell>
          <cell r="G90">
            <v>2.1341881644629046</v>
          </cell>
          <cell r="H90">
            <v>2.2233052652272205</v>
          </cell>
          <cell r="I90">
            <v>2.1425647254650562</v>
          </cell>
          <cell r="J90">
            <v>1.9003725688405972</v>
          </cell>
          <cell r="K90">
            <v>1.9617554910725581</v>
          </cell>
          <cell r="L90">
            <v>2.1355061916221101</v>
          </cell>
          <cell r="M90">
            <v>2.2398285433209191</v>
          </cell>
          <cell r="N90">
            <v>2.0533060548051054</v>
          </cell>
          <cell r="O90">
            <v>2.1920826283135924</v>
          </cell>
          <cell r="P90">
            <v>2.2591757524696723</v>
          </cell>
          <cell r="Q90">
            <v>2.1817752968000632</v>
          </cell>
          <cell r="R90">
            <v>2.1941921072226358</v>
          </cell>
          <cell r="S90">
            <v>2.2060662580135464</v>
          </cell>
          <cell r="T90">
            <v>2.1296728608335664</v>
          </cell>
          <cell r="U90">
            <v>2.3193918776606948</v>
          </cell>
          <cell r="V90">
            <v>2.2970447377642795</v>
          </cell>
          <cell r="W90">
            <v>2.284093623119178</v>
          </cell>
          <cell r="X90">
            <v>2.2647049866402091</v>
          </cell>
          <cell r="Y90">
            <v>2.2405814657783161</v>
          </cell>
          <cell r="Z90">
            <v>2.2657901358832411</v>
          </cell>
          <cell r="AA90">
            <v>2.3597117168545743</v>
          </cell>
          <cell r="AB90">
            <v>2.3734093319194063</v>
          </cell>
          <cell r="AC90">
            <v>2.3068218768290305</v>
          </cell>
          <cell r="AD90">
            <v>2.0841102823654767</v>
          </cell>
          <cell r="AE90">
            <v>2.1359944155349666</v>
          </cell>
          <cell r="AF90">
            <v>2.1511735844052513</v>
          </cell>
          <cell r="AG90">
            <v>2.291260338229848</v>
          </cell>
          <cell r="AH90">
            <v>2.1676657320571078</v>
          </cell>
          <cell r="AI90">
            <v>2.1779087261785355</v>
          </cell>
          <cell r="AJ90">
            <v>2.0108168814280649</v>
          </cell>
          <cell r="AK90">
            <v>1.9707995893692258</v>
          </cell>
          <cell r="AL90">
            <v>2.1176505312868947</v>
          </cell>
          <cell r="AM90">
            <v>2.0668507959135187</v>
          </cell>
          <cell r="AN90">
            <v>2.1049344924696953</v>
          </cell>
          <cell r="AO90">
            <v>2.0850051587756511</v>
          </cell>
          <cell r="AP90">
            <v>2.2905266757865936</v>
          </cell>
          <cell r="AQ90">
            <v>2.4188557034904643</v>
          </cell>
          <cell r="AR90">
            <v>2.2246830789140857</v>
          </cell>
          <cell r="AS90">
            <v>2.2330899965780766</v>
          </cell>
          <cell r="AT90">
            <v>2.1849604507530613</v>
          </cell>
          <cell r="AU90">
            <v>2.2735554118154377</v>
          </cell>
          <cell r="AV90">
            <v>2.5960549910340709</v>
          </cell>
          <cell r="AW90">
            <v>2.3163565956730365</v>
          </cell>
          <cell r="AX90">
            <v>2.4866561052888128</v>
          </cell>
          <cell r="AY90">
            <v>2.5957940991839301</v>
          </cell>
          <cell r="AZ90">
            <v>2.6161195779601405</v>
          </cell>
          <cell r="BA90">
            <v>3.0084480962851523</v>
          </cell>
          <cell r="BB90">
            <v>2.6810779197408676</v>
          </cell>
        </row>
        <row r="92">
          <cell r="A92" t="str">
            <v>Upstream Revenue/Mcfe</v>
          </cell>
          <cell r="B92">
            <v>5.0990015698541775</v>
          </cell>
          <cell r="C92">
            <v>3.12774959852403</v>
          </cell>
          <cell r="D92">
            <v>2.2658397562287149</v>
          </cell>
          <cell r="E92">
            <v>2.391892233975228</v>
          </cell>
          <cell r="F92">
            <v>1.9354299193140758</v>
          </cell>
          <cell r="G92">
            <v>1.8215836604046796</v>
          </cell>
          <cell r="H92">
            <v>2.3220045214770155</v>
          </cell>
          <cell r="I92">
            <v>2.1279843444227002</v>
          </cell>
          <cell r="J92">
            <v>1.899694367391523</v>
          </cell>
          <cell r="K92">
            <v>1.9368339109098727</v>
          </cell>
          <cell r="L92">
            <v>2.0690550553332798</v>
          </cell>
          <cell r="M92">
            <v>2.5952441852294283</v>
          </cell>
          <cell r="N92">
            <v>2.1226059632631937</v>
          </cell>
          <cell r="O92">
            <v>2.3645066624365483</v>
          </cell>
          <cell r="P92">
            <v>2.4367241623295963</v>
          </cell>
          <cell r="Q92">
            <v>2.335708257986739</v>
          </cell>
          <cell r="R92">
            <v>2.3845160089352198</v>
          </cell>
          <cell r="S92">
            <v>2.3804094919371668</v>
          </cell>
          <cell r="T92">
            <v>2.5527495564478473</v>
          </cell>
          <cell r="U92">
            <v>2.1624834853426438</v>
          </cell>
          <cell r="V92">
            <v>1.9812545263403809</v>
          </cell>
          <cell r="W92">
            <v>1.9824504418438023</v>
          </cell>
          <cell r="X92">
            <v>2.1395961207718712</v>
          </cell>
          <cell r="Y92">
            <v>1.8082592368261661</v>
          </cell>
          <cell r="Z92">
            <v>1.817365374937091</v>
          </cell>
          <cell r="AA92">
            <v>1.658786927358356</v>
          </cell>
          <cell r="AB92">
            <v>1.9888361611876988</v>
          </cell>
          <cell r="AC92">
            <v>1.8208525720231516</v>
          </cell>
          <cell r="AD92">
            <v>2.4222402770378264</v>
          </cell>
          <cell r="AE92">
            <v>2.1757310572407662</v>
          </cell>
          <cell r="AF92">
            <v>2.0148388807850415</v>
          </cell>
          <cell r="AG92">
            <v>2.8239371682508327</v>
          </cell>
          <cell r="AH92">
            <v>2.3664544458409873</v>
          </cell>
          <cell r="AI92">
            <v>3.1525689568706121</v>
          </cell>
          <cell r="AJ92">
            <v>2.1438231469440834</v>
          </cell>
          <cell r="AK92">
            <v>2.1749874529485571</v>
          </cell>
          <cell r="AL92">
            <v>2.8761254722550182</v>
          </cell>
          <cell r="AM92">
            <v>2.5750887309931101</v>
          </cell>
          <cell r="AN92">
            <v>2.2935609771029757</v>
          </cell>
          <cell r="AO92">
            <v>2.2442135733119342</v>
          </cell>
          <cell r="AP92">
            <v>1.9886513907888737</v>
          </cell>
          <cell r="AQ92">
            <v>2.1506369197553075</v>
          </cell>
          <cell r="AR92">
            <v>2.1671842554192771</v>
          </cell>
          <cell r="AS92">
            <v>1.9068478384852283</v>
          </cell>
          <cell r="AT92">
            <v>2.1229602340448586</v>
          </cell>
          <cell r="AU92">
            <v>2.3934702457956019</v>
          </cell>
          <cell r="AV92">
            <v>2.678290496114764</v>
          </cell>
          <cell r="AW92">
            <v>2.2705577068776832</v>
          </cell>
          <cell r="AX92">
            <v>2.6546660979770893</v>
          </cell>
          <cell r="AY92">
            <v>2.7337288135593218</v>
          </cell>
          <cell r="AZ92">
            <v>3.0886987104337638</v>
          </cell>
          <cell r="BA92">
            <v>4.633451568105543</v>
          </cell>
          <cell r="BB92">
            <v>3.2974205206646277</v>
          </cell>
        </row>
        <row r="93">
          <cell r="A93" t="str">
            <v>Cash Generation</v>
          </cell>
          <cell r="B93">
            <v>2.1653659183105241</v>
          </cell>
          <cell r="C93">
            <v>1.6844282661218477</v>
          </cell>
          <cell r="D93">
            <v>0.95657580899017125</v>
          </cell>
          <cell r="E93">
            <v>1.1786203779043485</v>
          </cell>
          <cell r="F93">
            <v>0.47671827320890325</v>
          </cell>
          <cell r="G93">
            <v>0.47922569828144668</v>
          </cell>
          <cell r="H93">
            <v>0.72056616755676406</v>
          </cell>
          <cell r="I93">
            <v>0.718847425602267</v>
          </cell>
          <cell r="J93">
            <v>0.74190435696342805</v>
          </cell>
          <cell r="K93">
            <v>0.69606461498433747</v>
          </cell>
          <cell r="L93">
            <v>0.75641653927455987</v>
          </cell>
          <cell r="M93">
            <v>1.2074288525050942</v>
          </cell>
          <cell r="N93">
            <v>0.85189735585374216</v>
          </cell>
          <cell r="O93">
            <v>0.95957857445008488</v>
          </cell>
          <cell r="P93">
            <v>1.0478710305245313</v>
          </cell>
          <cell r="Q93">
            <v>0.99748722383835187</v>
          </cell>
          <cell r="R93">
            <v>1.0434139985107969</v>
          </cell>
          <cell r="S93">
            <v>1.0137364952778956</v>
          </cell>
          <cell r="T93">
            <v>1.2196807980826097</v>
          </cell>
          <cell r="U93">
            <v>0.90768865004244415</v>
          </cell>
          <cell r="V93">
            <v>0.74827940661137737</v>
          </cell>
          <cell r="W93">
            <v>0.69877477907809893</v>
          </cell>
          <cell r="X93">
            <v>0.8669137279667638</v>
          </cell>
          <cell r="Y93">
            <v>0.55277771047849811</v>
          </cell>
          <cell r="Z93">
            <v>0.53333165576245589</v>
          </cell>
          <cell r="AA93">
            <v>0.33411160268303108</v>
          </cell>
          <cell r="AB93">
            <v>0.53728525980911979</v>
          </cell>
          <cell r="AC93">
            <v>0.49413084476816027</v>
          </cell>
          <cell r="AD93">
            <v>1.1970804475226426</v>
          </cell>
          <cell r="AE93">
            <v>0.97012120827516135</v>
          </cell>
          <cell r="AF93">
            <v>0.79716218008221684</v>
          </cell>
          <cell r="AG93">
            <v>1.5447741019627201</v>
          </cell>
          <cell r="AH93">
            <v>1.1339783750684842</v>
          </cell>
          <cell r="AI93">
            <v>1.9058287362086261</v>
          </cell>
          <cell r="AJ93">
            <v>0.96714741695235862</v>
          </cell>
          <cell r="AK93">
            <v>1.0212860727728983</v>
          </cell>
          <cell r="AL93">
            <v>1.5876366883116888</v>
          </cell>
          <cell r="AM93">
            <v>1.3596723613090995</v>
          </cell>
          <cell r="AN93">
            <v>1.0374081670135915</v>
          </cell>
          <cell r="AO93">
            <v>0.98484179754671564</v>
          </cell>
          <cell r="AP93">
            <v>0.81178180574555414</v>
          </cell>
          <cell r="AQ93">
            <v>0.77196353604414036</v>
          </cell>
          <cell r="AR93">
            <v>0.90061759169387345</v>
          </cell>
          <cell r="AS93">
            <v>0.62396886049960054</v>
          </cell>
          <cell r="AT93">
            <v>0.8875609491819263</v>
          </cell>
          <cell r="AU93">
            <v>1.0624547218628722</v>
          </cell>
          <cell r="AV93">
            <v>1.1057262402869097</v>
          </cell>
          <cell r="AW93">
            <v>0.91944790526699771</v>
          </cell>
          <cell r="AX93">
            <v>1.1941494028759441</v>
          </cell>
          <cell r="AY93">
            <v>1.233917137476459</v>
          </cell>
          <cell r="AZ93">
            <v>1.5786752637749126</v>
          </cell>
          <cell r="BA93">
            <v>3.0349097326698296</v>
          </cell>
          <cell r="BB93">
            <v>1.7790802891248281</v>
          </cell>
        </row>
        <row r="94">
          <cell r="A94" t="str">
            <v>Pre-tax Profit</v>
          </cell>
          <cell r="B94">
            <v>-1.9320726589327819E-2</v>
          </cell>
          <cell r="C94">
            <v>0.32214918858137054</v>
          </cell>
          <cell r="D94">
            <v>0.23938045557337073</v>
          </cell>
          <cell r="E94">
            <v>0.38637736190217886</v>
          </cell>
          <cell r="F94">
            <v>-0.26639721436995756</v>
          </cell>
          <cell r="G94">
            <v>-0.31260450405822504</v>
          </cell>
          <cell r="H94">
            <v>9.8699256249795031E-2</v>
          </cell>
          <cell r="I94">
            <v>-1.4580381042355928E-2</v>
          </cell>
          <cell r="J94">
            <v>-6.7820144907426716E-4</v>
          </cell>
          <cell r="K94">
            <v>-2.4921580162685419E-2</v>
          </cell>
          <cell r="L94">
            <v>-6.6451136288830259E-2</v>
          </cell>
          <cell r="M94">
            <v>0.35541564190850927</v>
          </cell>
          <cell r="N94">
            <v>6.9299908458088311E-2</v>
          </cell>
          <cell r="O94">
            <v>0.17242403412295593</v>
          </cell>
          <cell r="P94">
            <v>0.17754840985992404</v>
          </cell>
          <cell r="Q94">
            <v>0.15393296118667577</v>
          </cell>
          <cell r="R94">
            <v>0.19032390171258395</v>
          </cell>
          <cell r="S94">
            <v>0.17434323392362039</v>
          </cell>
          <cell r="T94">
            <v>0.42307669561428085</v>
          </cell>
          <cell r="U94">
            <v>-0.15690839231805098</v>
          </cell>
          <cell r="V94">
            <v>-0.31579021142389863</v>
          </cell>
          <cell r="W94">
            <v>-0.3016431812753757</v>
          </cell>
          <cell r="X94">
            <v>-0.12510886586833792</v>
          </cell>
          <cell r="Y94">
            <v>-0.43232222895215</v>
          </cell>
          <cell r="Z94">
            <v>-0.44842476094615003</v>
          </cell>
          <cell r="AA94">
            <v>-0.70092478949621828</v>
          </cell>
          <cell r="AB94">
            <v>-0.38457317073170749</v>
          </cell>
          <cell r="AC94">
            <v>-0.48596930480587885</v>
          </cell>
          <cell r="AD94">
            <v>0.33812999467234972</v>
          </cell>
          <cell r="AE94">
            <v>3.9736641705799602E-2</v>
          </cell>
          <cell r="AF94">
            <v>-0.13633470362020983</v>
          </cell>
          <cell r="AG94">
            <v>0.53267683002098476</v>
          </cell>
          <cell r="AH94">
            <v>0.19878871378387952</v>
          </cell>
          <cell r="AI94">
            <v>0.97466023069207663</v>
          </cell>
          <cell r="AJ94">
            <v>0.13300626551601846</v>
          </cell>
          <cell r="AK94">
            <v>0.20418786357933127</v>
          </cell>
          <cell r="AL94">
            <v>0.75847494096812351</v>
          </cell>
          <cell r="AM94">
            <v>0.50823793507959136</v>
          </cell>
          <cell r="AN94">
            <v>0.18862648463328036</v>
          </cell>
          <cell r="AO94">
            <v>0.15920841453628309</v>
          </cell>
          <cell r="AP94">
            <v>-0.30187528499771998</v>
          </cell>
          <cell r="AQ94">
            <v>-0.26821878373515684</v>
          </cell>
          <cell r="AR94">
            <v>-5.7498823494808615E-2</v>
          </cell>
          <cell r="AS94">
            <v>-0.32624215809284829</v>
          </cell>
          <cell r="AT94">
            <v>-6.2000216708202771E-2</v>
          </cell>
          <cell r="AU94">
            <v>0.11991483398016411</v>
          </cell>
          <cell r="AV94">
            <v>8.2235505080693105E-2</v>
          </cell>
          <cell r="AW94">
            <v>-4.5798888795353321E-2</v>
          </cell>
          <cell r="AX94">
            <v>0.16800999268827654</v>
          </cell>
          <cell r="AY94">
            <v>0.13793471437539173</v>
          </cell>
          <cell r="AZ94">
            <v>0.47257913247362326</v>
          </cell>
          <cell r="BA94">
            <v>1.6250034718203907</v>
          </cell>
          <cell r="BB94">
            <v>0.61634260092376003</v>
          </cell>
        </row>
        <row r="96">
          <cell r="A96" t="str">
            <v>Per BOE</v>
          </cell>
        </row>
        <row r="98">
          <cell r="A98" t="str">
            <v>Production</v>
          </cell>
          <cell r="B98">
            <v>6.9687332862172431</v>
          </cell>
          <cell r="C98">
            <v>3.686661701018549</v>
          </cell>
          <cell r="D98">
            <v>3.8550140325634041</v>
          </cell>
          <cell r="E98">
            <v>3.3241117439652834</v>
          </cell>
          <cell r="F98">
            <v>3.6943295205646143</v>
          </cell>
          <cell r="G98">
            <v>3.5695233014518157</v>
          </cell>
          <cell r="H98">
            <v>3.2053340323056254</v>
          </cell>
          <cell r="I98">
            <v>3.437883797827114</v>
          </cell>
          <cell r="J98">
            <v>2.8745131293387178</v>
          </cell>
          <cell r="K98">
            <v>3.0750495552053749</v>
          </cell>
          <cell r="L98">
            <v>3.3457799688407439</v>
          </cell>
          <cell r="M98">
            <v>3.4783219731571915</v>
          </cell>
          <cell r="N98">
            <v>3.1820024146257326</v>
          </cell>
          <cell r="O98">
            <v>3.645833333333333</v>
          </cell>
          <cell r="P98">
            <v>3.6440548083812918</v>
          </cell>
          <cell r="Q98">
            <v>3.48887491154965</v>
          </cell>
          <cell r="R98">
            <v>3.4373790022338047</v>
          </cell>
          <cell r="S98">
            <v>3.5482965050904132</v>
          </cell>
          <cell r="T98">
            <v>3.4825847418059572</v>
          </cell>
          <cell r="U98">
            <v>3.330503768852239</v>
          </cell>
          <cell r="V98">
            <v>3.058871627146361</v>
          </cell>
          <cell r="W98">
            <v>3.0265106281347025</v>
          </cell>
          <cell r="X98">
            <v>3.2056766690121767</v>
          </cell>
          <cell r="Y98">
            <v>2.6503937007874012</v>
          </cell>
          <cell r="Z98">
            <v>2.4964771011575237</v>
          </cell>
          <cell r="AA98">
            <v>2.9049521906664766</v>
          </cell>
          <cell r="AB98">
            <v>3.0365853658536586</v>
          </cell>
          <cell r="AC98">
            <v>2.7633478571893089</v>
          </cell>
          <cell r="AD98">
            <v>2.7258923814597762</v>
          </cell>
          <cell r="AE98">
            <v>2.5903033379870544</v>
          </cell>
          <cell r="AF98">
            <v>2.7688635459488129</v>
          </cell>
          <cell r="AG98">
            <v>2.9533390939390194</v>
          </cell>
          <cell r="AH98">
            <v>2.7612878275161945</v>
          </cell>
          <cell r="AI98">
            <v>2.6588515546639924</v>
          </cell>
          <cell r="AJ98">
            <v>2.6116562241399692</v>
          </cell>
          <cell r="AK98">
            <v>2.4480438006159462</v>
          </cell>
          <cell r="AL98">
            <v>2.7602125147579697</v>
          </cell>
          <cell r="AM98">
            <v>2.6176051318602997</v>
          </cell>
          <cell r="AN98">
            <v>2.558099669401249</v>
          </cell>
          <cell r="AO98">
            <v>2.5903932133440333</v>
          </cell>
          <cell r="AP98">
            <v>2.5748974008207934</v>
          </cell>
          <cell r="AQ98">
            <v>2.9593378913278157</v>
          </cell>
          <cell r="AR98">
            <v>2.6691079149386745</v>
          </cell>
          <cell r="AS98">
            <v>2.6851830728869621</v>
          </cell>
          <cell r="AT98">
            <v>2.523133600606783</v>
          </cell>
          <cell r="AU98">
            <v>2.7496765847347997</v>
          </cell>
          <cell r="AV98">
            <v>3.3159593544530783</v>
          </cell>
          <cell r="AW98">
            <v>2.8080646519067258</v>
          </cell>
          <cell r="AX98">
            <v>3.1115037777236161</v>
          </cell>
          <cell r="AY98">
            <v>3.2173258003766478</v>
          </cell>
          <cell r="AZ98">
            <v>3.0661195779601411</v>
          </cell>
          <cell r="BA98">
            <v>3.2760097210970955</v>
          </cell>
          <cell r="BB98">
            <v>3.16780637034371</v>
          </cell>
        </row>
        <row r="99">
          <cell r="A99" t="str">
            <v>Production Taxes</v>
          </cell>
          <cell r="B99">
            <v>1.6895704551060349</v>
          </cell>
          <cell r="C99">
            <v>1.0981792746538344</v>
          </cell>
          <cell r="D99">
            <v>0.75680082108297508</v>
          </cell>
          <cell r="E99">
            <v>1.0669921345267155</v>
          </cell>
          <cell r="F99">
            <v>0.82501825261620843</v>
          </cell>
          <cell r="G99">
            <v>0.63331174027359682</v>
          </cell>
          <cell r="H99">
            <v>1.1343009731004881</v>
          </cell>
          <cell r="I99">
            <v>0.92475875565152854</v>
          </cell>
          <cell r="J99">
            <v>0.95817104311290602</v>
          </cell>
          <cell r="K99">
            <v>0.92968027723673874</v>
          </cell>
          <cell r="L99">
            <v>0.74485981991998063</v>
          </cell>
          <cell r="M99">
            <v>1.0540369615627854</v>
          </cell>
          <cell r="N99">
            <v>0.92379459030010347</v>
          </cell>
          <cell r="O99">
            <v>1.1807318104906939</v>
          </cell>
          <cell r="P99">
            <v>1.1854841176056918</v>
          </cell>
          <cell r="Q99">
            <v>1.1301989150090417</v>
          </cell>
          <cell r="R99">
            <v>1.19463886820551</v>
          </cell>
          <cell r="S99">
            <v>1.1730048754945641</v>
          </cell>
          <cell r="T99">
            <v>1.2209356615930524</v>
          </cell>
          <cell r="U99">
            <v>1.1404208604854513</v>
          </cell>
          <cell r="V99">
            <v>1.1543044036911576</v>
          </cell>
          <cell r="W99">
            <v>1.1653928827322666</v>
          </cell>
          <cell r="X99">
            <v>1.1675191180454154</v>
          </cell>
          <cell r="Y99">
            <v>1.0615384615384613</v>
          </cell>
          <cell r="Z99">
            <v>1.0836688475088072</v>
          </cell>
          <cell r="AA99">
            <v>1.277151420008563</v>
          </cell>
          <cell r="AB99">
            <v>0.97030752916224827</v>
          </cell>
          <cell r="AC99">
            <v>1.094004031995838</v>
          </cell>
          <cell r="AD99">
            <v>1.3601491742141716</v>
          </cell>
          <cell r="AE99">
            <v>1.1853027033887551</v>
          </cell>
          <cell r="AF99">
            <v>1.1493170667020287</v>
          </cell>
          <cell r="AG99">
            <v>1.266139982718183</v>
          </cell>
          <cell r="AH99">
            <v>1.2399690612008121</v>
          </cell>
          <cell r="AI99">
            <v>1.5353560682046139</v>
          </cell>
          <cell r="AJ99">
            <v>1.235961697600189</v>
          </cell>
          <cell r="AK99">
            <v>1.1805634766738908</v>
          </cell>
          <cell r="AL99">
            <v>1.3661157024793391</v>
          </cell>
          <cell r="AM99">
            <v>1.3251960085531005</v>
          </cell>
          <cell r="AN99">
            <v>1.3954940614668789</v>
          </cell>
          <cell r="AO99">
            <v>1.3880545683824372</v>
          </cell>
          <cell r="AP99">
            <v>1.2913816689466482</v>
          </cell>
          <cell r="AQ99">
            <v>1.3364519611370997</v>
          </cell>
          <cell r="AR99">
            <v>1.3522456542839494</v>
          </cell>
          <cell r="AS99">
            <v>1.2448956313448156</v>
          </cell>
          <cell r="AT99">
            <v>1.3538844945281179</v>
          </cell>
          <cell r="AU99">
            <v>1.5417205692108671</v>
          </cell>
          <cell r="AV99">
            <v>1.5844590555887628</v>
          </cell>
          <cell r="AW99">
            <v>1.4300867076353228</v>
          </cell>
          <cell r="AX99">
            <v>1.6820619059224955</v>
          </cell>
          <cell r="AY99">
            <v>1.8659133709981166</v>
          </cell>
          <cell r="AZ99">
            <v>2.1158264947245016</v>
          </cell>
          <cell r="BA99">
            <v>2.5934498321953479</v>
          </cell>
          <cell r="BB99">
            <v>2.0731509807450061</v>
          </cell>
        </row>
        <row r="100">
          <cell r="A100" t="str">
            <v>Total LOE</v>
          </cell>
          <cell r="B100">
            <v>8.6583037413232784</v>
          </cell>
          <cell r="C100">
            <v>4.7848409756723829</v>
          </cell>
          <cell r="D100">
            <v>4.6118148536463792</v>
          </cell>
          <cell r="E100">
            <v>4.3911038784919985</v>
          </cell>
          <cell r="F100">
            <v>4.5193477731808223</v>
          </cell>
          <cell r="G100">
            <v>4.2028350417254128</v>
          </cell>
          <cell r="H100">
            <v>4.3396350054061132</v>
          </cell>
          <cell r="I100">
            <v>4.3626425534786426</v>
          </cell>
          <cell r="J100">
            <v>3.8326841724516241</v>
          </cell>
          <cell r="K100">
            <v>4.0047298324421137</v>
          </cell>
          <cell r="L100">
            <v>4.0906397887607246</v>
          </cell>
          <cell r="M100">
            <v>4.5323589347199764</v>
          </cell>
          <cell r="N100">
            <v>4.1057970049258365</v>
          </cell>
          <cell r="O100">
            <v>4.8265651438240269</v>
          </cell>
          <cell r="P100">
            <v>4.8295389259869834</v>
          </cell>
          <cell r="Q100">
            <v>4.6190738265586919</v>
          </cell>
          <cell r="R100">
            <v>4.6320178704393147</v>
          </cell>
          <cell r="S100">
            <v>4.7213013805849773</v>
          </cell>
          <cell r="T100">
            <v>4.7035204033990095</v>
          </cell>
          <cell r="U100">
            <v>4.4709246293376905</v>
          </cell>
          <cell r="V100">
            <v>4.2131760308375181</v>
          </cell>
          <cell r="W100">
            <v>4.1919035108669691</v>
          </cell>
          <cell r="X100">
            <v>4.3731957870575924</v>
          </cell>
          <cell r="Y100">
            <v>3.7119321623258625</v>
          </cell>
          <cell r="Z100">
            <v>3.5801459486663312</v>
          </cell>
          <cell r="AA100">
            <v>4.1821036106750391</v>
          </cell>
          <cell r="AB100">
            <v>4.0068928950159073</v>
          </cell>
          <cell r="AC100">
            <v>3.8573518891851468</v>
          </cell>
          <cell r="AD100">
            <v>4.0860415556739476</v>
          </cell>
          <cell r="AE100">
            <v>3.7756060413758092</v>
          </cell>
          <cell r="AF100">
            <v>3.9181806126508416</v>
          </cell>
          <cell r="AG100">
            <v>4.2194790766572021</v>
          </cell>
          <cell r="AH100">
            <v>4.0012568887170064</v>
          </cell>
          <cell r="AI100">
            <v>4.194207622868606</v>
          </cell>
          <cell r="AJ100">
            <v>3.8476179217401585</v>
          </cell>
          <cell r="AK100">
            <v>3.628607277289837</v>
          </cell>
          <cell r="AL100">
            <v>4.126328217237309</v>
          </cell>
          <cell r="AM100">
            <v>3.9428011404134002</v>
          </cell>
          <cell r="AN100">
            <v>3.9535937308681279</v>
          </cell>
          <cell r="AO100">
            <v>3.9784477817264703</v>
          </cell>
          <cell r="AP100">
            <v>3.8662790697674416</v>
          </cell>
          <cell r="AQ100">
            <v>4.2957898524649156</v>
          </cell>
          <cell r="AR100">
            <v>4.0213535692226241</v>
          </cell>
          <cell r="AS100">
            <v>3.9300787042317777</v>
          </cell>
          <cell r="AT100">
            <v>3.8770180951349009</v>
          </cell>
          <cell r="AU100">
            <v>4.2913971539456668</v>
          </cell>
          <cell r="AV100">
            <v>4.9004184100418406</v>
          </cell>
          <cell r="AW100">
            <v>4.2381513595420488</v>
          </cell>
          <cell r="AX100">
            <v>4.7935656836461114</v>
          </cell>
          <cell r="AY100">
            <v>5.083239171374764</v>
          </cell>
          <cell r="AZ100">
            <v>5.1819460726846422</v>
          </cell>
          <cell r="BA100">
            <v>5.8694595532924438</v>
          </cell>
          <cell r="BB100">
            <v>5.2409573510887162</v>
          </cell>
        </row>
        <row r="102">
          <cell r="A102" t="str">
            <v>G&amp;A</v>
          </cell>
          <cell r="B102">
            <v>3.707412694692434</v>
          </cell>
          <cell r="C102">
            <v>2.3011130651514433</v>
          </cell>
          <cell r="D102">
            <v>2.6986718786447224</v>
          </cell>
          <cell r="E102">
            <v>2.6097097911581231</v>
          </cell>
          <cell r="F102">
            <v>2.9625400153509185</v>
          </cell>
          <cell r="G102">
            <v>2.5092405593872651</v>
          </cell>
          <cell r="H102">
            <v>4.055076832344942</v>
          </cell>
          <cell r="I102">
            <v>3.0672784938254942</v>
          </cell>
          <cell r="J102">
            <v>1.9642506383814573</v>
          </cell>
          <cell r="K102">
            <v>2.1890183274343347</v>
          </cell>
          <cell r="L102">
            <v>2.4137451816526112</v>
          </cell>
          <cell r="M102">
            <v>2.4769868596725457</v>
          </cell>
          <cell r="N102">
            <v>2.2507761296998967</v>
          </cell>
          <cell r="O102">
            <v>2.2282148900169205</v>
          </cell>
          <cell r="P102">
            <v>2.2221995680697861</v>
          </cell>
          <cell r="Q102">
            <v>2.2112587467568208</v>
          </cell>
          <cell r="R102">
            <v>2.1507073715562171</v>
          </cell>
          <cell r="S102">
            <v>2.2010829847204194</v>
          </cell>
          <cell r="T102">
            <v>1.9516294705387989</v>
          </cell>
          <cell r="U102">
            <v>1.60340568933935</v>
          </cell>
          <cell r="V102">
            <v>1.5614998247868241</v>
          </cell>
          <cell r="W102">
            <v>1.5956532123238594</v>
          </cell>
          <cell r="X102">
            <v>1.6615508898245999</v>
          </cell>
          <cell r="Y102">
            <v>1.5485160508782556</v>
          </cell>
          <cell r="Z102">
            <v>1.9593608454957219</v>
          </cell>
          <cell r="AA102">
            <v>1.4013129727415443</v>
          </cell>
          <cell r="AB102">
            <v>1.6137327677624602</v>
          </cell>
          <cell r="AC102">
            <v>1.6371528906808872</v>
          </cell>
          <cell r="AD102">
            <v>1.494405966968567</v>
          </cell>
          <cell r="AE102">
            <v>1.64564030968397</v>
          </cell>
          <cell r="AF102">
            <v>1.5813552579233523</v>
          </cell>
          <cell r="AG102">
            <v>1.7742254042710774</v>
          </cell>
          <cell r="AH102">
            <v>1.6269941022914052</v>
          </cell>
          <cell r="AI102">
            <v>1.5631895687061184</v>
          </cell>
          <cell r="AJ102">
            <v>1.6668636954722782</v>
          </cell>
          <cell r="AK102">
            <v>1.7147256758298166</v>
          </cell>
          <cell r="AL102">
            <v>2.0815820543093269</v>
          </cell>
          <cell r="AM102">
            <v>1.7590876692801143</v>
          </cell>
          <cell r="AN102">
            <v>2.0203257009917963</v>
          </cell>
          <cell r="AO102">
            <v>2.0029806259314458</v>
          </cell>
          <cell r="AP102">
            <v>1.682284541723666</v>
          </cell>
          <cell r="AQ102">
            <v>2.0536164087801367</v>
          </cell>
          <cell r="AR102">
            <v>1.9368216712256241</v>
          </cell>
          <cell r="AS102">
            <v>1.4683472111326563</v>
          </cell>
          <cell r="AT102">
            <v>1.4387257557698561</v>
          </cell>
          <cell r="AU102">
            <v>1.590556274256145</v>
          </cell>
          <cell r="AV102">
            <v>2.3315002988643156</v>
          </cell>
          <cell r="AW102">
            <v>1.6950921794763871</v>
          </cell>
          <cell r="AX102">
            <v>1.7866195466731654</v>
          </cell>
          <cell r="AY102">
            <v>1.8949152542372885</v>
          </cell>
          <cell r="AZ102">
            <v>1.8703399765533413</v>
          </cell>
          <cell r="BA102">
            <v>1.6963314431200094</v>
          </cell>
          <cell r="BB102">
            <v>1.8105092675904264</v>
          </cell>
        </row>
        <row r="103">
          <cell r="A103" t="str">
            <v>Net Interest Expense</v>
          </cell>
          <cell r="B103">
            <v>5.2360974732462111</v>
          </cell>
          <cell r="C103">
            <v>1.5739739535892672</v>
          </cell>
          <cell r="D103">
            <v>0.5450969511401611</v>
          </cell>
          <cell r="E103">
            <v>-0.27881746677515595</v>
          </cell>
          <cell r="F103">
            <v>-1.2703820880992942</v>
          </cell>
          <cell r="G103">
            <v>-1.3420721716267194</v>
          </cell>
          <cell r="H103">
            <v>-1.2139182857704531</v>
          </cell>
          <cell r="I103">
            <v>-1.0249004656184628</v>
          </cell>
          <cell r="J103">
            <v>-1.1498052517354873</v>
          </cell>
          <cell r="K103">
            <v>-1.2508676156767626</v>
          </cell>
          <cell r="L103">
            <v>-1.3714461259389834</v>
          </cell>
          <cell r="M103">
            <v>-1.3175462019534818</v>
          </cell>
          <cell r="N103">
            <v>-1.2676785098309762</v>
          </cell>
          <cell r="O103">
            <v>-1.3747884940778341</v>
          </cell>
          <cell r="P103">
            <v>-1.2813802967736205</v>
          </cell>
          <cell r="Q103">
            <v>-1.1989936315748095</v>
          </cell>
          <cell r="R103">
            <v>-1.2638868205510052</v>
          </cell>
          <cell r="S103">
            <v>-1.2776536146502306</v>
          </cell>
          <cell r="T103">
            <v>-1.3432626762536182</v>
          </cell>
          <cell r="U103">
            <v>-1.4544386931241584</v>
          </cell>
          <cell r="V103">
            <v>-1.6231748627496789</v>
          </cell>
          <cell r="W103">
            <v>-1.9144972534033915</v>
          </cell>
          <cell r="X103">
            <v>-1.6013476799484523</v>
          </cell>
          <cell r="Y103">
            <v>-2.2724409448818896</v>
          </cell>
          <cell r="Z103">
            <v>-2.1646955208857577</v>
          </cell>
          <cell r="AA103">
            <v>-2.3646353646353644</v>
          </cell>
          <cell r="AB103">
            <v>-3.0886797454931072</v>
          </cell>
          <cell r="AC103">
            <v>-2.4658255836639134</v>
          </cell>
          <cell r="AD103">
            <v>-1.770511454448588</v>
          </cell>
          <cell r="AE103">
            <v>-1.8124127427338492</v>
          </cell>
          <cell r="AF103">
            <v>-1.806524333642753</v>
          </cell>
          <cell r="AG103">
            <v>-1.6812739168003947</v>
          </cell>
          <cell r="AH103">
            <v>-1.7666054336266073</v>
          </cell>
          <cell r="AI103">
            <v>-1.7230441323971917</v>
          </cell>
          <cell r="AJ103">
            <v>-1.5455727627379123</v>
          </cell>
          <cell r="AK103">
            <v>-1.5788753279342993</v>
          </cell>
          <cell r="AL103">
            <v>-1.5230224321133412</v>
          </cell>
          <cell r="AM103">
            <v>-1.5906094084105491</v>
          </cell>
          <cell r="AN103">
            <v>-1.5629974286763808</v>
          </cell>
          <cell r="AO103">
            <v>-1.5748022469333944</v>
          </cell>
          <cell r="AP103">
            <v>-1.5126538987688098</v>
          </cell>
          <cell r="AQ103">
            <v>-1.9226340410219502</v>
          </cell>
          <cell r="AR103">
            <v>-1.6412247419041734</v>
          </cell>
          <cell r="AS103">
            <v>-2.2988479525493322</v>
          </cell>
          <cell r="AT103">
            <v>-2.096651858272836</v>
          </cell>
          <cell r="AU103">
            <v>-2.1041397153945667</v>
          </cell>
          <cell r="AV103">
            <v>-2.2034668260609682</v>
          </cell>
          <cell r="AW103">
            <v>-2.1734152706456769</v>
          </cell>
          <cell r="AX103">
            <v>-2.1829149402875943</v>
          </cell>
          <cell r="AY103">
            <v>-2.0207156308851224</v>
          </cell>
          <cell r="AZ103">
            <v>-2.0078546307151228</v>
          </cell>
          <cell r="BA103">
            <v>-2.0254600162018281</v>
          </cell>
          <cell r="BB103">
            <v>-2.0585747705596544</v>
          </cell>
        </row>
        <row r="104">
          <cell r="A104" t="str">
            <v>Total Cash Expenses</v>
          </cell>
          <cell r="B104">
            <v>17.601813909261924</v>
          </cell>
          <cell r="C104">
            <v>8.6599279944130938</v>
          </cell>
          <cell r="D104">
            <v>7.8555836834312629</v>
          </cell>
          <cell r="E104">
            <v>6.7219962028749656</v>
          </cell>
          <cell r="F104">
            <v>6.211505700432447</v>
          </cell>
          <cell r="G104">
            <v>5.3700034294859584</v>
          </cell>
          <cell r="H104">
            <v>7.1807935519806021</v>
          </cell>
          <cell r="I104">
            <v>6.4050205816856742</v>
          </cell>
          <cell r="J104">
            <v>4.6471295590975936</v>
          </cell>
          <cell r="K104">
            <v>4.9428805441996859</v>
          </cell>
          <cell r="L104">
            <v>5.132938844474352</v>
          </cell>
          <cell r="M104">
            <v>5.6917995924390405</v>
          </cell>
          <cell r="N104">
            <v>5.088894624794758</v>
          </cell>
          <cell r="O104">
            <v>5.6799915397631127</v>
          </cell>
          <cell r="P104">
            <v>5.7703581972831488</v>
          </cell>
          <cell r="Q104">
            <v>5.6313389417407027</v>
          </cell>
          <cell r="R104">
            <v>5.518838421444527</v>
          </cell>
          <cell r="S104">
            <v>5.6447307506551656</v>
          </cell>
          <cell r="T104">
            <v>5.3118871976841895</v>
          </cell>
          <cell r="U104">
            <v>4.6198916255528815</v>
          </cell>
          <cell r="V104">
            <v>4.1515009928746629</v>
          </cell>
          <cell r="W104">
            <v>3.873059469787437</v>
          </cell>
          <cell r="X104">
            <v>4.4333989969337395</v>
          </cell>
          <cell r="Y104">
            <v>2.9880072683222281</v>
          </cell>
          <cell r="Z104">
            <v>3.3748112732762952</v>
          </cell>
          <cell r="AA104">
            <v>3.2187812187812188</v>
          </cell>
          <cell r="AB104">
            <v>2.5319459172852605</v>
          </cell>
          <cell r="AC104">
            <v>3.0286791962021207</v>
          </cell>
          <cell r="AD104">
            <v>3.8099360681939265</v>
          </cell>
          <cell r="AE104">
            <v>3.6088336083259303</v>
          </cell>
          <cell r="AF104">
            <v>3.6930115369314409</v>
          </cell>
          <cell r="AG104">
            <v>4.3124305641278848</v>
          </cell>
          <cell r="AH104">
            <v>3.8616455573818045</v>
          </cell>
          <cell r="AI104">
            <v>4.0343530591775325</v>
          </cell>
          <cell r="AJ104">
            <v>3.9689088544745244</v>
          </cell>
          <cell r="AK104">
            <v>3.7644576251853543</v>
          </cell>
          <cell r="AL104">
            <v>4.6848878394332942</v>
          </cell>
          <cell r="AM104">
            <v>4.1112794012829657</v>
          </cell>
          <cell r="AN104">
            <v>4.4109220031835434</v>
          </cell>
          <cell r="AO104">
            <v>4.406626160724521</v>
          </cell>
          <cell r="AP104">
            <v>4.0359097127222983</v>
          </cell>
          <cell r="AQ104">
            <v>4.4267722202231017</v>
          </cell>
          <cell r="AR104">
            <v>4.3169504985440756</v>
          </cell>
          <cell r="AS104">
            <v>3.0995779628151023</v>
          </cell>
          <cell r="AT104">
            <v>3.2190919926319208</v>
          </cell>
          <cell r="AU104">
            <v>3.7778137128072453</v>
          </cell>
          <cell r="AV104">
            <v>5.0284518828451876</v>
          </cell>
          <cell r="AW104">
            <v>3.7598282683727593</v>
          </cell>
          <cell r="AX104">
            <v>4.3972702900316829</v>
          </cell>
          <cell r="AY104">
            <v>4.9574387947269294</v>
          </cell>
          <cell r="AZ104">
            <v>5.0444314185228603</v>
          </cell>
          <cell r="BA104">
            <v>5.5403309802106246</v>
          </cell>
          <cell r="BB104">
            <v>4.9928918481194886</v>
          </cell>
        </row>
        <row r="106">
          <cell r="A106" t="str">
            <v>Non-Cash Expenses</v>
          </cell>
        </row>
        <row r="107">
          <cell r="A107" t="str">
            <v>Exploration Expense</v>
          </cell>
          <cell r="B107">
            <v>3.2640291045980798</v>
          </cell>
          <cell r="C107">
            <v>2.227735100012064</v>
          </cell>
          <cell r="D107">
            <v>0.90191446888650439</v>
          </cell>
          <cell r="E107">
            <v>0.98345538378085151</v>
          </cell>
          <cell r="F107">
            <v>1.0036130819776474</v>
          </cell>
          <cell r="G107">
            <v>1.4072324048317648</v>
          </cell>
          <cell r="H107">
            <v>0.98145539136987647</v>
          </cell>
          <cell r="I107">
            <v>1.0876577366893851</v>
          </cell>
          <cell r="J107">
            <v>0.47908552155645301</v>
          </cell>
          <cell r="K107">
            <v>0.31271690391919066</v>
          </cell>
          <cell r="L107">
            <v>0.71315198548827141</v>
          </cell>
          <cell r="M107">
            <v>1.001335113484646</v>
          </cell>
          <cell r="N107">
            <v>0.62090375991721292</v>
          </cell>
          <cell r="O107">
            <v>0.98984771573604058</v>
          </cell>
          <cell r="P107">
            <v>0.89883229555236976</v>
          </cell>
          <cell r="Q107">
            <v>0.78622533218020307</v>
          </cell>
          <cell r="R107">
            <v>0.78272524199553239</v>
          </cell>
          <cell r="S107">
            <v>0.8596764191796058</v>
          </cell>
          <cell r="T107">
            <v>0.47483425156410486</v>
          </cell>
          <cell r="U107">
            <v>0.8022772675342581</v>
          </cell>
          <cell r="V107">
            <v>0.77023712183156179</v>
          </cell>
          <cell r="W107">
            <v>0.9687126821112968</v>
          </cell>
          <cell r="X107">
            <v>0.77071649192882719</v>
          </cell>
          <cell r="Y107">
            <v>0.6025439127801332</v>
          </cell>
          <cell r="Z107">
            <v>0.50314544539506789</v>
          </cell>
          <cell r="AA107">
            <v>0.86699015270443847</v>
          </cell>
          <cell r="AB107">
            <v>1.198966065747614</v>
          </cell>
          <cell r="AC107">
            <v>0.78341028809260593</v>
          </cell>
          <cell r="AD107">
            <v>0.97496004262120395</v>
          </cell>
          <cell r="AE107">
            <v>1.406904429496129</v>
          </cell>
          <cell r="AF107">
            <v>1.164036599920435</v>
          </cell>
          <cell r="AG107">
            <v>1.3276138748302677</v>
          </cell>
          <cell r="AH107">
            <v>1.2226626704051049</v>
          </cell>
          <cell r="AI107">
            <v>1.3642176529588768</v>
          </cell>
          <cell r="AJ107">
            <v>1.1636127201796902</v>
          </cell>
          <cell r="AK107">
            <v>1.0149423976274667</v>
          </cell>
          <cell r="AL107">
            <v>1.4206611570247936</v>
          </cell>
          <cell r="AM107">
            <v>1.2370812544547398</v>
          </cell>
          <cell r="AN107">
            <v>1.248928615158565</v>
          </cell>
          <cell r="AO107">
            <v>1.0241889258282704</v>
          </cell>
          <cell r="AP107">
            <v>2.4606703146374831</v>
          </cell>
          <cell r="AQ107">
            <v>2.1550917596257646</v>
          </cell>
          <cell r="AR107">
            <v>1.7261095914585725</v>
          </cell>
          <cell r="AS107">
            <v>0.8298163567925172</v>
          </cell>
          <cell r="AT107">
            <v>0.65500054177050604</v>
          </cell>
          <cell r="AU107">
            <v>0.96798188874514879</v>
          </cell>
          <cell r="AV107">
            <v>1.4549910340705321</v>
          </cell>
          <cell r="AW107">
            <v>0.96725313578584049</v>
          </cell>
          <cell r="AX107">
            <v>1.1819400438703387</v>
          </cell>
          <cell r="AY107">
            <v>1.5186440677966102</v>
          </cell>
          <cell r="AZ107">
            <v>1.6498241500586168</v>
          </cell>
          <cell r="BA107">
            <v>2.6979516259692167</v>
          </cell>
          <cell r="BB107">
            <v>1.7749685081878712</v>
          </cell>
        </row>
        <row r="108">
          <cell r="A108" t="str">
            <v>DD&amp;A</v>
          </cell>
          <cell r="B108">
            <v>9.844090764801031</v>
          </cell>
          <cell r="C108">
            <v>5.9459393652307986</v>
          </cell>
          <cell r="D108">
            <v>3.4012576516142969</v>
          </cell>
          <cell r="E108">
            <v>3.7700027122321673</v>
          </cell>
          <cell r="F108">
            <v>3.4550798434955166</v>
          </cell>
          <cell r="G108">
            <v>3.3437488092062648</v>
          </cell>
          <cell r="H108">
            <v>2.7497460764719373</v>
          </cell>
          <cell r="I108">
            <v>3.312909103178352</v>
          </cell>
          <cell r="J108">
            <v>3.9764098289185599</v>
          </cell>
          <cell r="K108">
            <v>4.0132002669629472</v>
          </cell>
          <cell r="L108">
            <v>4.2240540678920695</v>
          </cell>
          <cell r="M108">
            <v>4.1107441500948632</v>
          </cell>
          <cell r="N108">
            <v>4.0746809244567093</v>
          </cell>
          <cell r="O108">
            <v>3.7330795262267338</v>
          </cell>
          <cell r="P108">
            <v>4.3231034284352727</v>
          </cell>
          <cell r="Q108">
            <v>4.2751002437298533</v>
          </cell>
          <cell r="R108">
            <v>4.3358153387937444</v>
          </cell>
          <cell r="S108">
            <v>4.1766831489460436</v>
          </cell>
          <cell r="T108">
            <v>4.3047903632458677</v>
          </cell>
          <cell r="U108">
            <v>5.5853049866287128</v>
          </cell>
          <cell r="V108">
            <v>5.6141805863800958</v>
          </cell>
          <cell r="W108">
            <v>5.0337950800095523</v>
          </cell>
          <cell r="X108">
            <v>5.1814190710817831</v>
          </cell>
          <cell r="Y108">
            <v>5.3080557238037551</v>
          </cell>
          <cell r="Z108">
            <v>5.3873930548565667</v>
          </cell>
          <cell r="AA108">
            <v>5.3432282003710583</v>
          </cell>
          <cell r="AB108">
            <v>4.3321845174973497</v>
          </cell>
          <cell r="AC108">
            <v>5.0971906093516282</v>
          </cell>
          <cell r="AD108">
            <v>4.1787426744805538</v>
          </cell>
          <cell r="AE108">
            <v>4.1754029699200403</v>
          </cell>
          <cell r="AF108">
            <v>4.4369447022941255</v>
          </cell>
          <cell r="AG108">
            <v>4.7449697568201454</v>
          </cell>
          <cell r="AH108">
            <v>4.3884752973025236</v>
          </cell>
          <cell r="AI108">
            <v>4.2227933801404216</v>
          </cell>
          <cell r="AJ108">
            <v>3.8412341884383494</v>
          </cell>
          <cell r="AK108">
            <v>3.8876468575339347</v>
          </cell>
          <cell r="AL108">
            <v>3.5543093270366</v>
          </cell>
          <cell r="AM108">
            <v>3.8715253029223096</v>
          </cell>
          <cell r="AN108">
            <v>3.8437614791233012</v>
          </cell>
          <cell r="AO108">
            <v>3.9296113722343238</v>
          </cell>
          <cell r="AP108">
            <v>4.2212722298221612</v>
          </cell>
          <cell r="AQ108">
            <v>4.0860021590500182</v>
          </cell>
          <cell r="AR108">
            <v>4.0225888996735204</v>
          </cell>
          <cell r="AS108">
            <v>4.8714497547621765</v>
          </cell>
          <cell r="AT108">
            <v>5.0423664535702679</v>
          </cell>
          <cell r="AU108">
            <v>4.6872574385511001</v>
          </cell>
          <cell r="AV108">
            <v>4.6859533771667667</v>
          </cell>
          <cell r="AW108">
            <v>4.8242276285882646</v>
          </cell>
          <cell r="AX108">
            <v>4.9748964172556658</v>
          </cell>
          <cell r="AY108">
            <v>5.0572504708097927</v>
          </cell>
          <cell r="AZ108">
            <v>4.9867526377491211</v>
          </cell>
          <cell r="BA108">
            <v>5.7614859391274154</v>
          </cell>
          <cell r="BB108">
            <v>5.2014576210185357</v>
          </cell>
        </row>
        <row r="109">
          <cell r="A109" t="str">
            <v>Total Pre-tax Costs</v>
          </cell>
          <cell r="B109">
            <v>30.709933778661036</v>
          </cell>
          <cell r="C109">
            <v>16.833602459655957</v>
          </cell>
          <cell r="D109">
            <v>12.158755803932063</v>
          </cell>
          <cell r="E109">
            <v>11.475454298887986</v>
          </cell>
          <cell r="F109">
            <v>10.670198625905611</v>
          </cell>
          <cell r="G109">
            <v>10.120984643523988</v>
          </cell>
          <cell r="H109">
            <v>10.911995019822417</v>
          </cell>
          <cell r="I109">
            <v>10.805587421553412</v>
          </cell>
          <cell r="J109">
            <v>9.1026249095726062</v>
          </cell>
          <cell r="K109">
            <v>9.2687977150818242</v>
          </cell>
          <cell r="L109">
            <v>10.070144897854693</v>
          </cell>
          <cell r="M109">
            <v>10.803878856018549</v>
          </cell>
          <cell r="N109">
            <v>9.784479309168681</v>
          </cell>
          <cell r="O109">
            <v>10.402918781725887</v>
          </cell>
          <cell r="P109">
            <v>10.992293921270791</v>
          </cell>
          <cell r="Q109">
            <v>10.692664517650758</v>
          </cell>
          <cell r="R109">
            <v>10.637379002233804</v>
          </cell>
          <cell r="S109">
            <v>10.681090318780814</v>
          </cell>
          <cell r="T109">
            <v>10.091511812494161</v>
          </cell>
          <cell r="U109">
            <v>11.007473879715853</v>
          </cell>
          <cell r="V109">
            <v>10.53591870108632</v>
          </cell>
          <cell r="W109">
            <v>9.8755672319082866</v>
          </cell>
          <cell r="X109">
            <v>10.38553455994435</v>
          </cell>
          <cell r="Y109">
            <v>8.8986069049061172</v>
          </cell>
          <cell r="Z109">
            <v>9.2653497735279302</v>
          </cell>
          <cell r="AA109">
            <v>9.4289995718567159</v>
          </cell>
          <cell r="AB109">
            <v>8.0630965005302251</v>
          </cell>
          <cell r="AC109">
            <v>8.9092800936463554</v>
          </cell>
          <cell r="AD109">
            <v>8.963638785295684</v>
          </cell>
          <cell r="AE109">
            <v>9.1911410077421003</v>
          </cell>
          <cell r="AF109">
            <v>9.2939928391460018</v>
          </cell>
          <cell r="AG109">
            <v>10.385014195778298</v>
          </cell>
          <cell r="AH109">
            <v>9.472783525089433</v>
          </cell>
          <cell r="AI109">
            <v>9.6213640922768313</v>
          </cell>
          <cell r="AJ109">
            <v>8.973755763092564</v>
          </cell>
          <cell r="AK109">
            <v>8.6670468803467564</v>
          </cell>
          <cell r="AL109">
            <v>9.6598583234946886</v>
          </cell>
          <cell r="AM109">
            <v>9.219885958660015</v>
          </cell>
          <cell r="AN109">
            <v>9.5036120974654104</v>
          </cell>
          <cell r="AO109">
            <v>9.3604264587871153</v>
          </cell>
          <cell r="AP109">
            <v>10.717852257181942</v>
          </cell>
          <cell r="AQ109">
            <v>10.667866138898884</v>
          </cell>
          <cell r="AR109">
            <v>10.065648989676168</v>
          </cell>
          <cell r="AS109">
            <v>8.8008440743697953</v>
          </cell>
          <cell r="AT109">
            <v>8.9164589879726943</v>
          </cell>
          <cell r="AU109">
            <v>9.4330530401034949</v>
          </cell>
          <cell r="AV109">
            <v>11.169396294082485</v>
          </cell>
          <cell r="AW109">
            <v>9.5513090327468646</v>
          </cell>
          <cell r="AX109">
            <v>10.554106751157686</v>
          </cell>
          <cell r="AY109">
            <v>11.533333333333331</v>
          </cell>
          <cell r="AZ109">
            <v>11.681008206330599</v>
          </cell>
          <cell r="BA109">
            <v>13.999768545307255</v>
          </cell>
          <cell r="BB109">
            <v>11.969317977325895</v>
          </cell>
        </row>
        <row r="111">
          <cell r="A111" t="str">
            <v>Upstream Revenue/Mcfe</v>
          </cell>
          <cell r="B111">
            <v>30.594009419125065</v>
          </cell>
          <cell r="C111">
            <v>18.76649759114418</v>
          </cell>
          <cell r="D111">
            <v>13.59503853737229</v>
          </cell>
          <cell r="E111">
            <v>14.351353403851368</v>
          </cell>
          <cell r="F111">
            <v>11.612579515884455</v>
          </cell>
          <cell r="G111">
            <v>10.929501962428077</v>
          </cell>
          <cell r="H111">
            <v>13.932027128862092</v>
          </cell>
          <cell r="I111">
            <v>12.767906066536202</v>
          </cell>
          <cell r="J111">
            <v>11.398166204349138</v>
          </cell>
          <cell r="K111">
            <v>11.621003465459236</v>
          </cell>
          <cell r="L111">
            <v>12.414330331999679</v>
          </cell>
          <cell r="M111">
            <v>15.57146511137657</v>
          </cell>
          <cell r="N111">
            <v>12.735635779579162</v>
          </cell>
          <cell r="O111">
            <v>14.187039974619289</v>
          </cell>
          <cell r="P111">
            <v>14.620344973977577</v>
          </cell>
          <cell r="Q111">
            <v>14.014249547920434</v>
          </cell>
          <cell r="R111">
            <v>14.307096053611318</v>
          </cell>
          <cell r="S111">
            <v>14.282456951623001</v>
          </cell>
          <cell r="T111">
            <v>15.316497338687084</v>
          </cell>
          <cell r="U111">
            <v>12.974900912055862</v>
          </cell>
          <cell r="V111">
            <v>11.887527158042285</v>
          </cell>
          <cell r="W111">
            <v>11.894702651062813</v>
          </cell>
          <cell r="X111">
            <v>12.837576724631226</v>
          </cell>
          <cell r="Y111">
            <v>10.849555420956996</v>
          </cell>
          <cell r="Z111">
            <v>10.904192249622547</v>
          </cell>
          <cell r="AA111">
            <v>9.952721564150135</v>
          </cell>
          <cell r="AB111">
            <v>11.933016967126193</v>
          </cell>
          <cell r="AC111">
            <v>10.925115432138909</v>
          </cell>
          <cell r="AD111">
            <v>14.533441662226959</v>
          </cell>
          <cell r="AE111">
            <v>13.054386343444598</v>
          </cell>
          <cell r="AF111">
            <v>12.089033284710249</v>
          </cell>
          <cell r="AG111">
            <v>16.943623009504996</v>
          </cell>
          <cell r="AH111">
            <v>14.198726675045924</v>
          </cell>
          <cell r="AI111">
            <v>18.915413741223674</v>
          </cell>
          <cell r="AJ111">
            <v>12.862938881664501</v>
          </cell>
          <cell r="AK111">
            <v>13.049924717691344</v>
          </cell>
          <cell r="AL111">
            <v>17.256752833530108</v>
          </cell>
          <cell r="AM111">
            <v>15.45053238595866</v>
          </cell>
          <cell r="AN111">
            <v>13.761365862617854</v>
          </cell>
          <cell r="AO111">
            <v>13.465281439871605</v>
          </cell>
          <cell r="AP111">
            <v>11.931908344733241</v>
          </cell>
          <cell r="AQ111">
            <v>12.903821518531846</v>
          </cell>
          <cell r="AR111">
            <v>13.003105532515661</v>
          </cell>
          <cell r="AS111">
            <v>11.441087030911369</v>
          </cell>
          <cell r="AT111">
            <v>12.73776140426915</v>
          </cell>
          <cell r="AU111">
            <v>14.360821474773612</v>
          </cell>
          <cell r="AV111">
            <v>16.069742976688584</v>
          </cell>
          <cell r="AW111">
            <v>13.623346241266098</v>
          </cell>
          <cell r="AX111">
            <v>15.927996587862536</v>
          </cell>
          <cell r="AY111">
            <v>16.40237288135593</v>
          </cell>
          <cell r="AZ111">
            <v>18.532192262602582</v>
          </cell>
          <cell r="BA111">
            <v>27.80070940863326</v>
          </cell>
          <cell r="BB111">
            <v>19.784523123987768</v>
          </cell>
        </row>
        <row r="112">
          <cell r="A112" t="str">
            <v>Cash Generation</v>
          </cell>
          <cell r="B112">
            <v>12.992195509863144</v>
          </cell>
          <cell r="C112">
            <v>10.106569596731086</v>
          </cell>
          <cell r="D112">
            <v>5.7394548539410275</v>
          </cell>
          <cell r="E112">
            <v>7.0717222674260913</v>
          </cell>
          <cell r="F112">
            <v>2.8603096392534195</v>
          </cell>
          <cell r="G112">
            <v>2.8753541896886801</v>
          </cell>
          <cell r="H112">
            <v>4.3233970053405848</v>
          </cell>
          <cell r="I112">
            <v>4.313084553613602</v>
          </cell>
          <cell r="J112">
            <v>4.4514261417805683</v>
          </cell>
          <cell r="K112">
            <v>4.1763876899060248</v>
          </cell>
          <cell r="L112">
            <v>4.5384992356473592</v>
          </cell>
          <cell r="M112">
            <v>7.2445731150305654</v>
          </cell>
          <cell r="N112">
            <v>5.1113841351224529</v>
          </cell>
          <cell r="O112">
            <v>5.7574714467005093</v>
          </cell>
          <cell r="P112">
            <v>6.2872261831471885</v>
          </cell>
          <cell r="Q112">
            <v>5.9849233430301112</v>
          </cell>
          <cell r="R112">
            <v>6.2604839910647812</v>
          </cell>
          <cell r="S112">
            <v>6.0824189716673729</v>
          </cell>
          <cell r="T112">
            <v>7.3180847884956579</v>
          </cell>
          <cell r="U112">
            <v>5.4461319002546649</v>
          </cell>
          <cell r="V112">
            <v>4.4896764396682638</v>
          </cell>
          <cell r="W112">
            <v>4.1926486744685931</v>
          </cell>
          <cell r="X112">
            <v>5.2014823678005833</v>
          </cell>
          <cell r="Y112">
            <v>3.3166662628709886</v>
          </cell>
          <cell r="Z112">
            <v>3.1999899345747354</v>
          </cell>
          <cell r="AA112">
            <v>2.0046696160981865</v>
          </cell>
          <cell r="AB112">
            <v>3.2237115588547187</v>
          </cell>
          <cell r="AC112">
            <v>2.9647850686089616</v>
          </cell>
          <cell r="AD112">
            <v>7.1824826851358559</v>
          </cell>
          <cell r="AE112">
            <v>5.8207272496509681</v>
          </cell>
          <cell r="AF112">
            <v>4.7829730804933011</v>
          </cell>
          <cell r="AG112">
            <v>9.2686446117763204</v>
          </cell>
          <cell r="AH112">
            <v>6.8038702504109052</v>
          </cell>
          <cell r="AI112">
            <v>11.434972417251757</v>
          </cell>
          <cell r="AJ112">
            <v>5.8028845017141517</v>
          </cell>
          <cell r="AK112">
            <v>6.1277164366373897</v>
          </cell>
          <cell r="AL112">
            <v>9.5258201298701337</v>
          </cell>
          <cell r="AM112">
            <v>8.1580341678545967</v>
          </cell>
          <cell r="AN112">
            <v>6.2244490020815491</v>
          </cell>
          <cell r="AO112">
            <v>5.9090507852802938</v>
          </cell>
          <cell r="AP112">
            <v>4.8706908344733248</v>
          </cell>
          <cell r="AQ112">
            <v>4.6317812162648426</v>
          </cell>
          <cell r="AR112">
            <v>5.4037055501632407</v>
          </cell>
          <cell r="AS112">
            <v>3.7438131629976032</v>
          </cell>
          <cell r="AT112">
            <v>5.3253656950915573</v>
          </cell>
          <cell r="AU112">
            <v>6.3747283311772325</v>
          </cell>
          <cell r="AV112">
            <v>6.6343574417214581</v>
          </cell>
          <cell r="AW112">
            <v>5.5166874316019863</v>
          </cell>
          <cell r="AX112">
            <v>7.1648964172556644</v>
          </cell>
          <cell r="AY112">
            <v>7.4035028248587542</v>
          </cell>
          <cell r="AZ112">
            <v>9.4720515826494758</v>
          </cell>
          <cell r="BA112">
            <v>18.209458396018977</v>
          </cell>
          <cell r="BB112">
            <v>10.674481734748969</v>
          </cell>
        </row>
        <row r="113">
          <cell r="A113" t="str">
            <v>Pre-tax Profit</v>
          </cell>
          <cell r="B113">
            <v>-0.11592435953596691</v>
          </cell>
          <cell r="C113">
            <v>1.9328951314882232</v>
          </cell>
          <cell r="D113">
            <v>1.4362827334402244</v>
          </cell>
          <cell r="E113">
            <v>2.3182641714130732</v>
          </cell>
          <cell r="F113">
            <v>-1.5983832862197453</v>
          </cell>
          <cell r="G113">
            <v>-1.8756270243493502</v>
          </cell>
          <cell r="H113">
            <v>0.59219553749877019</v>
          </cell>
          <cell r="I113">
            <v>-8.7482286254135566E-2</v>
          </cell>
          <cell r="J113">
            <v>-4.069208694445603E-3</v>
          </cell>
          <cell r="K113">
            <v>-0.14952948097611252</v>
          </cell>
          <cell r="L113">
            <v>-0.39870681773298156</v>
          </cell>
          <cell r="M113">
            <v>2.1324938514510556</v>
          </cell>
          <cell r="N113">
            <v>0.41579945074852986</v>
          </cell>
          <cell r="O113">
            <v>1.0345442047377356</v>
          </cell>
          <cell r="P113">
            <v>1.0652904591595442</v>
          </cell>
          <cell r="Q113">
            <v>0.92359776712005459</v>
          </cell>
          <cell r="R113">
            <v>1.1419434102755037</v>
          </cell>
          <cell r="S113">
            <v>1.0460594035417223</v>
          </cell>
          <cell r="T113">
            <v>2.5384601736856851</v>
          </cell>
          <cell r="U113">
            <v>-0.94145035390830589</v>
          </cell>
          <cell r="V113">
            <v>-1.8947412685433918</v>
          </cell>
          <cell r="W113">
            <v>-1.8098590876522542</v>
          </cell>
          <cell r="X113">
            <v>-0.75065319521002749</v>
          </cell>
          <cell r="Y113">
            <v>-2.5939333737129</v>
          </cell>
          <cell r="Z113">
            <v>-2.6905485656769002</v>
          </cell>
          <cell r="AA113">
            <v>-4.2055487369773097</v>
          </cell>
          <cell r="AB113">
            <v>-2.307439024390245</v>
          </cell>
          <cell r="AC113">
            <v>-2.9158158288352731</v>
          </cell>
          <cell r="AD113">
            <v>2.0287799680340983</v>
          </cell>
          <cell r="AE113">
            <v>0.23841985023479761</v>
          </cell>
          <cell r="AF113">
            <v>-0.81800822172125898</v>
          </cell>
          <cell r="AG113">
            <v>3.1960609801259086</v>
          </cell>
          <cell r="AH113">
            <v>1.1927322827032771</v>
          </cell>
          <cell r="AI113">
            <v>5.8479613841524598</v>
          </cell>
          <cell r="AJ113">
            <v>0.79803759309611078</v>
          </cell>
          <cell r="AK113">
            <v>1.2251271814759876</v>
          </cell>
          <cell r="AL113">
            <v>4.5508496458087411</v>
          </cell>
          <cell r="AM113">
            <v>3.0494276104775482</v>
          </cell>
          <cell r="AN113">
            <v>1.1317589077996821</v>
          </cell>
          <cell r="AO113">
            <v>0.95525048721769856</v>
          </cell>
          <cell r="AP113">
            <v>-1.8112517099863199</v>
          </cell>
          <cell r="AQ113">
            <v>-1.609312702410941</v>
          </cell>
          <cell r="AR113">
            <v>-0.34499294096885169</v>
          </cell>
          <cell r="AS113">
            <v>-1.9574529485570897</v>
          </cell>
          <cell r="AT113">
            <v>-0.37200130024921663</v>
          </cell>
          <cell r="AU113">
            <v>0.71948900388098469</v>
          </cell>
          <cell r="AV113">
            <v>0.49341303048415863</v>
          </cell>
          <cell r="AW113">
            <v>-0.27479333277211992</v>
          </cell>
          <cell r="AX113">
            <v>1.0080599561296593</v>
          </cell>
          <cell r="AY113">
            <v>0.82760828625235039</v>
          </cell>
          <cell r="AZ113">
            <v>2.8354747948417396</v>
          </cell>
          <cell r="BA113">
            <v>9.7500208309223453</v>
          </cell>
          <cell r="BB113">
            <v>3.6980556055425602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US_CoreIndustrials"/>
      <sheetName val="Model"/>
      <sheetName val="EOGVALUE"/>
      <sheetName val="EOGCMP"/>
      <sheetName val="Balance Sheet"/>
      <sheetName val="Module1"/>
    </sheetNames>
    <sheetDataSet>
      <sheetData sheetId="0" refreshError="1"/>
      <sheetData sheetId="1" refreshError="1">
        <row r="130">
          <cell r="A130" t="str">
            <v>BARRELS OF OIL EQUIVALENTS</v>
          </cell>
        </row>
        <row r="131">
          <cell r="A131" t="str">
            <v>Natural Gas (Bcf)</v>
          </cell>
        </row>
        <row r="132">
          <cell r="A132" t="str">
            <v xml:space="preserve">  U.S. </v>
          </cell>
          <cell r="B132">
            <v>20.074999999999999</v>
          </cell>
          <cell r="C132">
            <v>19.702999999999999</v>
          </cell>
          <cell r="D132">
            <v>19.953333333333333</v>
          </cell>
          <cell r="E132">
            <v>6.57</v>
          </cell>
          <cell r="F132">
            <v>6.3093333333333339</v>
          </cell>
          <cell r="G132">
            <v>5.7653333333333334</v>
          </cell>
          <cell r="H132">
            <v>7.9733333333333336</v>
          </cell>
          <cell r="I132">
            <v>26.584166666666665</v>
          </cell>
          <cell r="J132">
            <v>6.96</v>
          </cell>
          <cell r="K132">
            <v>6.2941666666666665</v>
          </cell>
          <cell r="L132">
            <v>6.1640000000000006</v>
          </cell>
          <cell r="M132">
            <v>8.908666666666667</v>
          </cell>
          <cell r="N132">
            <v>28.348333333333333</v>
          </cell>
          <cell r="O132">
            <v>7.6591666666666667</v>
          </cell>
          <cell r="P132">
            <v>7.8866666666666667</v>
          </cell>
          <cell r="Q132">
            <v>8.0346666666666664</v>
          </cell>
          <cell r="R132">
            <v>8.74</v>
          </cell>
          <cell r="S132">
            <v>32.320500000000003</v>
          </cell>
          <cell r="T132">
            <v>9.7200000000000006</v>
          </cell>
          <cell r="U132">
            <v>9.7521666666666658</v>
          </cell>
          <cell r="V132">
            <v>9.9666666666666668</v>
          </cell>
          <cell r="W132">
            <v>10.012666666666666</v>
          </cell>
          <cell r="X132">
            <v>39.451500000000003</v>
          </cell>
          <cell r="Y132">
            <v>10.26</v>
          </cell>
          <cell r="Z132">
            <v>9.2061666666666664</v>
          </cell>
          <cell r="AA132">
            <v>8.2493333333333343</v>
          </cell>
          <cell r="AB132">
            <v>9.6293333333333333</v>
          </cell>
          <cell r="AC132">
            <v>37.344833333333334</v>
          </cell>
          <cell r="AD132">
            <v>8.2050000000000001</v>
          </cell>
          <cell r="AE132">
            <v>7.1890000000000001</v>
          </cell>
          <cell r="AF132">
            <v>8.9239999999999995</v>
          </cell>
          <cell r="AG132">
            <v>9.7366666666666664</v>
          </cell>
          <cell r="AH132">
            <v>34.05466666666667</v>
          </cell>
          <cell r="AI132">
            <v>9.375</v>
          </cell>
          <cell r="AJ132">
            <v>9.0544999999999991</v>
          </cell>
          <cell r="AK132">
            <v>8.7553333333333327</v>
          </cell>
          <cell r="AL132">
            <v>9.7826666666666657</v>
          </cell>
          <cell r="AM132">
            <v>36.967500000000001</v>
          </cell>
          <cell r="AN132">
            <v>9.6449999999999996</v>
          </cell>
          <cell r="AO132">
            <v>10.449833333333332</v>
          </cell>
          <cell r="AP132">
            <v>9.798</v>
          </cell>
          <cell r="AQ132">
            <v>10.058666666666666</v>
          </cell>
          <cell r="AR132">
            <v>39.951500000000003</v>
          </cell>
          <cell r="AS132">
            <v>9.66</v>
          </cell>
          <cell r="AT132">
            <v>9.4640000000000004</v>
          </cell>
          <cell r="AU132">
            <v>10.610666666666667</v>
          </cell>
          <cell r="AV132">
            <v>11.070666666666668</v>
          </cell>
          <cell r="AW132">
            <v>40.80533333333333</v>
          </cell>
          <cell r="AX132">
            <v>10.154999999999999</v>
          </cell>
          <cell r="AY132">
            <v>9.7370000000000001</v>
          </cell>
          <cell r="AZ132">
            <v>9.8439999999999994</v>
          </cell>
          <cell r="BA132">
            <v>10.089333333333334</v>
          </cell>
          <cell r="BB132">
            <v>39.825333333333333</v>
          </cell>
        </row>
        <row r="133">
          <cell r="A133" t="str">
            <v xml:space="preserve">  Canada</v>
          </cell>
          <cell r="B133">
            <v>0.85166666666666668</v>
          </cell>
          <cell r="C133">
            <v>0.91500000000000004</v>
          </cell>
          <cell r="D133">
            <v>0.97333333333333327</v>
          </cell>
          <cell r="E133">
            <v>0.255</v>
          </cell>
          <cell r="F133">
            <v>0.24266666666666667</v>
          </cell>
          <cell r="G133">
            <v>0.27599999999999997</v>
          </cell>
          <cell r="H133">
            <v>0.29133333333333333</v>
          </cell>
          <cell r="I133">
            <v>1.095</v>
          </cell>
          <cell r="J133">
            <v>0.33</v>
          </cell>
          <cell r="K133">
            <v>0.36400000000000005</v>
          </cell>
          <cell r="L133">
            <v>0.33733333333333332</v>
          </cell>
          <cell r="M133">
            <v>0.47533333333333333</v>
          </cell>
          <cell r="N133">
            <v>1.5208333333333333</v>
          </cell>
          <cell r="O133">
            <v>0.45500000000000002</v>
          </cell>
          <cell r="P133">
            <v>0.47016666666666668</v>
          </cell>
          <cell r="Q133">
            <v>0.36800000000000005</v>
          </cell>
          <cell r="R133">
            <v>0.45999999999999996</v>
          </cell>
          <cell r="S133">
            <v>1.7531666666666668</v>
          </cell>
          <cell r="T133">
            <v>0.85499999999999998</v>
          </cell>
          <cell r="U133">
            <v>0.78866666666666674</v>
          </cell>
          <cell r="V133">
            <v>0.81266666666666676</v>
          </cell>
          <cell r="W133">
            <v>1.0886666666666667</v>
          </cell>
          <cell r="X133">
            <v>3.5449999999999999</v>
          </cell>
          <cell r="Y133">
            <v>1.095</v>
          </cell>
          <cell r="Z133">
            <v>1.0919999999999999</v>
          </cell>
          <cell r="AA133">
            <v>1.0426666666666666</v>
          </cell>
          <cell r="AB133">
            <v>1.1500000000000001</v>
          </cell>
          <cell r="AC133">
            <v>4.3796666666666662</v>
          </cell>
          <cell r="AD133">
            <v>1.1100000000000001</v>
          </cell>
          <cell r="AE133">
            <v>1.1223333333333334</v>
          </cell>
          <cell r="AF133">
            <v>1.1500000000000001</v>
          </cell>
          <cell r="AG133">
            <v>1.242</v>
          </cell>
          <cell r="AH133">
            <v>4.6243333333333334</v>
          </cell>
          <cell r="AI133">
            <v>1.3499999999999999</v>
          </cell>
          <cell r="AJ133">
            <v>1.5621666666666665</v>
          </cell>
          <cell r="AK133">
            <v>1.518</v>
          </cell>
          <cell r="AL133">
            <v>1.5333333333333332</v>
          </cell>
          <cell r="AM133">
            <v>5.9634999999999998</v>
          </cell>
          <cell r="AN133">
            <v>1.425</v>
          </cell>
          <cell r="AO133">
            <v>1.3953333333333333</v>
          </cell>
          <cell r="AP133">
            <v>1.6713333333333333</v>
          </cell>
          <cell r="AQ133">
            <v>1.6866666666666665</v>
          </cell>
          <cell r="AR133">
            <v>6.1783333333333337</v>
          </cell>
          <cell r="AS133">
            <v>1.5149999999999999</v>
          </cell>
          <cell r="AT133">
            <v>1.4863333333333333</v>
          </cell>
          <cell r="AU133">
            <v>1.6253333333333335</v>
          </cell>
          <cell r="AV133">
            <v>1.7786666666666668</v>
          </cell>
          <cell r="AW133">
            <v>6.405333333333334</v>
          </cell>
          <cell r="AX133">
            <v>1.5599999999999998</v>
          </cell>
          <cell r="AY133">
            <v>1.6986666666666668</v>
          </cell>
          <cell r="AZ133">
            <v>1.7939999999999998</v>
          </cell>
          <cell r="BA133">
            <v>1.9013333333333333</v>
          </cell>
          <cell r="BB133">
            <v>6.9539999999999997</v>
          </cell>
        </row>
        <row r="134">
          <cell r="A134" t="str">
            <v xml:space="preserve">  Trinidad</v>
          </cell>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0.13799999999999998</v>
          </cell>
          <cell r="X134">
            <v>0.13799999999999998</v>
          </cell>
          <cell r="Y134">
            <v>0.63</v>
          </cell>
          <cell r="Z134">
            <v>1.2285000000000001</v>
          </cell>
          <cell r="AA134">
            <v>1.012</v>
          </cell>
          <cell r="AB134">
            <v>0.98133333333333328</v>
          </cell>
          <cell r="AC134">
            <v>3.851833333333333</v>
          </cell>
          <cell r="AD134">
            <v>1.425</v>
          </cell>
          <cell r="AE134">
            <v>1.8503333333333334</v>
          </cell>
          <cell r="AF134">
            <v>1.7173333333333334</v>
          </cell>
          <cell r="AG134">
            <v>1.5026666666666666</v>
          </cell>
          <cell r="AH134">
            <v>6.4953333333333338</v>
          </cell>
          <cell r="AI134">
            <v>1.9950000000000001</v>
          </cell>
          <cell r="AJ134">
            <v>2.1233333333333335</v>
          </cell>
          <cell r="AK134">
            <v>1.5946666666666667</v>
          </cell>
          <cell r="AL134">
            <v>1.8706666666666667</v>
          </cell>
          <cell r="AM134">
            <v>7.5836666666666659</v>
          </cell>
          <cell r="AN134">
            <v>1.68</v>
          </cell>
          <cell r="AO134">
            <v>1.7290000000000001</v>
          </cell>
          <cell r="AP134">
            <v>1.7633333333333334</v>
          </cell>
          <cell r="AQ134">
            <v>1.6559999999999999</v>
          </cell>
          <cell r="AR134">
            <v>6.8283333333333331</v>
          </cell>
          <cell r="AS134">
            <v>1.635</v>
          </cell>
          <cell r="AT134">
            <v>2.0020000000000002</v>
          </cell>
          <cell r="AU134">
            <v>2.4993333333333334</v>
          </cell>
          <cell r="AV134">
            <v>2.3460000000000001</v>
          </cell>
          <cell r="AW134">
            <v>8.4710416666666664</v>
          </cell>
          <cell r="AX134">
            <v>2.2799999999999998</v>
          </cell>
          <cell r="AY134">
            <v>1.9716666666666667</v>
          </cell>
          <cell r="AZ134">
            <v>1.748</v>
          </cell>
          <cell r="BA134">
            <v>1.4873333333333332</v>
          </cell>
          <cell r="BB134">
            <v>7.4977083333333328</v>
          </cell>
        </row>
        <row r="135">
          <cell r="A135" t="str">
            <v xml:space="preserve">  India</v>
          </cell>
          <cell r="AP135">
            <v>0.52133333333333332</v>
          </cell>
          <cell r="AQ135">
            <v>0.58266666666666667</v>
          </cell>
          <cell r="AR135">
            <v>1.1191666666666666</v>
          </cell>
          <cell r="AS135">
            <v>0.70500000000000007</v>
          </cell>
          <cell r="AT135">
            <v>0.8038333333333334</v>
          </cell>
          <cell r="AU135">
            <v>0.88933333333333342</v>
          </cell>
          <cell r="AV135">
            <v>0.95066666666666666</v>
          </cell>
          <cell r="AW135">
            <v>3.3458333333333332</v>
          </cell>
          <cell r="AX135">
            <v>1.0649999999999999</v>
          </cell>
          <cell r="AY135">
            <v>1.1375</v>
          </cell>
          <cell r="AZ135">
            <v>0.58266666666666667</v>
          </cell>
          <cell r="BA135">
            <v>0</v>
          </cell>
          <cell r="BB135">
            <v>2.7983333333333333</v>
          </cell>
        </row>
        <row r="136">
          <cell r="A136" t="str">
            <v>Total</v>
          </cell>
          <cell r="B136">
            <v>20.926666666666666</v>
          </cell>
          <cell r="C136">
            <v>20.617999999999999</v>
          </cell>
          <cell r="D136">
            <v>20.926666666666666</v>
          </cell>
          <cell r="E136">
            <v>6.8250000000000002</v>
          </cell>
          <cell r="F136">
            <v>6.5520000000000005</v>
          </cell>
          <cell r="G136">
            <v>6.0413333333333332</v>
          </cell>
          <cell r="H136">
            <v>8.2646666666666668</v>
          </cell>
          <cell r="I136">
            <v>27.679166666666664</v>
          </cell>
          <cell r="J136">
            <v>7.2899999999999991</v>
          </cell>
          <cell r="K136">
            <v>6.6581666666666663</v>
          </cell>
          <cell r="L136">
            <v>6.5013333333333341</v>
          </cell>
          <cell r="M136">
            <v>9.3839999999999986</v>
          </cell>
          <cell r="N136">
            <v>29.869166666666668</v>
          </cell>
          <cell r="O136">
            <v>8.1141666666666659</v>
          </cell>
          <cell r="P136">
            <v>8.3568333333333324</v>
          </cell>
          <cell r="Q136">
            <v>8.4026666666666667</v>
          </cell>
          <cell r="R136">
            <v>9.1999999999999993</v>
          </cell>
          <cell r="S136">
            <v>34.073666666666668</v>
          </cell>
          <cell r="T136">
            <v>10.575000000000001</v>
          </cell>
          <cell r="U136">
            <v>10.540833333333333</v>
          </cell>
          <cell r="V136">
            <v>10.779333333333334</v>
          </cell>
          <cell r="W136">
            <v>11.239333333333335</v>
          </cell>
          <cell r="X136">
            <v>43.134499999999996</v>
          </cell>
          <cell r="Y136">
            <v>11.984999999999999</v>
          </cell>
          <cell r="Z136">
            <v>11.526666666666666</v>
          </cell>
          <cell r="AA136">
            <v>10.304</v>
          </cell>
          <cell r="AB136">
            <v>11.760666666666667</v>
          </cell>
          <cell r="AC136">
            <v>45.576333333333338</v>
          </cell>
          <cell r="AD136">
            <v>10.74</v>
          </cell>
          <cell r="AE136">
            <v>10.161666666666667</v>
          </cell>
          <cell r="AF136">
            <v>11.791333333333332</v>
          </cell>
          <cell r="AG136">
            <v>12.481333333333334</v>
          </cell>
          <cell r="AH136">
            <v>45.17433333333333</v>
          </cell>
          <cell r="AI136">
            <v>12.719999999999999</v>
          </cell>
          <cell r="AJ136">
            <v>12.74</v>
          </cell>
          <cell r="AK136">
            <v>11.868</v>
          </cell>
          <cell r="AL136">
            <v>13.186666666666667</v>
          </cell>
          <cell r="AM136">
            <v>50.51466666666667</v>
          </cell>
          <cell r="AN136">
            <v>12.75</v>
          </cell>
          <cell r="AO136">
            <v>13.574166666666665</v>
          </cell>
          <cell r="AP136">
            <v>13.754</v>
          </cell>
          <cell r="AQ136">
            <v>13.401333333333332</v>
          </cell>
          <cell r="AR136">
            <v>52.958166666666671</v>
          </cell>
          <cell r="AS136">
            <v>13.515000000000001</v>
          </cell>
          <cell r="AT136">
            <v>13.756166666666667</v>
          </cell>
          <cell r="AU136">
            <v>15.624666666666664</v>
          </cell>
          <cell r="AV136">
            <v>16.145999999999997</v>
          </cell>
          <cell r="AW136">
            <v>59.027541666666671</v>
          </cell>
          <cell r="AX136">
            <v>15.06</v>
          </cell>
          <cell r="AY136">
            <v>14.544833333333335</v>
          </cell>
          <cell r="AZ136">
            <v>13.968666666666666</v>
          </cell>
          <cell r="BA136">
            <v>13.478</v>
          </cell>
          <cell r="BB136">
            <v>57.075375000000001</v>
          </cell>
        </row>
        <row r="138">
          <cell r="A138" t="str">
            <v>Natural Gas Liquids</v>
          </cell>
        </row>
        <row r="139">
          <cell r="A139" t="str">
            <v xml:space="preserve">  U.S. </v>
          </cell>
          <cell r="B139">
            <v>0.2263</v>
          </cell>
          <cell r="C139">
            <v>0.31768799999999997</v>
          </cell>
          <cell r="D139">
            <v>0.11315</v>
          </cell>
          <cell r="E139">
            <v>2.7899999999999998E-2</v>
          </cell>
          <cell r="F139">
            <v>2.2568000000000001E-2</v>
          </cell>
          <cell r="G139">
            <v>1.7111999999999999E-2</v>
          </cell>
          <cell r="H139">
            <v>1.7111999999999999E-2</v>
          </cell>
          <cell r="I139">
            <v>9.0519999999999989E-2</v>
          </cell>
          <cell r="J139">
            <v>1.6740000000000001E-2</v>
          </cell>
          <cell r="K139">
            <v>5.6420000000000003E-3</v>
          </cell>
          <cell r="L139">
            <v>1.7111999999999999E-2</v>
          </cell>
          <cell r="M139">
            <v>2.2816000000000003E-2</v>
          </cell>
          <cell r="N139">
            <v>6.7890000000000006E-2</v>
          </cell>
          <cell r="O139">
            <v>1.1284000000000001E-2</v>
          </cell>
          <cell r="P139">
            <v>1.6926E-2</v>
          </cell>
          <cell r="Q139">
            <v>3.9927999999999991E-2</v>
          </cell>
          <cell r="R139">
            <v>1.7111999999999999E-2</v>
          </cell>
          <cell r="S139">
            <v>8.5250000000000006E-2</v>
          </cell>
          <cell r="T139">
            <v>1.6740000000000001E-2</v>
          </cell>
          <cell r="U139">
            <v>1.6926E-2</v>
          </cell>
          <cell r="V139">
            <v>1.1408000000000001E-2</v>
          </cell>
          <cell r="W139">
            <v>1.1408000000000001E-2</v>
          </cell>
          <cell r="X139">
            <v>5.6482000000000011E-2</v>
          </cell>
          <cell r="Y139">
            <v>1.116E-2</v>
          </cell>
          <cell r="Z139">
            <v>1.1284000000000001E-2</v>
          </cell>
          <cell r="AA139">
            <v>1.7111999999999999E-2</v>
          </cell>
          <cell r="AB139">
            <v>2.2816000000000003E-2</v>
          </cell>
          <cell r="AC139">
            <v>6.2371999999999997E-2</v>
          </cell>
          <cell r="AD139">
            <v>0.11718000000000001</v>
          </cell>
          <cell r="AE139">
            <v>3.9493999999999994E-2</v>
          </cell>
          <cell r="AF139">
            <v>3.4223999999999997E-2</v>
          </cell>
          <cell r="AG139">
            <v>5.1336E-2</v>
          </cell>
          <cell r="AH139">
            <v>0.242234</v>
          </cell>
          <cell r="AI139">
            <v>9.486E-2</v>
          </cell>
          <cell r="AJ139">
            <v>3.9493999999999994E-2</v>
          </cell>
          <cell r="AK139">
            <v>5.704E-2</v>
          </cell>
          <cell r="AL139">
            <v>0.102672</v>
          </cell>
          <cell r="AM139">
            <v>0.29406599999999999</v>
          </cell>
          <cell r="AN139">
            <v>0.14508000000000001</v>
          </cell>
          <cell r="AO139">
            <v>0.12412400000000001</v>
          </cell>
          <cell r="AP139">
            <v>0.16541600000000004</v>
          </cell>
          <cell r="AQ139">
            <v>0.15400800000000001</v>
          </cell>
          <cell r="AR139">
            <v>0.58862799999999993</v>
          </cell>
          <cell r="AS139">
            <v>0.15066000000000002</v>
          </cell>
          <cell r="AT139">
            <v>0.14105000000000001</v>
          </cell>
          <cell r="AU139">
            <v>0.17112000000000002</v>
          </cell>
          <cell r="AV139">
            <v>0.17112000000000002</v>
          </cell>
          <cell r="AW139">
            <v>0.63395000000000001</v>
          </cell>
          <cell r="AX139">
            <v>0.14508000000000001</v>
          </cell>
          <cell r="AY139">
            <v>0.15797599999999998</v>
          </cell>
          <cell r="AZ139">
            <v>0.13689599999999999</v>
          </cell>
          <cell r="BA139">
            <v>0.14830400000000002</v>
          </cell>
          <cell r="BB139">
            <v>0.588256</v>
          </cell>
        </row>
        <row r="140">
          <cell r="A140" t="str">
            <v xml:space="preserve">  Canada</v>
          </cell>
          <cell r="B140">
            <v>0</v>
          </cell>
          <cell r="C140">
            <v>0</v>
          </cell>
          <cell r="D140">
            <v>0</v>
          </cell>
          <cell r="E140">
            <v>0</v>
          </cell>
          <cell r="F140">
            <v>0</v>
          </cell>
          <cell r="G140">
            <v>0</v>
          </cell>
          <cell r="H140">
            <v>0</v>
          </cell>
          <cell r="I140">
            <v>0</v>
          </cell>
          <cell r="J140">
            <v>0</v>
          </cell>
          <cell r="K140">
            <v>0</v>
          </cell>
          <cell r="L140">
            <v>3.9927999999999991E-2</v>
          </cell>
          <cell r="M140">
            <v>2.2816000000000003E-2</v>
          </cell>
          <cell r="N140">
            <v>6.7890000000000006E-2</v>
          </cell>
          <cell r="O140">
            <v>2.2568000000000001E-2</v>
          </cell>
          <cell r="P140">
            <v>1.6926E-2</v>
          </cell>
          <cell r="Q140">
            <v>2.2816000000000003E-2</v>
          </cell>
          <cell r="R140">
            <v>1.82528E-2</v>
          </cell>
          <cell r="S140">
            <v>8.0562800000000004E-2</v>
          </cell>
          <cell r="T140">
            <v>2.232E-2</v>
          </cell>
          <cell r="U140">
            <v>1.1284000000000001E-2</v>
          </cell>
          <cell r="V140">
            <v>1.7111999999999999E-2</v>
          </cell>
          <cell r="W140">
            <v>3.4223999999999997E-2</v>
          </cell>
          <cell r="X140">
            <v>8.4940000000000002E-2</v>
          </cell>
          <cell r="Y140">
            <v>2.7899999999999998E-2</v>
          </cell>
          <cell r="Z140">
            <v>2.2568000000000001E-2</v>
          </cell>
          <cell r="AA140">
            <v>2.2816000000000003E-2</v>
          </cell>
          <cell r="AB140">
            <v>2.2816000000000003E-2</v>
          </cell>
          <cell r="AC140">
            <v>9.6100000000000005E-2</v>
          </cell>
          <cell r="AD140">
            <v>2.232E-2</v>
          </cell>
          <cell r="AE140">
            <v>1.1284000000000001E-2</v>
          </cell>
          <cell r="AF140">
            <v>2.2816000000000003E-2</v>
          </cell>
          <cell r="AG140">
            <v>2.852E-2</v>
          </cell>
          <cell r="AH140">
            <v>8.4940000000000002E-2</v>
          </cell>
          <cell r="AI140">
            <v>3.9059999999999991E-2</v>
          </cell>
          <cell r="AJ140">
            <v>7.8987999999999989E-2</v>
          </cell>
          <cell r="AK140">
            <v>7.415200000000001E-2</v>
          </cell>
          <cell r="AL140">
            <v>7.9855999999999983E-2</v>
          </cell>
          <cell r="AM140">
            <v>0.27205599999999996</v>
          </cell>
          <cell r="AN140">
            <v>7.2540000000000007E-2</v>
          </cell>
          <cell r="AO140">
            <v>5.6419999999999998E-2</v>
          </cell>
          <cell r="AP140">
            <v>8.5560000000000011E-2</v>
          </cell>
          <cell r="AQ140">
            <v>6.2743999999999994E-2</v>
          </cell>
          <cell r="AR140">
            <v>0.27726400000000001</v>
          </cell>
          <cell r="AS140">
            <v>6.1380000000000011E-2</v>
          </cell>
          <cell r="AT140">
            <v>6.2062000000000006E-2</v>
          </cell>
          <cell r="AU140">
            <v>5.704E-2</v>
          </cell>
          <cell r="AV140">
            <v>5.704E-2</v>
          </cell>
          <cell r="AW140">
            <v>0.23752200000000007</v>
          </cell>
          <cell r="AX140">
            <v>2.232E-2</v>
          </cell>
          <cell r="AY140">
            <v>5.6419999999999998E-2</v>
          </cell>
          <cell r="AZ140">
            <v>4.5632000000000006E-2</v>
          </cell>
          <cell r="BA140">
            <v>5.1336E-2</v>
          </cell>
          <cell r="BB140">
            <v>0.17570800000000003</v>
          </cell>
        </row>
        <row r="141">
          <cell r="A141" t="str">
            <v>Total</v>
          </cell>
          <cell r="B141">
            <v>0.2263</v>
          </cell>
          <cell r="C141">
            <v>0.31768799999999997</v>
          </cell>
          <cell r="D141">
            <v>0.11315</v>
          </cell>
          <cell r="E141">
            <v>2.7899999999999998E-2</v>
          </cell>
          <cell r="F141">
            <v>2.2568000000000001E-2</v>
          </cell>
          <cell r="G141">
            <v>1.7111999999999999E-2</v>
          </cell>
          <cell r="H141">
            <v>1.7111999999999999E-2</v>
          </cell>
          <cell r="I141">
            <v>9.0519999999999989E-2</v>
          </cell>
          <cell r="J141">
            <v>1.6740000000000001E-2</v>
          </cell>
          <cell r="K141">
            <v>5.6420000000000003E-3</v>
          </cell>
          <cell r="L141">
            <v>5.7039999999999993E-2</v>
          </cell>
          <cell r="M141">
            <v>4.5632000000000006E-2</v>
          </cell>
          <cell r="N141">
            <v>0.13578000000000001</v>
          </cell>
          <cell r="O141">
            <v>3.3852E-2</v>
          </cell>
          <cell r="P141">
            <v>3.3852E-2</v>
          </cell>
          <cell r="Q141">
            <v>6.2743999999999994E-2</v>
          </cell>
          <cell r="R141">
            <v>3.5364800000000002E-2</v>
          </cell>
          <cell r="S141">
            <v>0.16581280000000001</v>
          </cell>
          <cell r="T141">
            <v>3.9059999999999997E-2</v>
          </cell>
          <cell r="U141">
            <v>2.8209999999999999E-2</v>
          </cell>
          <cell r="V141">
            <v>2.852E-2</v>
          </cell>
          <cell r="W141">
            <v>4.5631999999999999E-2</v>
          </cell>
          <cell r="X141">
            <v>0.14142200000000002</v>
          </cell>
          <cell r="Y141">
            <v>3.9059999999999997E-2</v>
          </cell>
          <cell r="Z141">
            <v>3.3852E-2</v>
          </cell>
          <cell r="AA141">
            <v>3.9928000000000005E-2</v>
          </cell>
          <cell r="AB141">
            <v>4.5632000000000006E-2</v>
          </cell>
          <cell r="AC141">
            <v>0.15847200000000003</v>
          </cell>
          <cell r="AD141">
            <v>0.13950000000000001</v>
          </cell>
          <cell r="AE141">
            <v>5.0777999999999997E-2</v>
          </cell>
          <cell r="AF141">
            <v>5.704E-2</v>
          </cell>
          <cell r="AG141">
            <v>7.9855999999999996E-2</v>
          </cell>
          <cell r="AH141">
            <v>0.32717400000000002</v>
          </cell>
          <cell r="AI141">
            <v>0.13391999999999998</v>
          </cell>
          <cell r="AJ141">
            <v>0.11848199999999999</v>
          </cell>
          <cell r="AK141">
            <v>0.131192</v>
          </cell>
          <cell r="AL141">
            <v>0.182528</v>
          </cell>
          <cell r="AM141">
            <v>0.5661219999999999</v>
          </cell>
          <cell r="AN141">
            <v>0.21762000000000001</v>
          </cell>
          <cell r="AO141">
            <v>0.18054400000000001</v>
          </cell>
          <cell r="AP141">
            <v>0.25097600000000003</v>
          </cell>
          <cell r="AQ141">
            <v>0.216752</v>
          </cell>
          <cell r="AR141">
            <v>0.86589199999999988</v>
          </cell>
          <cell r="AS141">
            <v>0.21204000000000001</v>
          </cell>
          <cell r="AT141">
            <v>0.20311199999999999</v>
          </cell>
          <cell r="AU141">
            <v>0.22816</v>
          </cell>
          <cell r="AV141">
            <v>0.22816</v>
          </cell>
          <cell r="AW141">
            <v>0.87147200000000014</v>
          </cell>
          <cell r="AX141">
            <v>0.16740000000000002</v>
          </cell>
          <cell r="AY141">
            <v>0.214396</v>
          </cell>
          <cell r="AZ141">
            <v>0.182528</v>
          </cell>
          <cell r="BA141">
            <v>0.19964000000000001</v>
          </cell>
          <cell r="BB141">
            <v>0.76396399999999998</v>
          </cell>
        </row>
        <row r="143">
          <cell r="A143" t="str">
            <v>Crude Oil &amp; Condensate (MMBbl)</v>
          </cell>
        </row>
        <row r="144">
          <cell r="A144" t="str">
            <v xml:space="preserve">  U.S. </v>
          </cell>
          <cell r="B144">
            <v>3.2850000000000001</v>
          </cell>
          <cell r="C144">
            <v>2.9279999999999999</v>
          </cell>
          <cell r="D144">
            <v>2.0804999999999998</v>
          </cell>
          <cell r="E144">
            <v>0.53100000000000003</v>
          </cell>
          <cell r="F144">
            <v>0.50049999999999994</v>
          </cell>
          <cell r="G144">
            <v>0.52439999999999998</v>
          </cell>
          <cell r="H144">
            <v>0.57040000000000002</v>
          </cell>
          <cell r="I144">
            <v>2.117</v>
          </cell>
          <cell r="J144">
            <v>0.54900000000000004</v>
          </cell>
          <cell r="K144">
            <v>0.57329999999999992</v>
          </cell>
          <cell r="L144">
            <v>0.49680000000000002</v>
          </cell>
          <cell r="M144">
            <v>0.55200000000000005</v>
          </cell>
          <cell r="N144">
            <v>2.1535000000000002</v>
          </cell>
          <cell r="O144">
            <v>0.60060000000000002</v>
          </cell>
          <cell r="P144">
            <v>0.51870000000000005</v>
          </cell>
          <cell r="Q144">
            <v>0.55200000000000005</v>
          </cell>
          <cell r="R144">
            <v>0.53360000000000007</v>
          </cell>
          <cell r="S144">
            <v>2.2049000000000003</v>
          </cell>
          <cell r="T144">
            <v>0.67500000000000004</v>
          </cell>
          <cell r="U144">
            <v>0.6643</v>
          </cell>
          <cell r="V144">
            <v>0.5796</v>
          </cell>
          <cell r="W144">
            <v>0.50600000000000001</v>
          </cell>
          <cell r="X144">
            <v>2.4249000000000001</v>
          </cell>
          <cell r="Y144">
            <v>0.63900000000000001</v>
          </cell>
          <cell r="Z144">
            <v>0.6552</v>
          </cell>
          <cell r="AA144">
            <v>0.75439999999999996</v>
          </cell>
          <cell r="AB144">
            <v>0.85560000000000003</v>
          </cell>
          <cell r="AC144">
            <v>2.9041999999999999</v>
          </cell>
          <cell r="AD144">
            <v>0.86399999999999999</v>
          </cell>
          <cell r="AE144">
            <v>0.79169999999999996</v>
          </cell>
          <cell r="AF144">
            <v>0.84639999999999993</v>
          </cell>
          <cell r="AG144">
            <v>0.81880000000000008</v>
          </cell>
          <cell r="AH144">
            <v>3.3209</v>
          </cell>
          <cell r="AI144">
            <v>0.78299999999999992</v>
          </cell>
          <cell r="AJ144">
            <v>0.79169999999999996</v>
          </cell>
          <cell r="AK144">
            <v>0.8004</v>
          </cell>
          <cell r="AL144">
            <v>0.98439999999999994</v>
          </cell>
          <cell r="AM144">
            <v>3.3595000000000002</v>
          </cell>
          <cell r="AN144">
            <v>0.96299999999999986</v>
          </cell>
          <cell r="AO144">
            <v>1.0191999999999999</v>
          </cell>
          <cell r="AP144">
            <v>1.1316000000000002</v>
          </cell>
          <cell r="AQ144">
            <v>1.1499999999999999</v>
          </cell>
          <cell r="AR144">
            <v>4.2637999999999998</v>
          </cell>
          <cell r="AS144">
            <v>1.1339999999999999</v>
          </cell>
          <cell r="AT144">
            <v>1.1102000000000001</v>
          </cell>
          <cell r="AU144">
            <v>1.5272000000000001</v>
          </cell>
          <cell r="AV144">
            <v>1.3248</v>
          </cell>
          <cell r="AW144">
            <v>5.0961999999999996</v>
          </cell>
          <cell r="AX144">
            <v>1.179</v>
          </cell>
          <cell r="AY144">
            <v>1.1920999999999999</v>
          </cell>
          <cell r="AZ144">
            <v>1.3431999999999999</v>
          </cell>
          <cell r="BA144">
            <v>1.5548</v>
          </cell>
          <cell r="BB144">
            <v>5.2691000000000008</v>
          </cell>
        </row>
        <row r="145">
          <cell r="A145" t="str">
            <v xml:space="preserve">  Canada</v>
          </cell>
          <cell r="B145">
            <v>0.73</v>
          </cell>
          <cell r="C145">
            <v>0.73199999999999998</v>
          </cell>
          <cell r="D145">
            <v>0.94899999999999995</v>
          </cell>
          <cell r="E145">
            <v>0.22500000000000001</v>
          </cell>
          <cell r="F145">
            <v>0.20929999999999999</v>
          </cell>
          <cell r="G145">
            <v>0.2208</v>
          </cell>
          <cell r="H145">
            <v>0.2208</v>
          </cell>
          <cell r="I145">
            <v>0.876</v>
          </cell>
          <cell r="J145">
            <v>0.216</v>
          </cell>
          <cell r="K145">
            <v>0.21840000000000001</v>
          </cell>
          <cell r="L145">
            <v>0.1656</v>
          </cell>
          <cell r="M145">
            <v>0.2208</v>
          </cell>
          <cell r="N145">
            <v>0.83949999999999991</v>
          </cell>
          <cell r="O145">
            <v>0.20020000000000002</v>
          </cell>
          <cell r="P145">
            <v>0.20020000000000002</v>
          </cell>
          <cell r="Q145">
            <v>0.2024</v>
          </cell>
          <cell r="R145">
            <v>0.2024</v>
          </cell>
          <cell r="S145">
            <v>0.80520000000000003</v>
          </cell>
          <cell r="T145">
            <v>0.19800000000000004</v>
          </cell>
          <cell r="U145">
            <v>0.20020000000000002</v>
          </cell>
          <cell r="V145">
            <v>0.19320000000000001</v>
          </cell>
          <cell r="W145">
            <v>0.2024</v>
          </cell>
          <cell r="X145">
            <v>0.79380000000000006</v>
          </cell>
          <cell r="Y145">
            <v>0.17100000000000001</v>
          </cell>
          <cell r="Z145">
            <v>0.1729</v>
          </cell>
          <cell r="AA145">
            <v>0.17479999999999998</v>
          </cell>
          <cell r="AB145">
            <v>0.2208</v>
          </cell>
          <cell r="AC145">
            <v>0.73949999999999994</v>
          </cell>
          <cell r="AD145">
            <v>0.189</v>
          </cell>
          <cell r="AE145">
            <v>0.20020000000000002</v>
          </cell>
          <cell r="AF145">
            <v>0.25759999999999994</v>
          </cell>
          <cell r="AG145">
            <v>0.23</v>
          </cell>
          <cell r="AH145">
            <v>0.87679999999999991</v>
          </cell>
          <cell r="AI145">
            <v>0.23400000000000001</v>
          </cell>
          <cell r="AJ145">
            <v>0.20929999999999999</v>
          </cell>
          <cell r="AK145">
            <v>0.19320000000000001</v>
          </cell>
          <cell r="AL145">
            <v>0.23</v>
          </cell>
          <cell r="AM145">
            <v>0.86650000000000005</v>
          </cell>
          <cell r="AN145">
            <v>0.216</v>
          </cell>
          <cell r="AO145">
            <v>0.21840000000000001</v>
          </cell>
          <cell r="AP145">
            <v>0.23</v>
          </cell>
          <cell r="AQ145">
            <v>0.27600000000000002</v>
          </cell>
          <cell r="AR145">
            <v>0.9403999999999999</v>
          </cell>
          <cell r="AS145">
            <v>0.24300000000000002</v>
          </cell>
          <cell r="AT145">
            <v>0.22750000000000001</v>
          </cell>
          <cell r="AU145">
            <v>0.25759999999999994</v>
          </cell>
          <cell r="AV145">
            <v>0.24840000000000001</v>
          </cell>
          <cell r="AW145">
            <v>0.97649999999999992</v>
          </cell>
          <cell r="AX145">
            <v>0.24300000000000002</v>
          </cell>
          <cell r="AY145">
            <v>0.24570000000000003</v>
          </cell>
          <cell r="AZ145">
            <v>0.24840000000000001</v>
          </cell>
          <cell r="BA145">
            <v>0.21159999999999998</v>
          </cell>
          <cell r="BB145">
            <v>0.94870000000000021</v>
          </cell>
        </row>
        <row r="146">
          <cell r="A146" t="str">
            <v xml:space="preserve">  Trinidad</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3.6800000000000006E-2</v>
          </cell>
          <cell r="X146">
            <v>3.6499999999999998E-2</v>
          </cell>
          <cell r="Y146">
            <v>0.16200000000000001</v>
          </cell>
          <cell r="Z146">
            <v>0.29120000000000001</v>
          </cell>
          <cell r="AA146">
            <v>0.24840000000000001</v>
          </cell>
          <cell r="AB146">
            <v>0.26680000000000004</v>
          </cell>
          <cell r="AC146">
            <v>0.96840000000000004</v>
          </cell>
          <cell r="AD146">
            <v>0.32400000000000001</v>
          </cell>
          <cell r="AE146">
            <v>0.43680000000000002</v>
          </cell>
          <cell r="AF146">
            <v>0.54280000000000006</v>
          </cell>
          <cell r="AG146">
            <v>0.55200000000000005</v>
          </cell>
          <cell r="AH146">
            <v>1.8555999999999999</v>
          </cell>
          <cell r="AI146">
            <v>0.63900000000000001</v>
          </cell>
          <cell r="AJ146">
            <v>0.49140000000000006</v>
          </cell>
          <cell r="AK146">
            <v>0.41399999999999998</v>
          </cell>
          <cell r="AL146">
            <v>0.38640000000000002</v>
          </cell>
          <cell r="AM146">
            <v>1.9307999999999998</v>
          </cell>
          <cell r="AN146">
            <v>0.33300000000000002</v>
          </cell>
          <cell r="AO146">
            <v>0.31850000000000001</v>
          </cell>
          <cell r="AP146">
            <v>0.31280000000000002</v>
          </cell>
          <cell r="AQ146">
            <v>0.27600000000000002</v>
          </cell>
          <cell r="AR146">
            <v>1.2403</v>
          </cell>
          <cell r="AS146">
            <v>0.25199999999999995</v>
          </cell>
          <cell r="AT146">
            <v>0.26389999999999997</v>
          </cell>
          <cell r="AU146">
            <v>0.28520000000000001</v>
          </cell>
          <cell r="AV146">
            <v>0.27600000000000002</v>
          </cell>
          <cell r="AW146">
            <v>1.0770999999999999</v>
          </cell>
          <cell r="AX146">
            <v>0.25199999999999995</v>
          </cell>
          <cell r="AY146">
            <v>0.20929999999999999</v>
          </cell>
          <cell r="AZ146">
            <v>0.2208</v>
          </cell>
          <cell r="BA146">
            <v>0.19320000000000001</v>
          </cell>
          <cell r="BB146">
            <v>0.87529999999999997</v>
          </cell>
        </row>
        <row r="147">
          <cell r="A147" t="str">
            <v xml:space="preserve">  India</v>
          </cell>
          <cell r="AD147">
            <v>0.25199999999999995</v>
          </cell>
          <cell r="AE147">
            <v>0.15469999999999998</v>
          </cell>
          <cell r="AF147">
            <v>0.21159999999999998</v>
          </cell>
          <cell r="AG147">
            <v>0.29440000000000005</v>
          </cell>
          <cell r="AH147">
            <v>0.91270000000000018</v>
          </cell>
          <cell r="AI147">
            <v>0.27</v>
          </cell>
          <cell r="AJ147">
            <v>0.24570000000000003</v>
          </cell>
          <cell r="AK147">
            <v>0.2208</v>
          </cell>
          <cell r="AL147">
            <v>0.27600000000000002</v>
          </cell>
          <cell r="AM147">
            <v>1.0125000000000002</v>
          </cell>
          <cell r="AN147">
            <v>0.25199999999999995</v>
          </cell>
          <cell r="AO147">
            <v>0</v>
          </cell>
          <cell r="AP147">
            <v>0.2208</v>
          </cell>
          <cell r="AQ147">
            <v>0.35880000000000001</v>
          </cell>
          <cell r="AR147">
            <v>0.83159999999999989</v>
          </cell>
          <cell r="AS147">
            <v>0.378</v>
          </cell>
          <cell r="AT147">
            <v>0.43680000000000002</v>
          </cell>
          <cell r="AU147">
            <v>0.46920000000000001</v>
          </cell>
          <cell r="AV147">
            <v>0.5888000000000001</v>
          </cell>
          <cell r="AW147">
            <v>1.8728000000000002</v>
          </cell>
          <cell r="AX147">
            <v>0.63900000000000001</v>
          </cell>
          <cell r="AY147">
            <v>0.58240000000000003</v>
          </cell>
          <cell r="AZ147">
            <v>0.26680000000000004</v>
          </cell>
          <cell r="BA147">
            <v>0</v>
          </cell>
          <cell r="BB147">
            <v>1.4882</v>
          </cell>
        </row>
        <row r="148">
          <cell r="A148" t="str">
            <v>Total</v>
          </cell>
          <cell r="B148">
            <v>4.0150000000000006</v>
          </cell>
          <cell r="C148">
            <v>3.66</v>
          </cell>
          <cell r="D148">
            <v>3.0294999999999996</v>
          </cell>
          <cell r="E148">
            <v>0.75600000000000001</v>
          </cell>
          <cell r="F148">
            <v>0.70979999999999999</v>
          </cell>
          <cell r="G148">
            <v>0.74519999999999997</v>
          </cell>
          <cell r="H148">
            <v>0.79120000000000001</v>
          </cell>
          <cell r="I148">
            <v>2.9929999999999999</v>
          </cell>
          <cell r="J148">
            <v>0.76500000000000001</v>
          </cell>
          <cell r="K148">
            <v>0.79169999999999996</v>
          </cell>
          <cell r="L148">
            <v>0.66239999999999999</v>
          </cell>
          <cell r="M148">
            <v>0.77280000000000004</v>
          </cell>
          <cell r="N148">
            <v>2.9930000000000003</v>
          </cell>
          <cell r="O148">
            <v>0.80080000000000007</v>
          </cell>
          <cell r="P148">
            <v>0.71890000000000009</v>
          </cell>
          <cell r="Q148">
            <v>0.75440000000000007</v>
          </cell>
          <cell r="R148">
            <v>0.7360000000000001</v>
          </cell>
          <cell r="S148">
            <v>3.0101000000000004</v>
          </cell>
          <cell r="T148">
            <v>0.87300000000000011</v>
          </cell>
          <cell r="U148">
            <v>0.86450000000000005</v>
          </cell>
          <cell r="V148">
            <v>0.77280000000000004</v>
          </cell>
          <cell r="W148">
            <v>0.74520000000000008</v>
          </cell>
          <cell r="X148">
            <v>3.2552000000000003</v>
          </cell>
          <cell r="Y148">
            <v>0.97200000000000009</v>
          </cell>
          <cell r="Z148">
            <v>1.1193</v>
          </cell>
          <cell r="AA148">
            <v>1.1776</v>
          </cell>
          <cell r="AB148">
            <v>1.3431999999999999</v>
          </cell>
          <cell r="AC148">
            <v>4.6120999999999999</v>
          </cell>
          <cell r="AD148">
            <v>1.629</v>
          </cell>
          <cell r="AE148">
            <v>1.5834000000000001</v>
          </cell>
          <cell r="AF148">
            <v>1.8583999999999998</v>
          </cell>
          <cell r="AG148">
            <v>1.8952000000000002</v>
          </cell>
          <cell r="AH148">
            <v>6.9660000000000002</v>
          </cell>
          <cell r="AI148">
            <v>1.9259999999999999</v>
          </cell>
          <cell r="AJ148">
            <v>1.7381</v>
          </cell>
          <cell r="AK148">
            <v>1.6284000000000001</v>
          </cell>
          <cell r="AL148">
            <v>1.8768</v>
          </cell>
          <cell r="AM148">
            <v>7.1692999999999998</v>
          </cell>
          <cell r="AN148">
            <v>1.7639999999999998</v>
          </cell>
          <cell r="AO148">
            <v>1.5560999999999998</v>
          </cell>
          <cell r="AP148">
            <v>1.8952</v>
          </cell>
          <cell r="AQ148">
            <v>2.0608</v>
          </cell>
          <cell r="AR148">
            <v>7.2760999999999996</v>
          </cell>
          <cell r="AS148">
            <v>2.0070000000000001</v>
          </cell>
          <cell r="AT148">
            <v>2.0384000000000002</v>
          </cell>
          <cell r="AU148">
            <v>2.5392000000000001</v>
          </cell>
          <cell r="AV148">
            <v>2.4380000000000002</v>
          </cell>
          <cell r="AW148">
            <v>9.0225999999999988</v>
          </cell>
          <cell r="AX148">
            <v>2.3130000000000002</v>
          </cell>
          <cell r="AY148">
            <v>2.2294999999999998</v>
          </cell>
          <cell r="AZ148">
            <v>2.0791999999999997</v>
          </cell>
          <cell r="BA148">
            <v>1.9596</v>
          </cell>
          <cell r="BB148">
            <v>8.5813000000000024</v>
          </cell>
        </row>
        <row r="149">
          <cell r="A149" t="str">
            <v>Total BOE</v>
          </cell>
          <cell r="B149">
            <v>25.167966666666665</v>
          </cell>
          <cell r="C149">
            <v>24.595687999999999</v>
          </cell>
          <cell r="D149">
            <v>24.069316666666666</v>
          </cell>
          <cell r="E149">
            <v>7.6089000000000002</v>
          </cell>
          <cell r="F149">
            <v>7.2843680000000006</v>
          </cell>
          <cell r="G149">
            <v>6.8036453333333329</v>
          </cell>
          <cell r="H149">
            <v>9.0729786666666659</v>
          </cell>
          <cell r="I149">
            <v>30.762686666666664</v>
          </cell>
          <cell r="J149">
            <v>8.0717400000000001</v>
          </cell>
          <cell r="K149">
            <v>7.4555086666666659</v>
          </cell>
          <cell r="L149">
            <v>7.2207733333333337</v>
          </cell>
          <cell r="M149">
            <v>10.202431999999998</v>
          </cell>
          <cell r="N149">
            <v>32.997946666666671</v>
          </cell>
          <cell r="O149">
            <v>8.948818666666666</v>
          </cell>
          <cell r="P149">
            <v>9.1095853333333316</v>
          </cell>
          <cell r="Q149">
            <v>9.2198106666666675</v>
          </cell>
          <cell r="R149">
            <v>9.9713647999999999</v>
          </cell>
          <cell r="S149">
            <v>37.249579466666667</v>
          </cell>
          <cell r="T149">
            <v>11.48706</v>
          </cell>
          <cell r="U149">
            <v>11.433543333333333</v>
          </cell>
          <cell r="V149">
            <v>11.580653333333334</v>
          </cell>
          <cell r="W149">
            <v>12.030165333333334</v>
          </cell>
          <cell r="X149">
            <v>46.531121999999996</v>
          </cell>
          <cell r="Y149">
            <v>12.996059999999998</v>
          </cell>
          <cell r="Z149">
            <v>12.679818666666666</v>
          </cell>
          <cell r="AA149">
            <v>11.521528</v>
          </cell>
          <cell r="AB149">
            <v>13.149498666666666</v>
          </cell>
          <cell r="AC149">
            <v>50.346905333333339</v>
          </cell>
          <cell r="AD149">
            <v>12.5085</v>
          </cell>
          <cell r="AE149">
            <v>11.795844666666667</v>
          </cell>
          <cell r="AF149">
            <v>13.706773333333333</v>
          </cell>
          <cell r="AG149">
            <v>14.456389333333334</v>
          </cell>
          <cell r="AH149">
            <v>52.46750733333333</v>
          </cell>
          <cell r="AI149">
            <v>14.779919999999999</v>
          </cell>
          <cell r="AJ149">
            <v>14.596582</v>
          </cell>
          <cell r="AK149">
            <v>13.627592</v>
          </cell>
          <cell r="AL149">
            <v>15.245994666666666</v>
          </cell>
          <cell r="AM149">
            <v>58.25008866666667</v>
          </cell>
          <cell r="AN149">
            <v>14.731619999999999</v>
          </cell>
          <cell r="AO149">
            <v>15.310810666666665</v>
          </cell>
          <cell r="AP149">
            <v>15.900175999999998</v>
          </cell>
          <cell r="AQ149">
            <v>15.678885333333332</v>
          </cell>
          <cell r="AR149">
            <v>61.100158666666673</v>
          </cell>
          <cell r="AS149">
            <v>15.73404</v>
          </cell>
          <cell r="AT149">
            <v>15.997678666666669</v>
          </cell>
          <cell r="AU149">
            <v>18.392026666666666</v>
          </cell>
          <cell r="AV149">
            <v>18.812159999999995</v>
          </cell>
          <cell r="AW149">
            <v>68.921613666666673</v>
          </cell>
          <cell r="AX149">
            <v>17.540400000000002</v>
          </cell>
          <cell r="AY149">
            <v>16.988729333333335</v>
          </cell>
          <cell r="AZ149">
            <v>16.230394666666665</v>
          </cell>
          <cell r="BA149">
            <v>15.63724</v>
          </cell>
          <cell r="BB149">
            <v>66.420639000000008</v>
          </cell>
        </row>
        <row r="152">
          <cell r="A152" t="str">
            <v>EOG RESOURCES</v>
          </cell>
        </row>
        <row r="153">
          <cell r="A153" t="str">
            <v>REVENUE WORKSHEET - Page 4</v>
          </cell>
        </row>
        <row r="154">
          <cell r="A154" t="str">
            <v>BCF EQUIVALENTS</v>
          </cell>
        </row>
        <row r="155">
          <cell r="A155" t="str">
            <v>Natural Gas (Bcf)</v>
          </cell>
          <cell r="B155">
            <v>1987</v>
          </cell>
          <cell r="C155">
            <v>1988</v>
          </cell>
          <cell r="D155">
            <v>1989</v>
          </cell>
          <cell r="E155" t="str">
            <v>1q</v>
          </cell>
          <cell r="F155" t="str">
            <v>2q</v>
          </cell>
          <cell r="G155" t="str">
            <v>3q</v>
          </cell>
          <cell r="H155" t="str">
            <v>4q</v>
          </cell>
          <cell r="I155">
            <v>1990</v>
          </cell>
          <cell r="J155" t="str">
            <v>1q</v>
          </cell>
          <cell r="K155" t="str">
            <v>2q</v>
          </cell>
          <cell r="L155" t="str">
            <v>3q</v>
          </cell>
          <cell r="M155" t="str">
            <v>4q</v>
          </cell>
          <cell r="N155">
            <v>1991</v>
          </cell>
          <cell r="O155" t="str">
            <v>1q</v>
          </cell>
          <cell r="P155" t="str">
            <v xml:space="preserve">2q </v>
          </cell>
          <cell r="Q155" t="str">
            <v xml:space="preserve">3q </v>
          </cell>
          <cell r="R155" t="str">
            <v>4q</v>
          </cell>
          <cell r="S155" t="str">
            <v>1992</v>
          </cell>
          <cell r="T155" t="str">
            <v>1q</v>
          </cell>
          <cell r="U155" t="str">
            <v>2q</v>
          </cell>
          <cell r="V155" t="str">
            <v>3q</v>
          </cell>
          <cell r="W155" t="str">
            <v>4q</v>
          </cell>
          <cell r="X155">
            <v>1993</v>
          </cell>
          <cell r="Y155" t="str">
            <v>1q</v>
          </cell>
          <cell r="Z155" t="str">
            <v>2q</v>
          </cell>
          <cell r="AA155" t="str">
            <v>3q</v>
          </cell>
          <cell r="AB155" t="str">
            <v>4q</v>
          </cell>
          <cell r="AC155">
            <v>1994</v>
          </cell>
          <cell r="AD155" t="str">
            <v>1q</v>
          </cell>
          <cell r="AE155" t="str">
            <v>2q</v>
          </cell>
          <cell r="AF155" t="str">
            <v>3q</v>
          </cell>
          <cell r="AG155" t="str">
            <v>4q</v>
          </cell>
          <cell r="AH155" t="str">
            <v>1995</v>
          </cell>
          <cell r="AI155" t="str">
            <v>1q</v>
          </cell>
          <cell r="AJ155" t="str">
            <v>2q</v>
          </cell>
          <cell r="AK155" t="str">
            <v>3q</v>
          </cell>
          <cell r="AL155" t="str">
            <v>4q</v>
          </cell>
          <cell r="AM155">
            <v>1996</v>
          </cell>
          <cell r="AN155" t="str">
            <v>1q</v>
          </cell>
          <cell r="AO155" t="str">
            <v>2q</v>
          </cell>
          <cell r="AP155" t="str">
            <v>3q</v>
          </cell>
          <cell r="AQ155" t="str">
            <v>4q</v>
          </cell>
          <cell r="AR155" t="str">
            <v>1997</v>
          </cell>
          <cell r="AS155" t="str">
            <v>1q</v>
          </cell>
          <cell r="AT155" t="str">
            <v>2q</v>
          </cell>
          <cell r="AU155" t="str">
            <v>3q</v>
          </cell>
          <cell r="AV155" t="str">
            <v>4q</v>
          </cell>
          <cell r="AW155" t="str">
            <v>1998</v>
          </cell>
          <cell r="AX155" t="str">
            <v>1q</v>
          </cell>
          <cell r="AY155" t="str">
            <v>2q</v>
          </cell>
          <cell r="AZ155" t="str">
            <v>3q</v>
          </cell>
          <cell r="BA155" t="str">
            <v>4q</v>
          </cell>
          <cell r="BB155" t="str">
            <v>1999</v>
          </cell>
        </row>
        <row r="156">
          <cell r="A156" t="str">
            <v xml:space="preserve">  U.S. </v>
          </cell>
          <cell r="B156">
            <v>120.45</v>
          </cell>
          <cell r="C156">
            <v>118.218</v>
          </cell>
          <cell r="D156">
            <v>119.72</v>
          </cell>
          <cell r="E156">
            <v>39.42</v>
          </cell>
          <cell r="F156">
            <v>37.856000000000002</v>
          </cell>
          <cell r="G156">
            <v>34.591999999999999</v>
          </cell>
          <cell r="H156">
            <v>47.84</v>
          </cell>
          <cell r="I156">
            <v>159.505</v>
          </cell>
          <cell r="J156">
            <v>41.76</v>
          </cell>
          <cell r="K156">
            <v>37.765000000000001</v>
          </cell>
          <cell r="L156">
            <v>36.984000000000002</v>
          </cell>
          <cell r="M156">
            <v>53.451999999999998</v>
          </cell>
          <cell r="N156">
            <v>170.09</v>
          </cell>
          <cell r="O156">
            <v>45.954999999999998</v>
          </cell>
          <cell r="P156">
            <v>47.32</v>
          </cell>
          <cell r="Q156">
            <v>48.207999999999998</v>
          </cell>
          <cell r="R156">
            <v>52.44</v>
          </cell>
          <cell r="S156">
            <v>193.923</v>
          </cell>
          <cell r="T156">
            <v>58.32</v>
          </cell>
          <cell r="U156">
            <v>58.512999999999998</v>
          </cell>
          <cell r="V156">
            <v>59.8</v>
          </cell>
          <cell r="W156">
            <v>60.076000000000001</v>
          </cell>
          <cell r="X156">
            <v>236.709</v>
          </cell>
          <cell r="Y156">
            <v>61.56</v>
          </cell>
          <cell r="Z156">
            <v>55.237000000000002</v>
          </cell>
          <cell r="AA156">
            <v>49.496000000000002</v>
          </cell>
          <cell r="AB156">
            <v>57.776000000000003</v>
          </cell>
          <cell r="AC156">
            <v>224.06900000000002</v>
          </cell>
          <cell r="AD156">
            <v>49.23</v>
          </cell>
          <cell r="AE156">
            <v>43.134</v>
          </cell>
          <cell r="AF156">
            <v>53.543999999999997</v>
          </cell>
          <cell r="AG156">
            <v>58.42</v>
          </cell>
          <cell r="AH156">
            <v>204.328</v>
          </cell>
          <cell r="AI156">
            <v>56.25</v>
          </cell>
          <cell r="AJ156">
            <v>54.326999999999998</v>
          </cell>
          <cell r="AK156">
            <v>52.531999999999996</v>
          </cell>
          <cell r="AL156">
            <v>58.695999999999998</v>
          </cell>
          <cell r="AM156">
            <v>221.80500000000001</v>
          </cell>
          <cell r="AN156">
            <v>57.87</v>
          </cell>
          <cell r="AO156">
            <v>62.698999999999998</v>
          </cell>
          <cell r="AP156">
            <v>58.787999999999997</v>
          </cell>
          <cell r="AQ156">
            <v>60.351999999999997</v>
          </cell>
          <cell r="AR156">
            <v>239.709</v>
          </cell>
          <cell r="AS156">
            <v>57.96</v>
          </cell>
          <cell r="AT156">
            <v>56.783999999999999</v>
          </cell>
          <cell r="AU156">
            <v>63.664000000000001</v>
          </cell>
          <cell r="AV156">
            <v>66.424000000000007</v>
          </cell>
          <cell r="AW156">
            <v>244.83199999999999</v>
          </cell>
          <cell r="AX156">
            <v>60.93</v>
          </cell>
          <cell r="AY156">
            <v>58.421999999999997</v>
          </cell>
          <cell r="AZ156">
            <v>59.064</v>
          </cell>
          <cell r="BA156">
            <v>60.536000000000001</v>
          </cell>
          <cell r="BB156">
            <v>238.952</v>
          </cell>
        </row>
        <row r="157">
          <cell r="A157" t="str">
            <v xml:space="preserve">  Canada</v>
          </cell>
          <cell r="B157">
            <v>5.1100000000000003</v>
          </cell>
          <cell r="C157">
            <v>5.49</v>
          </cell>
          <cell r="D157">
            <v>5.84</v>
          </cell>
          <cell r="E157">
            <v>1.53</v>
          </cell>
          <cell r="F157">
            <v>1.456</v>
          </cell>
          <cell r="G157">
            <v>1.6559999999999999</v>
          </cell>
          <cell r="H157">
            <v>1.748</v>
          </cell>
          <cell r="I157">
            <v>6.57</v>
          </cell>
          <cell r="J157">
            <v>1.98</v>
          </cell>
          <cell r="K157">
            <v>2.1840000000000002</v>
          </cell>
          <cell r="L157">
            <v>2.024</v>
          </cell>
          <cell r="M157">
            <v>2.8519999999999999</v>
          </cell>
          <cell r="N157">
            <v>9.125</v>
          </cell>
          <cell r="O157">
            <v>2.73</v>
          </cell>
          <cell r="P157">
            <v>2.8210000000000002</v>
          </cell>
          <cell r="Q157">
            <v>2.2080000000000002</v>
          </cell>
          <cell r="R157">
            <v>2.76</v>
          </cell>
          <cell r="S157">
            <v>10.519</v>
          </cell>
          <cell r="T157">
            <v>5.13</v>
          </cell>
          <cell r="U157">
            <v>4.7320000000000002</v>
          </cell>
          <cell r="V157">
            <v>4.8760000000000003</v>
          </cell>
          <cell r="W157">
            <v>6.532</v>
          </cell>
          <cell r="X157">
            <v>21.27</v>
          </cell>
          <cell r="Y157">
            <v>6.57</v>
          </cell>
          <cell r="Z157">
            <v>6.5519999999999996</v>
          </cell>
          <cell r="AA157">
            <v>6.2560000000000002</v>
          </cell>
          <cell r="AB157">
            <v>6.9</v>
          </cell>
          <cell r="AC157">
            <v>26.277999999999999</v>
          </cell>
          <cell r="AD157">
            <v>6.66</v>
          </cell>
          <cell r="AE157">
            <v>6.734</v>
          </cell>
          <cell r="AF157">
            <v>6.9</v>
          </cell>
          <cell r="AG157">
            <v>7.452</v>
          </cell>
          <cell r="AH157">
            <v>27.745999999999999</v>
          </cell>
          <cell r="AI157">
            <v>8.1</v>
          </cell>
          <cell r="AJ157">
            <v>9.3729999999999993</v>
          </cell>
          <cell r="AK157">
            <v>9.1080000000000005</v>
          </cell>
          <cell r="AL157">
            <v>9.1999999999999993</v>
          </cell>
          <cell r="AM157">
            <v>35.780999999999999</v>
          </cell>
          <cell r="AN157">
            <v>8.5500000000000007</v>
          </cell>
          <cell r="AO157">
            <v>8.3719999999999999</v>
          </cell>
          <cell r="AP157">
            <v>10.028</v>
          </cell>
          <cell r="AQ157">
            <v>10.119999999999999</v>
          </cell>
          <cell r="AR157">
            <v>37.07</v>
          </cell>
          <cell r="AS157">
            <v>9.09</v>
          </cell>
          <cell r="AT157">
            <v>8.9179999999999993</v>
          </cell>
          <cell r="AU157">
            <v>9.7520000000000007</v>
          </cell>
          <cell r="AV157">
            <v>10.672000000000001</v>
          </cell>
          <cell r="AW157">
            <v>38.432000000000002</v>
          </cell>
          <cell r="AX157">
            <v>9.36</v>
          </cell>
          <cell r="AY157">
            <v>10.192</v>
          </cell>
          <cell r="AZ157">
            <v>10.763999999999999</v>
          </cell>
          <cell r="BA157">
            <v>11.407999999999999</v>
          </cell>
          <cell r="BB157">
            <v>41.723999999999997</v>
          </cell>
        </row>
        <row r="158">
          <cell r="A158" t="str">
            <v xml:space="preserve">  Trinidad</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0.82799999999999996</v>
          </cell>
          <cell r="X158">
            <v>0.82799999999999996</v>
          </cell>
          <cell r="Y158">
            <v>3.78</v>
          </cell>
          <cell r="Z158">
            <v>7.3710000000000004</v>
          </cell>
          <cell r="AA158">
            <v>6.0720000000000001</v>
          </cell>
          <cell r="AB158">
            <v>5.8879999999999999</v>
          </cell>
          <cell r="AC158">
            <v>23.110999999999997</v>
          </cell>
          <cell r="AD158">
            <v>8.5500000000000007</v>
          </cell>
          <cell r="AE158">
            <v>11.102</v>
          </cell>
          <cell r="AF158">
            <v>10.304</v>
          </cell>
          <cell r="AG158">
            <v>9.016</v>
          </cell>
          <cell r="AH158">
            <v>38.972000000000001</v>
          </cell>
          <cell r="AI158">
            <v>11.97</v>
          </cell>
          <cell r="AJ158">
            <v>12.74</v>
          </cell>
          <cell r="AK158">
            <v>9.5679999999999996</v>
          </cell>
          <cell r="AL158">
            <v>11.224</v>
          </cell>
          <cell r="AM158">
            <v>45.501999999999995</v>
          </cell>
          <cell r="AN158">
            <v>10.08</v>
          </cell>
          <cell r="AO158">
            <v>10.374000000000001</v>
          </cell>
          <cell r="AP158">
            <v>10.58</v>
          </cell>
          <cell r="AQ158">
            <v>9.9359999999999999</v>
          </cell>
          <cell r="AR158">
            <v>40.97</v>
          </cell>
          <cell r="AS158">
            <v>9.81</v>
          </cell>
          <cell r="AT158">
            <v>12.012</v>
          </cell>
          <cell r="AU158">
            <v>14.996</v>
          </cell>
          <cell r="AV158">
            <v>14.076000000000001</v>
          </cell>
          <cell r="AW158">
            <v>50.826250000000002</v>
          </cell>
          <cell r="AX158">
            <v>13.68</v>
          </cell>
          <cell r="AY158">
            <v>11.83</v>
          </cell>
          <cell r="AZ158">
            <v>10.488</v>
          </cell>
          <cell r="BA158">
            <v>8.9239999999999995</v>
          </cell>
          <cell r="BB158">
            <v>44.986249999999998</v>
          </cell>
        </row>
        <row r="159">
          <cell r="A159" t="str">
            <v xml:space="preserve">  India</v>
          </cell>
          <cell r="AD159">
            <v>0</v>
          </cell>
          <cell r="AE159">
            <v>0</v>
          </cell>
          <cell r="AF159">
            <v>0</v>
          </cell>
          <cell r="AG159">
            <v>0</v>
          </cell>
          <cell r="AH159">
            <v>0</v>
          </cell>
          <cell r="AI159">
            <v>0</v>
          </cell>
          <cell r="AJ159">
            <v>0</v>
          </cell>
          <cell r="AK159">
            <v>0</v>
          </cell>
          <cell r="AL159">
            <v>0</v>
          </cell>
          <cell r="AM159">
            <v>0</v>
          </cell>
          <cell r="AN159">
            <v>0</v>
          </cell>
          <cell r="AO159">
            <v>9.0999999999999998E-2</v>
          </cell>
          <cell r="AP159">
            <v>3.1280000000000001</v>
          </cell>
          <cell r="AQ159">
            <v>3.496</v>
          </cell>
          <cell r="AR159">
            <v>6.7149999999999999</v>
          </cell>
          <cell r="AS159">
            <v>4.2300000000000004</v>
          </cell>
          <cell r="AT159">
            <v>4.8230000000000004</v>
          </cell>
          <cell r="AU159">
            <v>5.3360000000000003</v>
          </cell>
          <cell r="AV159">
            <v>5.7039999999999997</v>
          </cell>
          <cell r="AW159">
            <v>20.074999999999999</v>
          </cell>
          <cell r="AX159">
            <v>6.39</v>
          </cell>
          <cell r="AY159">
            <v>6.8250000000000002</v>
          </cell>
          <cell r="AZ159">
            <v>3.496</v>
          </cell>
          <cell r="BA159">
            <v>0</v>
          </cell>
          <cell r="BB159">
            <v>16.79</v>
          </cell>
        </row>
        <row r="160">
          <cell r="A160" t="str">
            <v>Total</v>
          </cell>
          <cell r="B160">
            <v>125.56</v>
          </cell>
          <cell r="C160">
            <v>123.708</v>
          </cell>
          <cell r="D160">
            <v>125.56</v>
          </cell>
          <cell r="E160">
            <v>40.950000000000003</v>
          </cell>
          <cell r="F160">
            <v>39.312000000000005</v>
          </cell>
          <cell r="G160">
            <v>36.247999999999998</v>
          </cell>
          <cell r="H160">
            <v>49.588000000000001</v>
          </cell>
          <cell r="I160">
            <v>166.07499999999999</v>
          </cell>
          <cell r="J160">
            <v>43.739999999999995</v>
          </cell>
          <cell r="K160">
            <v>39.948999999999998</v>
          </cell>
          <cell r="L160">
            <v>39.008000000000003</v>
          </cell>
          <cell r="M160">
            <v>56.303999999999995</v>
          </cell>
          <cell r="N160">
            <v>179.215</v>
          </cell>
          <cell r="O160">
            <v>48.684999999999995</v>
          </cell>
          <cell r="P160">
            <v>50.140999999999998</v>
          </cell>
          <cell r="Q160">
            <v>50.415999999999997</v>
          </cell>
          <cell r="R160">
            <v>55.199999999999996</v>
          </cell>
          <cell r="S160">
            <v>204.44200000000001</v>
          </cell>
          <cell r="T160">
            <v>63.45</v>
          </cell>
          <cell r="U160">
            <v>63.244999999999997</v>
          </cell>
          <cell r="V160">
            <v>64.676000000000002</v>
          </cell>
          <cell r="W160">
            <v>67.436000000000007</v>
          </cell>
          <cell r="X160">
            <v>258.80699999999996</v>
          </cell>
          <cell r="Y160">
            <v>71.91</v>
          </cell>
          <cell r="Z160">
            <v>69.16</v>
          </cell>
          <cell r="AA160">
            <v>61.824000000000005</v>
          </cell>
          <cell r="AB160">
            <v>70.564000000000007</v>
          </cell>
          <cell r="AC160">
            <v>273.45800000000003</v>
          </cell>
          <cell r="AD160">
            <v>64.44</v>
          </cell>
          <cell r="AE160">
            <v>60.97</v>
          </cell>
          <cell r="AF160">
            <v>70.74799999999999</v>
          </cell>
          <cell r="AG160">
            <v>74.888000000000005</v>
          </cell>
          <cell r="AH160">
            <v>271.04599999999999</v>
          </cell>
          <cell r="AI160">
            <v>76.319999999999993</v>
          </cell>
          <cell r="AJ160">
            <v>76.44</v>
          </cell>
          <cell r="AK160">
            <v>71.207999999999998</v>
          </cell>
          <cell r="AL160">
            <v>79.12</v>
          </cell>
          <cell r="AM160">
            <v>303.08800000000002</v>
          </cell>
          <cell r="AN160">
            <v>76.5</v>
          </cell>
          <cell r="AO160">
            <v>81.444999999999993</v>
          </cell>
          <cell r="AP160">
            <v>82.524000000000001</v>
          </cell>
          <cell r="AQ160">
            <v>80.407999999999987</v>
          </cell>
          <cell r="AR160">
            <v>317.74900000000002</v>
          </cell>
          <cell r="AS160">
            <v>81.09</v>
          </cell>
          <cell r="AT160">
            <v>82.537000000000006</v>
          </cell>
          <cell r="AU160">
            <v>93.74799999999999</v>
          </cell>
          <cell r="AV160">
            <v>96.875999999999991</v>
          </cell>
          <cell r="AW160">
            <v>354.16525000000001</v>
          </cell>
          <cell r="AX160">
            <v>90.36</v>
          </cell>
          <cell r="AY160">
            <v>87.269000000000005</v>
          </cell>
          <cell r="AZ160">
            <v>83.811999999999998</v>
          </cell>
          <cell r="BA160">
            <v>80.867999999999995</v>
          </cell>
          <cell r="BB160">
            <v>342.45224999999999</v>
          </cell>
        </row>
        <row r="162">
          <cell r="A162" t="str">
            <v>Natural Gas Liquids</v>
          </cell>
        </row>
        <row r="163">
          <cell r="A163" t="str">
            <v xml:space="preserve">  U.S. </v>
          </cell>
          <cell r="B163">
            <v>1.387</v>
          </cell>
          <cell r="C163">
            <v>1.9471199999999997</v>
          </cell>
          <cell r="D163">
            <v>0.69350000000000001</v>
          </cell>
          <cell r="E163">
            <v>0.17099999999999999</v>
          </cell>
          <cell r="F163">
            <v>0.13832</v>
          </cell>
          <cell r="G163">
            <v>0.10487999999999999</v>
          </cell>
          <cell r="H163">
            <v>0.10487999999999999</v>
          </cell>
          <cell r="I163">
            <v>0.55479999999999996</v>
          </cell>
          <cell r="J163">
            <v>0.1026</v>
          </cell>
          <cell r="K163">
            <v>3.458E-2</v>
          </cell>
          <cell r="L163">
            <v>0.10487999999999999</v>
          </cell>
          <cell r="M163">
            <v>0.13984000000000002</v>
          </cell>
          <cell r="N163">
            <v>0.41609999999999997</v>
          </cell>
          <cell r="O163">
            <v>6.9159999999999999E-2</v>
          </cell>
          <cell r="P163">
            <v>0.10374</v>
          </cell>
          <cell r="Q163">
            <v>0.24471999999999994</v>
          </cell>
          <cell r="R163">
            <v>0.10487999999999999</v>
          </cell>
          <cell r="S163">
            <v>0.52249999999999996</v>
          </cell>
          <cell r="T163">
            <v>0.1026</v>
          </cell>
          <cell r="U163">
            <v>0.10374</v>
          </cell>
          <cell r="V163">
            <v>6.992000000000001E-2</v>
          </cell>
          <cell r="W163">
            <v>6.992000000000001E-2</v>
          </cell>
          <cell r="X163">
            <v>0.34618000000000004</v>
          </cell>
          <cell r="Y163">
            <v>6.8399999999999989E-2</v>
          </cell>
          <cell r="Z163">
            <v>6.9159999999999999E-2</v>
          </cell>
          <cell r="AA163">
            <v>0.10487999999999999</v>
          </cell>
          <cell r="AB163">
            <v>0.13984000000000002</v>
          </cell>
          <cell r="AC163">
            <v>0.38227999999999995</v>
          </cell>
          <cell r="AD163">
            <v>0.71819999999999995</v>
          </cell>
          <cell r="AE163">
            <v>0.24205999999999997</v>
          </cell>
          <cell r="AF163">
            <v>0.20975999999999997</v>
          </cell>
          <cell r="AG163">
            <v>0.31463999999999998</v>
          </cell>
          <cell r="AH163">
            <v>1.4846599999999999</v>
          </cell>
          <cell r="AI163">
            <v>0.58139999999999992</v>
          </cell>
          <cell r="AJ163">
            <v>0.24205999999999997</v>
          </cell>
          <cell r="AK163">
            <v>0.34959999999999997</v>
          </cell>
          <cell r="AL163">
            <v>0.62927999999999995</v>
          </cell>
          <cell r="AM163">
            <v>1.8023399999999998</v>
          </cell>
          <cell r="AN163">
            <v>0.88919999999999999</v>
          </cell>
          <cell r="AO163">
            <v>0.76075999999999999</v>
          </cell>
          <cell r="AP163">
            <v>1.0138400000000001</v>
          </cell>
          <cell r="AQ163">
            <v>0.94391999999999998</v>
          </cell>
          <cell r="AR163">
            <v>3.6077199999999996</v>
          </cell>
          <cell r="AS163">
            <v>0.90639000000000003</v>
          </cell>
          <cell r="AT163">
            <v>0.84857500000000008</v>
          </cell>
          <cell r="AU163">
            <v>1.0294800000000002</v>
          </cell>
          <cell r="AV163">
            <v>1.0294800000000002</v>
          </cell>
          <cell r="AW163">
            <v>3.8037000000000001</v>
          </cell>
          <cell r="AX163">
            <v>0.87282000000000004</v>
          </cell>
          <cell r="AY163">
            <v>0.95040399999999992</v>
          </cell>
          <cell r="AZ163">
            <v>0.82358399999999998</v>
          </cell>
          <cell r="BA163">
            <v>0.89221600000000012</v>
          </cell>
          <cell r="BB163">
            <v>3.6054399999999998</v>
          </cell>
        </row>
        <row r="164">
          <cell r="A164" t="str">
            <v xml:space="preserve">  Canada</v>
          </cell>
          <cell r="B164">
            <v>0</v>
          </cell>
          <cell r="C164">
            <v>0</v>
          </cell>
          <cell r="D164">
            <v>0</v>
          </cell>
          <cell r="E164">
            <v>0</v>
          </cell>
          <cell r="F164">
            <v>0</v>
          </cell>
          <cell r="G164">
            <v>0</v>
          </cell>
          <cell r="H164">
            <v>0</v>
          </cell>
          <cell r="I164">
            <v>0</v>
          </cell>
          <cell r="J164">
            <v>0</v>
          </cell>
          <cell r="K164">
            <v>0</v>
          </cell>
          <cell r="L164">
            <v>0.24471999999999994</v>
          </cell>
          <cell r="M164">
            <v>0.13984000000000002</v>
          </cell>
          <cell r="N164">
            <v>0.41609999999999997</v>
          </cell>
          <cell r="O164">
            <v>0.13832</v>
          </cell>
          <cell r="P164">
            <v>0.10374</v>
          </cell>
          <cell r="Q164">
            <v>0.13984000000000002</v>
          </cell>
          <cell r="R164">
            <v>0.111872</v>
          </cell>
          <cell r="S164">
            <v>0.49377199999999999</v>
          </cell>
          <cell r="T164">
            <v>0.13679999999999998</v>
          </cell>
          <cell r="U164">
            <v>6.9159999999999999E-2</v>
          </cell>
          <cell r="V164">
            <v>0.10487999999999999</v>
          </cell>
          <cell r="W164">
            <v>0.20975999999999997</v>
          </cell>
          <cell r="X164">
            <v>0.52060000000000006</v>
          </cell>
          <cell r="Y164">
            <v>0.17099999999999999</v>
          </cell>
          <cell r="Z164">
            <v>0.13832</v>
          </cell>
          <cell r="AA164">
            <v>0.13984000000000002</v>
          </cell>
          <cell r="AB164">
            <v>0.13984000000000002</v>
          </cell>
          <cell r="AC164">
            <v>0.58899999999999997</v>
          </cell>
          <cell r="AD164">
            <v>0.13679999999999998</v>
          </cell>
          <cell r="AE164">
            <v>6.9159999999999999E-2</v>
          </cell>
          <cell r="AF164">
            <v>0.13984000000000002</v>
          </cell>
          <cell r="AG164">
            <v>0.17479999999999998</v>
          </cell>
          <cell r="AH164">
            <v>0.52060000000000006</v>
          </cell>
          <cell r="AI164">
            <v>0.23939999999999995</v>
          </cell>
          <cell r="AJ164">
            <v>0.48411999999999994</v>
          </cell>
          <cell r="AK164">
            <v>0.45448000000000005</v>
          </cell>
          <cell r="AL164">
            <v>0.48943999999999988</v>
          </cell>
          <cell r="AM164">
            <v>1.6674399999999996</v>
          </cell>
          <cell r="AN164">
            <v>0.4446</v>
          </cell>
          <cell r="AO164">
            <v>0.3458</v>
          </cell>
          <cell r="AP164">
            <v>0.52439999999999998</v>
          </cell>
          <cell r="AQ164">
            <v>0.38455999999999996</v>
          </cell>
          <cell r="AR164">
            <v>1.6993599999999998</v>
          </cell>
          <cell r="AS164">
            <v>0.36828000000000011</v>
          </cell>
          <cell r="AT164">
            <v>0.37237200000000004</v>
          </cell>
          <cell r="AU164">
            <v>0.34223999999999999</v>
          </cell>
          <cell r="AV164">
            <v>0.34223999999999999</v>
          </cell>
          <cell r="AW164">
            <v>1.4251320000000005</v>
          </cell>
          <cell r="AX164">
            <v>0.13391999999999998</v>
          </cell>
          <cell r="AY164">
            <v>0.33851999999999999</v>
          </cell>
          <cell r="AZ164">
            <v>0.27379200000000004</v>
          </cell>
          <cell r="BA164">
            <v>0.30801600000000001</v>
          </cell>
          <cell r="BB164">
            <v>1.0769200000000001</v>
          </cell>
        </row>
        <row r="165">
          <cell r="A165" t="str">
            <v>Total</v>
          </cell>
          <cell r="B165">
            <v>1.387</v>
          </cell>
          <cell r="C165">
            <v>1.9471199999999997</v>
          </cell>
          <cell r="D165">
            <v>0.69350000000000001</v>
          </cell>
          <cell r="E165">
            <v>0.17099999999999999</v>
          </cell>
          <cell r="F165">
            <v>0.13832</v>
          </cell>
          <cell r="G165">
            <v>0.10487999999999999</v>
          </cell>
          <cell r="H165">
            <v>0.10487999999999999</v>
          </cell>
          <cell r="I165">
            <v>0.55479999999999996</v>
          </cell>
          <cell r="J165">
            <v>0.1026</v>
          </cell>
          <cell r="K165">
            <v>3.458E-2</v>
          </cell>
          <cell r="L165">
            <v>0.34959999999999991</v>
          </cell>
          <cell r="M165">
            <v>0.27968000000000004</v>
          </cell>
          <cell r="N165">
            <v>0.83219999999999994</v>
          </cell>
          <cell r="O165">
            <v>0.20748</v>
          </cell>
          <cell r="P165">
            <v>0.20748</v>
          </cell>
          <cell r="Q165">
            <v>0.38455999999999996</v>
          </cell>
          <cell r="R165">
            <v>0.216752</v>
          </cell>
          <cell r="S165">
            <v>1.0162719999999998</v>
          </cell>
          <cell r="T165">
            <v>0.23939999999999997</v>
          </cell>
          <cell r="U165">
            <v>0.1729</v>
          </cell>
          <cell r="V165">
            <v>0.17480000000000001</v>
          </cell>
          <cell r="W165">
            <v>0.27967999999999998</v>
          </cell>
          <cell r="X165">
            <v>0.86678000000000011</v>
          </cell>
          <cell r="Y165">
            <v>0.23939999999999997</v>
          </cell>
          <cell r="Z165">
            <v>0.20748</v>
          </cell>
          <cell r="AA165">
            <v>0.24471999999999999</v>
          </cell>
          <cell r="AB165">
            <v>0.27968000000000004</v>
          </cell>
          <cell r="AC165">
            <v>0.97127999999999992</v>
          </cell>
          <cell r="AD165">
            <v>0.85499999999999998</v>
          </cell>
          <cell r="AE165">
            <v>0.31121999999999994</v>
          </cell>
          <cell r="AF165">
            <v>0.34960000000000002</v>
          </cell>
          <cell r="AG165">
            <v>0.48943999999999999</v>
          </cell>
          <cell r="AH165">
            <v>2.0052599999999998</v>
          </cell>
          <cell r="AI165">
            <v>0.82079999999999986</v>
          </cell>
          <cell r="AJ165">
            <v>0.72617999999999994</v>
          </cell>
          <cell r="AK165">
            <v>0.80408000000000002</v>
          </cell>
          <cell r="AL165">
            <v>1.1187199999999997</v>
          </cell>
          <cell r="AM165">
            <v>3.4697799999999992</v>
          </cell>
          <cell r="AN165">
            <v>1.3338000000000001</v>
          </cell>
          <cell r="AO165">
            <v>1.10656</v>
          </cell>
          <cell r="AP165">
            <v>1.5382400000000001</v>
          </cell>
          <cell r="AQ165">
            <v>1.3284799999999999</v>
          </cell>
          <cell r="AR165">
            <v>5.3070799999999991</v>
          </cell>
          <cell r="AS165">
            <v>1.2746700000000002</v>
          </cell>
          <cell r="AT165">
            <v>1.2209470000000002</v>
          </cell>
          <cell r="AU165">
            <v>1.3717200000000003</v>
          </cell>
          <cell r="AV165">
            <v>1.3717200000000003</v>
          </cell>
          <cell r="AW165">
            <v>5.2288320000000006</v>
          </cell>
          <cell r="AX165">
            <v>1.00674</v>
          </cell>
          <cell r="AY165">
            <v>1.288924</v>
          </cell>
          <cell r="AZ165">
            <v>1.0973760000000001</v>
          </cell>
          <cell r="BA165">
            <v>1.2002320000000002</v>
          </cell>
          <cell r="BB165">
            <v>4.6823600000000001</v>
          </cell>
        </row>
        <row r="167">
          <cell r="A167" t="str">
            <v>Crude Oil &amp; Condensate (MMBbl)</v>
          </cell>
        </row>
        <row r="168">
          <cell r="A168" t="str">
            <v xml:space="preserve">  U.S. </v>
          </cell>
          <cell r="B168">
            <v>19.71</v>
          </cell>
          <cell r="C168">
            <v>17.567999999999998</v>
          </cell>
          <cell r="D168">
            <v>12.482999999999999</v>
          </cell>
          <cell r="E168">
            <v>3.1859999999999999</v>
          </cell>
          <cell r="F168">
            <v>3.0029999999999997</v>
          </cell>
          <cell r="G168">
            <v>3.1463999999999999</v>
          </cell>
          <cell r="H168">
            <v>3.4224000000000001</v>
          </cell>
          <cell r="I168">
            <v>12.702</v>
          </cell>
          <cell r="J168">
            <v>3.2940000000000005</v>
          </cell>
          <cell r="K168">
            <v>3.4397999999999995</v>
          </cell>
          <cell r="L168">
            <v>2.9808000000000003</v>
          </cell>
          <cell r="M168">
            <v>3.3120000000000003</v>
          </cell>
          <cell r="N168">
            <v>12.921000000000001</v>
          </cell>
          <cell r="O168">
            <v>3.6036000000000001</v>
          </cell>
          <cell r="P168">
            <v>3.1122000000000005</v>
          </cell>
          <cell r="Q168">
            <v>3.3120000000000003</v>
          </cell>
          <cell r="R168">
            <v>3.2016000000000004</v>
          </cell>
          <cell r="S168">
            <v>13.229400000000002</v>
          </cell>
          <cell r="T168">
            <v>4.0500000000000007</v>
          </cell>
          <cell r="U168">
            <v>3.9858000000000002</v>
          </cell>
          <cell r="V168">
            <v>3.4775999999999998</v>
          </cell>
          <cell r="W168">
            <v>3.036</v>
          </cell>
          <cell r="X168">
            <v>14.5494</v>
          </cell>
          <cell r="Y168">
            <v>3.8340000000000001</v>
          </cell>
          <cell r="Z168">
            <v>3.9312</v>
          </cell>
          <cell r="AA168">
            <v>4.5263999999999998</v>
          </cell>
          <cell r="AB168">
            <v>5.1336000000000004</v>
          </cell>
          <cell r="AC168">
            <v>17.4252</v>
          </cell>
          <cell r="AD168">
            <v>5.1840000000000002</v>
          </cell>
          <cell r="AE168">
            <v>4.7501999999999995</v>
          </cell>
          <cell r="AF168">
            <v>5.0783999999999994</v>
          </cell>
          <cell r="AG168">
            <v>4.9128000000000007</v>
          </cell>
          <cell r="AH168">
            <v>19.9254</v>
          </cell>
          <cell r="AI168">
            <v>4.6979999999999995</v>
          </cell>
          <cell r="AJ168">
            <v>4.7501999999999995</v>
          </cell>
          <cell r="AK168">
            <v>4.8024000000000004</v>
          </cell>
          <cell r="AL168">
            <v>5.9063999999999997</v>
          </cell>
          <cell r="AM168">
            <v>20.157</v>
          </cell>
          <cell r="AN168">
            <v>5.7779999999999987</v>
          </cell>
          <cell r="AO168">
            <v>6.1151999999999997</v>
          </cell>
          <cell r="AP168">
            <v>6.789600000000001</v>
          </cell>
          <cell r="AQ168">
            <v>6.8999999999999995</v>
          </cell>
          <cell r="AR168">
            <v>25.582799999999999</v>
          </cell>
          <cell r="AS168">
            <v>6.8039999999999994</v>
          </cell>
          <cell r="AT168">
            <v>6.6612000000000009</v>
          </cell>
          <cell r="AU168">
            <v>9.1631999999999998</v>
          </cell>
          <cell r="AV168">
            <v>7.9488000000000003</v>
          </cell>
          <cell r="AW168">
            <v>30.577199999999998</v>
          </cell>
          <cell r="AX168">
            <v>7.0739999999999998</v>
          </cell>
          <cell r="AY168">
            <v>7.1525999999999996</v>
          </cell>
          <cell r="AZ168">
            <v>8.0592000000000006</v>
          </cell>
          <cell r="BA168">
            <v>9.3287999999999993</v>
          </cell>
          <cell r="BB168">
            <v>31.614600000000003</v>
          </cell>
        </row>
        <row r="169">
          <cell r="A169" t="str">
            <v xml:space="preserve">  Canada</v>
          </cell>
          <cell r="B169">
            <v>4.38</v>
          </cell>
          <cell r="C169">
            <v>4.3919999999999995</v>
          </cell>
          <cell r="D169">
            <v>5.694</v>
          </cell>
          <cell r="E169">
            <v>1.35</v>
          </cell>
          <cell r="F169">
            <v>1.2557999999999998</v>
          </cell>
          <cell r="G169">
            <v>1.3248</v>
          </cell>
          <cell r="H169">
            <v>1.3248</v>
          </cell>
          <cell r="I169">
            <v>5.2560000000000002</v>
          </cell>
          <cell r="J169">
            <v>1.296</v>
          </cell>
          <cell r="K169">
            <v>1.3104</v>
          </cell>
          <cell r="L169">
            <v>0.99360000000000004</v>
          </cell>
          <cell r="M169">
            <v>1.3248</v>
          </cell>
          <cell r="N169">
            <v>5.036999999999999</v>
          </cell>
          <cell r="O169">
            <v>1.2012</v>
          </cell>
          <cell r="P169">
            <v>1.2012</v>
          </cell>
          <cell r="Q169">
            <v>1.2143999999999999</v>
          </cell>
          <cell r="R169">
            <v>1.2143999999999999</v>
          </cell>
          <cell r="S169">
            <v>4.8311999999999999</v>
          </cell>
          <cell r="T169">
            <v>1.1880000000000002</v>
          </cell>
          <cell r="U169">
            <v>1.2012</v>
          </cell>
          <cell r="V169">
            <v>1.1592</v>
          </cell>
          <cell r="W169">
            <v>1.2143999999999999</v>
          </cell>
          <cell r="X169">
            <v>4.7628000000000004</v>
          </cell>
          <cell r="Y169">
            <v>1.026</v>
          </cell>
          <cell r="Z169">
            <v>1.0373999999999999</v>
          </cell>
          <cell r="AA169">
            <v>1.0488</v>
          </cell>
          <cell r="AB169">
            <v>1.3248</v>
          </cell>
          <cell r="AC169">
            <v>4.4369999999999994</v>
          </cell>
          <cell r="AD169">
            <v>1.1339999999999999</v>
          </cell>
          <cell r="AE169">
            <v>1.2012</v>
          </cell>
          <cell r="AF169">
            <v>1.5455999999999996</v>
          </cell>
          <cell r="AG169">
            <v>1.3800000000000001</v>
          </cell>
          <cell r="AH169">
            <v>5.2607999999999997</v>
          </cell>
          <cell r="AI169">
            <v>1.4040000000000001</v>
          </cell>
          <cell r="AJ169">
            <v>1.2557999999999998</v>
          </cell>
          <cell r="AK169">
            <v>1.1592</v>
          </cell>
          <cell r="AL169">
            <v>1.3800000000000001</v>
          </cell>
          <cell r="AM169">
            <v>5.1989999999999998</v>
          </cell>
          <cell r="AN169">
            <v>1.296</v>
          </cell>
          <cell r="AO169">
            <v>1.3104</v>
          </cell>
          <cell r="AP169">
            <v>1.3800000000000001</v>
          </cell>
          <cell r="AQ169">
            <v>1.6560000000000001</v>
          </cell>
          <cell r="AR169">
            <v>5.6423999999999994</v>
          </cell>
          <cell r="AS169">
            <v>1.4580000000000002</v>
          </cell>
          <cell r="AT169">
            <v>1.365</v>
          </cell>
          <cell r="AU169">
            <v>1.5455999999999996</v>
          </cell>
          <cell r="AV169">
            <v>1.4904000000000002</v>
          </cell>
          <cell r="AW169">
            <v>5.859</v>
          </cell>
          <cell r="AX169">
            <v>1.4580000000000002</v>
          </cell>
          <cell r="AY169">
            <v>1.4742000000000002</v>
          </cell>
          <cell r="AZ169">
            <v>1.4904000000000002</v>
          </cell>
          <cell r="BA169">
            <v>1.2695999999999998</v>
          </cell>
          <cell r="BB169">
            <v>5.6922000000000015</v>
          </cell>
        </row>
        <row r="170">
          <cell r="A170" t="str">
            <v xml:space="preserve">  Trinidad</v>
          </cell>
          <cell r="B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0.22080000000000005</v>
          </cell>
          <cell r="X170">
            <v>0.21899999999999997</v>
          </cell>
          <cell r="Y170">
            <v>0.97199999999999998</v>
          </cell>
          <cell r="Z170">
            <v>1.7472000000000001</v>
          </cell>
          <cell r="AA170">
            <v>1.4904000000000002</v>
          </cell>
          <cell r="AB170">
            <v>1.6008000000000002</v>
          </cell>
          <cell r="AC170">
            <v>5.8104000000000005</v>
          </cell>
          <cell r="AD170">
            <v>1.944</v>
          </cell>
          <cell r="AE170">
            <v>2.6208</v>
          </cell>
          <cell r="AF170">
            <v>3.2568000000000001</v>
          </cell>
          <cell r="AG170">
            <v>3.3120000000000003</v>
          </cell>
          <cell r="AH170">
            <v>11.133600000000001</v>
          </cell>
          <cell r="AI170">
            <v>3.8340000000000001</v>
          </cell>
          <cell r="AJ170">
            <v>2.9484000000000004</v>
          </cell>
          <cell r="AK170">
            <v>2.484</v>
          </cell>
          <cell r="AL170">
            <v>2.3184</v>
          </cell>
          <cell r="AM170">
            <v>11.584800000000001</v>
          </cell>
          <cell r="AN170">
            <v>1.9980000000000002</v>
          </cell>
          <cell r="AO170">
            <v>1.911</v>
          </cell>
          <cell r="AP170">
            <v>1.8768000000000002</v>
          </cell>
          <cell r="AQ170">
            <v>1.6560000000000001</v>
          </cell>
          <cell r="AR170">
            <v>7.4417999999999997</v>
          </cell>
          <cell r="AS170">
            <v>1.5119999999999996</v>
          </cell>
          <cell r="AT170">
            <v>1.5833999999999997</v>
          </cell>
          <cell r="AU170">
            <v>1.7112000000000001</v>
          </cell>
          <cell r="AV170">
            <v>1.6560000000000001</v>
          </cell>
          <cell r="AW170">
            <v>6.4626000000000001</v>
          </cell>
          <cell r="AX170">
            <v>1.5119999999999996</v>
          </cell>
          <cell r="AY170">
            <v>1.2557999999999998</v>
          </cell>
          <cell r="AZ170">
            <v>1.3248</v>
          </cell>
          <cell r="BA170">
            <v>1.1592</v>
          </cell>
          <cell r="BB170">
            <v>5.2517999999999994</v>
          </cell>
        </row>
        <row r="171">
          <cell r="A171" t="str">
            <v xml:space="preserve">  India</v>
          </cell>
          <cell r="AD171">
            <v>1.5119999999999996</v>
          </cell>
          <cell r="AE171">
            <v>0.92819999999999991</v>
          </cell>
          <cell r="AF171">
            <v>1.2695999999999998</v>
          </cell>
          <cell r="AG171">
            <v>1.7664000000000004</v>
          </cell>
          <cell r="AH171">
            <v>5.4762000000000004</v>
          </cell>
          <cell r="AI171">
            <v>1.62</v>
          </cell>
          <cell r="AJ171">
            <v>1.4742000000000002</v>
          </cell>
          <cell r="AK171">
            <v>1.3248</v>
          </cell>
          <cell r="AL171">
            <v>1.6560000000000001</v>
          </cell>
          <cell r="AM171">
            <v>6.0750000000000011</v>
          </cell>
          <cell r="AN171">
            <v>1.5119999999999996</v>
          </cell>
          <cell r="AO171">
            <v>0</v>
          </cell>
          <cell r="AP171">
            <v>1.3248</v>
          </cell>
          <cell r="AQ171">
            <v>2.1528</v>
          </cell>
          <cell r="AR171">
            <v>4.9895999999999994</v>
          </cell>
          <cell r="AS171">
            <v>2.2679999999999998</v>
          </cell>
          <cell r="AT171">
            <v>2.6208</v>
          </cell>
          <cell r="AU171">
            <v>2.8151999999999999</v>
          </cell>
          <cell r="AV171">
            <v>3.5328000000000008</v>
          </cell>
          <cell r="AW171">
            <v>11.236800000000002</v>
          </cell>
          <cell r="AX171">
            <v>3.8340000000000001</v>
          </cell>
          <cell r="AY171">
            <v>3.4944000000000002</v>
          </cell>
          <cell r="AZ171">
            <v>1.6008000000000002</v>
          </cell>
          <cell r="BA171">
            <v>0</v>
          </cell>
          <cell r="BB171">
            <v>8.9291999999999998</v>
          </cell>
        </row>
        <row r="172">
          <cell r="A172" t="str">
            <v>Total</v>
          </cell>
          <cell r="B172">
            <v>24.09</v>
          </cell>
          <cell r="C172">
            <v>21.959999999999997</v>
          </cell>
          <cell r="D172">
            <v>18.177</v>
          </cell>
          <cell r="E172">
            <v>4.5359999999999996</v>
          </cell>
          <cell r="F172">
            <v>4.258799999999999</v>
          </cell>
          <cell r="G172">
            <v>4.4711999999999996</v>
          </cell>
          <cell r="H172">
            <v>4.7472000000000003</v>
          </cell>
          <cell r="I172">
            <v>17.957999999999998</v>
          </cell>
          <cell r="J172">
            <v>4.5900000000000007</v>
          </cell>
          <cell r="K172">
            <v>4.7501999999999995</v>
          </cell>
          <cell r="L172">
            <v>3.9744000000000002</v>
          </cell>
          <cell r="M172">
            <v>4.6368</v>
          </cell>
          <cell r="N172">
            <v>17.957999999999998</v>
          </cell>
          <cell r="O172">
            <v>4.8048000000000002</v>
          </cell>
          <cell r="P172">
            <v>4.3134000000000006</v>
          </cell>
          <cell r="Q172">
            <v>4.5264000000000006</v>
          </cell>
          <cell r="R172">
            <v>4.4160000000000004</v>
          </cell>
          <cell r="S172">
            <v>18.060600000000001</v>
          </cell>
          <cell r="T172">
            <v>5.2380000000000013</v>
          </cell>
          <cell r="U172">
            <v>5.1870000000000003</v>
          </cell>
          <cell r="V172">
            <v>4.6368</v>
          </cell>
          <cell r="W172">
            <v>4.4711999999999996</v>
          </cell>
          <cell r="X172">
            <v>19.312200000000001</v>
          </cell>
          <cell r="Y172">
            <v>5.8320000000000007</v>
          </cell>
          <cell r="Z172">
            <v>6.7158000000000007</v>
          </cell>
          <cell r="AA172">
            <v>7.0655999999999999</v>
          </cell>
          <cell r="AB172">
            <v>8.0592000000000006</v>
          </cell>
          <cell r="AC172">
            <v>27.672600000000003</v>
          </cell>
          <cell r="AD172">
            <v>9.7740000000000009</v>
          </cell>
          <cell r="AE172">
            <v>9.5003999999999991</v>
          </cell>
          <cell r="AF172">
            <v>11.150399999999999</v>
          </cell>
          <cell r="AG172">
            <v>11.371200000000002</v>
          </cell>
          <cell r="AH172">
            <v>41.795999999999999</v>
          </cell>
          <cell r="AI172">
            <v>11.556000000000001</v>
          </cell>
          <cell r="AJ172">
            <v>10.428599999999999</v>
          </cell>
          <cell r="AK172">
            <v>9.7704000000000004</v>
          </cell>
          <cell r="AL172">
            <v>11.2608</v>
          </cell>
          <cell r="AM172">
            <v>43.015799999999999</v>
          </cell>
          <cell r="AN172">
            <v>10.584</v>
          </cell>
          <cell r="AO172">
            <v>9.3365999999999989</v>
          </cell>
          <cell r="AP172">
            <v>11.371200000000002</v>
          </cell>
          <cell r="AQ172">
            <v>12.364799999999999</v>
          </cell>
          <cell r="AR172">
            <v>43.656599999999997</v>
          </cell>
          <cell r="AS172">
            <v>12.042000000000002</v>
          </cell>
          <cell r="AT172">
            <v>12.230399999999999</v>
          </cell>
          <cell r="AU172">
            <v>15.235199999999999</v>
          </cell>
          <cell r="AV172">
            <v>14.628</v>
          </cell>
          <cell r="AW172">
            <v>54.135600000000004</v>
          </cell>
          <cell r="AX172">
            <v>13.878</v>
          </cell>
          <cell r="AY172">
            <v>13.377000000000001</v>
          </cell>
          <cell r="AZ172">
            <v>12.475200000000001</v>
          </cell>
          <cell r="BA172">
            <v>11.7576</v>
          </cell>
          <cell r="BB172">
            <v>51.4878</v>
          </cell>
        </row>
        <row r="173">
          <cell r="A173" t="str">
            <v>Total Bcfe</v>
          </cell>
          <cell r="B173">
            <v>151.03700000000001</v>
          </cell>
          <cell r="C173">
            <v>147.61511999999999</v>
          </cell>
          <cell r="D173">
            <v>144.43049999999999</v>
          </cell>
          <cell r="E173">
            <v>45.657000000000004</v>
          </cell>
          <cell r="F173">
            <v>43.709120000000006</v>
          </cell>
          <cell r="G173">
            <v>40.824079999999995</v>
          </cell>
          <cell r="H173">
            <v>54.440080000000002</v>
          </cell>
          <cell r="I173">
            <v>184.58779999999999</v>
          </cell>
          <cell r="J173">
            <v>48.432600000000001</v>
          </cell>
          <cell r="K173">
            <v>44.733779999999996</v>
          </cell>
          <cell r="L173">
            <v>43.332000000000008</v>
          </cell>
          <cell r="M173">
            <v>61.220479999999995</v>
          </cell>
          <cell r="N173">
            <v>198.0052</v>
          </cell>
          <cell r="O173">
            <v>53.697279999999992</v>
          </cell>
          <cell r="P173">
            <v>54.661879999999996</v>
          </cell>
          <cell r="Q173">
            <v>55.32696</v>
          </cell>
          <cell r="R173">
            <v>59.832751999999999</v>
          </cell>
          <cell r="S173">
            <v>223.51887199999999</v>
          </cell>
          <cell r="T173">
            <v>68.927400000000006</v>
          </cell>
          <cell r="U173">
            <v>68.604900000000001</v>
          </cell>
          <cell r="V173">
            <v>69.4876</v>
          </cell>
          <cell r="W173">
            <v>72.186880000000002</v>
          </cell>
          <cell r="X173">
            <v>278.98597999999998</v>
          </cell>
          <cell r="Y173">
            <v>77.981400000000008</v>
          </cell>
          <cell r="Z173">
            <v>76.083280000000002</v>
          </cell>
          <cell r="AA173">
            <v>69.134320000000002</v>
          </cell>
          <cell r="AB173">
            <v>78.90288000000001</v>
          </cell>
          <cell r="AC173">
            <v>302.10188000000005</v>
          </cell>
          <cell r="AD173">
            <v>75.069000000000003</v>
          </cell>
          <cell r="AE173">
            <v>70.781620000000004</v>
          </cell>
          <cell r="AF173">
            <v>82.24799999999999</v>
          </cell>
          <cell r="AG173">
            <v>86.748640000000009</v>
          </cell>
          <cell r="AH173">
            <v>314.84726000000001</v>
          </cell>
          <cell r="AI173">
            <v>88.696799999999996</v>
          </cell>
          <cell r="AJ173">
            <v>87.59478</v>
          </cell>
          <cell r="AK173">
            <v>81.782479999999993</v>
          </cell>
          <cell r="AL173">
            <v>91.499520000000004</v>
          </cell>
          <cell r="AM173">
            <v>349.57358000000005</v>
          </cell>
          <cell r="AN173">
            <v>88.4178</v>
          </cell>
          <cell r="AO173">
            <v>91.888159999999999</v>
          </cell>
          <cell r="AP173">
            <v>95.433440000000004</v>
          </cell>
          <cell r="AQ173">
            <v>94.101279999999988</v>
          </cell>
          <cell r="AR173">
            <v>366.71267999999998</v>
          </cell>
          <cell r="AS173">
            <v>94.406670000000005</v>
          </cell>
          <cell r="AT173">
            <v>95.988347000000005</v>
          </cell>
          <cell r="AU173">
            <v>110.35491999999999</v>
          </cell>
          <cell r="AV173">
            <v>112.87571999999999</v>
          </cell>
          <cell r="AW173">
            <v>413.52968200000004</v>
          </cell>
          <cell r="AX173">
            <v>105.24473999999999</v>
          </cell>
          <cell r="AY173">
            <v>101.934924</v>
          </cell>
          <cell r="AZ173">
            <v>97.384575999999996</v>
          </cell>
          <cell r="BA173">
            <v>93.825831999999991</v>
          </cell>
          <cell r="BB173">
            <v>398.62241</v>
          </cell>
        </row>
        <row r="175">
          <cell r="A175" t="str">
            <v>Per Unit Production Expenses</v>
          </cell>
        </row>
        <row r="176">
          <cell r="A176" t="str">
            <v>Lease &amp; Well</v>
          </cell>
        </row>
        <row r="177">
          <cell r="A177" t="str">
            <v xml:space="preserve">  Per MCF</v>
          </cell>
          <cell r="B177">
            <v>0.31757119116507876</v>
          </cell>
          <cell r="C177">
            <v>0.31395835331773603</v>
          </cell>
          <cell r="D177">
            <v>0.27618127750025101</v>
          </cell>
          <cell r="E177">
            <v>0.19804192128260725</v>
          </cell>
          <cell r="F177">
            <v>0.25754350579467167</v>
          </cell>
          <cell r="G177">
            <v>0.24840731254690862</v>
          </cell>
          <cell r="H177">
            <v>0.24551764067944054</v>
          </cell>
          <cell r="I177">
            <v>0.23731795925841254</v>
          </cell>
          <cell r="J177">
            <v>0.22856505742000224</v>
          </cell>
          <cell r="K177">
            <v>0.2473410474142807</v>
          </cell>
          <cell r="L177">
            <v>0.28117788239638136</v>
          </cell>
          <cell r="M177">
            <v>0.25487385920528555</v>
          </cell>
          <cell r="N177">
            <v>0.25212469167476409</v>
          </cell>
          <cell r="O177">
            <v>0.2192103585135039</v>
          </cell>
          <cell r="P177">
            <v>0.23332530824040448</v>
          </cell>
          <cell r="Q177">
            <v>0.21400055235277701</v>
          </cell>
          <cell r="R177">
            <v>0.220614956838355</v>
          </cell>
          <cell r="S177">
            <v>0.2217486136920018</v>
          </cell>
          <cell r="T177">
            <v>0.19960131964937017</v>
          </cell>
          <cell r="U177">
            <v>0.20453349542088101</v>
          </cell>
          <cell r="V177">
            <v>0.2236514140652433</v>
          </cell>
          <cell r="W177">
            <v>0.22182701344066957</v>
          </cell>
          <cell r="X177">
            <v>0.21271319798937571</v>
          </cell>
          <cell r="Y177">
            <v>0.19234073766308374</v>
          </cell>
          <cell r="Z177">
            <v>0.21511953743319162</v>
          </cell>
          <cell r="AA177">
            <v>0.19405701827977767</v>
          </cell>
          <cell r="AB177">
            <v>0.19773676195342932</v>
          </cell>
          <cell r="AC177">
            <v>0.19987959028920968</v>
          </cell>
          <cell r="AD177">
            <v>0.22248864378105479</v>
          </cell>
          <cell r="AE177">
            <v>0.23886144453885061</v>
          </cell>
          <cell r="AF177">
            <v>0.23476558700515518</v>
          </cell>
          <cell r="AG177">
            <v>0.1907234511111644</v>
          </cell>
          <cell r="AH177">
            <v>0.22062443865638218</v>
          </cell>
          <cell r="AI177">
            <v>0.21146196931569122</v>
          </cell>
          <cell r="AJ177">
            <v>0.22802728655748664</v>
          </cell>
          <cell r="AK177">
            <v>0.22013272280322144</v>
          </cell>
          <cell r="AL177">
            <v>0.2173235444295227</v>
          </cell>
          <cell r="AM177">
            <v>0.21917560245828646</v>
          </cell>
          <cell r="AN177">
            <v>0.26543297842742075</v>
          </cell>
          <cell r="AO177">
            <v>0.28265883221516241</v>
          </cell>
          <cell r="AP177">
            <v>0.23566162971805268</v>
          </cell>
          <cell r="AQ177">
            <v>0.25644709615002054</v>
          </cell>
          <cell r="AR177">
            <v>0.2619598536925421</v>
          </cell>
          <cell r="AS177">
            <v>0.26384788278201105</v>
          </cell>
          <cell r="AT177">
            <v>0.2381226546176485</v>
          </cell>
          <cell r="AU177">
            <v>0.22190220426964199</v>
          </cell>
          <cell r="AV177">
            <v>0.23578144174850008</v>
          </cell>
          <cell r="AW177">
            <v>0.23908320080395096</v>
          </cell>
          <cell r="AX177">
            <v>0.22869551485423406</v>
          </cell>
          <cell r="AY177">
            <v>0.23091202775606132</v>
          </cell>
          <cell r="AZ177">
            <v>0.21465411524716194</v>
          </cell>
          <cell r="BA177">
            <v>0.21317157091663202</v>
          </cell>
          <cell r="BB177">
            <v>0.22204471645234397</v>
          </cell>
        </row>
        <row r="178">
          <cell r="A178" t="str">
            <v xml:space="preserve">  Per BOE</v>
          </cell>
          <cell r="B178">
            <v>1.9057955946646468</v>
          </cell>
          <cell r="C178">
            <v>1.8842733734465977</v>
          </cell>
          <cell r="D178">
            <v>1.6572551914297526</v>
          </cell>
          <cell r="E178">
            <v>1.1883452272996096</v>
          </cell>
          <cell r="F178">
            <v>1.5453639903969705</v>
          </cell>
          <cell r="G178">
            <v>1.4905244913805031</v>
          </cell>
          <cell r="H178">
            <v>1.4731655932472891</v>
          </cell>
          <cell r="I178">
            <v>1.4239978606116546</v>
          </cell>
          <cell r="J178">
            <v>1.3714515085966594</v>
          </cell>
          <cell r="K178">
            <v>1.484070436329719</v>
          </cell>
          <cell r="L178">
            <v>1.6873538937657646</v>
          </cell>
          <cell r="M178">
            <v>1.5293902473449468</v>
          </cell>
          <cell r="N178">
            <v>1.5128820136687291</v>
          </cell>
          <cell r="O178">
            <v>1.3153691496561037</v>
          </cell>
          <cell r="P178">
            <v>1.4000637277452368</v>
          </cell>
          <cell r="Q178">
            <v>1.2841912299572888</v>
          </cell>
          <cell r="R178">
            <v>1.3237907011485528</v>
          </cell>
          <cell r="S178">
            <v>1.3306190488500405</v>
          </cell>
          <cell r="T178">
            <v>1.1976954938861641</v>
          </cell>
          <cell r="U178">
            <v>1.2272660881155828</v>
          </cell>
          <cell r="V178">
            <v>1.3419795544062567</v>
          </cell>
          <cell r="W178">
            <v>1.331070650843923</v>
          </cell>
          <cell r="X178">
            <v>1.2753614666760027</v>
          </cell>
          <cell r="Y178">
            <v>1.1541190176099527</v>
          </cell>
          <cell r="Z178">
            <v>1.290791329928588</v>
          </cell>
          <cell r="AA178">
            <v>1.1644288847798661</v>
          </cell>
          <cell r="AB178">
            <v>1.1865091130470475</v>
          </cell>
          <cell r="AC178">
            <v>1.199358721260299</v>
          </cell>
          <cell r="AD178">
            <v>1.3352520286205383</v>
          </cell>
          <cell r="AE178">
            <v>1.4333013427835914</v>
          </cell>
          <cell r="AF178">
            <v>1.4087195819487788</v>
          </cell>
          <cell r="AG178">
            <v>1.1444766475575461</v>
          </cell>
          <cell r="AH178">
            <v>1.3239241490679547</v>
          </cell>
          <cell r="AI178">
            <v>1.2690190474643979</v>
          </cell>
          <cell r="AJ178">
            <v>1.3684025479389628</v>
          </cell>
          <cell r="AK178">
            <v>1.3210697825411857</v>
          </cell>
          <cell r="AL178">
            <v>1.3042769878095197</v>
          </cell>
          <cell r="AM178">
            <v>1.3153284699435022</v>
          </cell>
          <cell r="AN178">
            <v>1.5931038134298876</v>
          </cell>
          <cell r="AO178">
            <v>1.6963830698100202</v>
          </cell>
          <cell r="AP178">
            <v>1.4144497520027453</v>
          </cell>
          <cell r="AQ178">
            <v>1.5391400273012608</v>
          </cell>
          <cell r="AR178">
            <v>1.5722381430149694</v>
          </cell>
          <cell r="AS178">
            <v>1.5831280459436989</v>
          </cell>
          <cell r="AT178">
            <v>1.4287697906837982</v>
          </cell>
          <cell r="AU178">
            <v>1.3314465253783887</v>
          </cell>
          <cell r="AV178">
            <v>1.4147232428386749</v>
          </cell>
          <cell r="AW178">
            <v>1.4344992048237057</v>
          </cell>
          <cell r="AX178">
            <v>1.3722035985496337</v>
          </cell>
          <cell r="AY178">
            <v>1.3855067991351442</v>
          </cell>
          <cell r="AZ178">
            <v>1.2879538932550911</v>
          </cell>
          <cell r="BA178">
            <v>1.2790620339650731</v>
          </cell>
          <cell r="BB178">
            <v>1.332597839054213</v>
          </cell>
        </row>
        <row r="180">
          <cell r="A180" t="str">
            <v>Production Taxes</v>
          </cell>
        </row>
        <row r="181">
          <cell r="A181" t="str">
            <v xml:space="preserve">  Per MCF</v>
          </cell>
          <cell r="B181">
            <v>0.14178644967789347</v>
          </cell>
          <cell r="C181">
            <v>0.18912696748137997</v>
          </cell>
          <cell r="D181">
            <v>0.16450818905979003</v>
          </cell>
          <cell r="E181">
            <v>0.14709683071599097</v>
          </cell>
          <cell r="F181">
            <v>0.10558437232321309</v>
          </cell>
          <cell r="G181">
            <v>0.13504284726073437</v>
          </cell>
          <cell r="H181">
            <v>0.11245391263201672</v>
          </cell>
          <cell r="I181">
            <v>0.12441775675315488</v>
          </cell>
          <cell r="J181">
            <v>0.12388349995664077</v>
          </cell>
          <cell r="K181">
            <v>7.1243699951133124E-2</v>
          </cell>
          <cell r="L181">
            <v>9.717991322809931E-2</v>
          </cell>
          <cell r="M181">
            <v>7.8797160688710732E-2</v>
          </cell>
          <cell r="N181">
            <v>9.2027886136323692E-2</v>
          </cell>
          <cell r="O181">
            <v>0.1094655073776549</v>
          </cell>
          <cell r="P181">
            <v>0.12822464210890663</v>
          </cell>
          <cell r="Q181">
            <v>0.1285268520084964</v>
          </cell>
          <cell r="R181">
            <v>0.16203586958527327</v>
          </cell>
          <cell r="S181">
            <v>0.13284360168030915</v>
          </cell>
          <cell r="T181">
            <v>0.14267185473411154</v>
          </cell>
          <cell r="U181">
            <v>0.15370622215031288</v>
          </cell>
          <cell r="V181">
            <v>8.7641536043840909E-2</v>
          </cell>
          <cell r="W181">
            <v>0.12366513139229732</v>
          </cell>
          <cell r="X181">
            <v>0.12687375903262238</v>
          </cell>
          <cell r="Y181">
            <v>0.12777405894226057</v>
          </cell>
          <cell r="Z181">
            <v>6.2089857324763076E-2</v>
          </cell>
          <cell r="AA181">
            <v>0.10590977100808975</v>
          </cell>
          <cell r="AB181">
            <v>7.9135260968927867E-2</v>
          </cell>
          <cell r="AC181">
            <v>9.3524740726538991E-2</v>
          </cell>
          <cell r="AD181">
            <v>0.13074637999706934</v>
          </cell>
          <cell r="AE181">
            <v>0.1108762416005737</v>
          </cell>
          <cell r="AF181">
            <v>9.6573776869954289E-2</v>
          </cell>
          <cell r="AG181">
            <v>7.9436403844486775E-2</v>
          </cell>
          <cell r="AH181">
            <v>0.1032151272334401</v>
          </cell>
          <cell r="AI181">
            <v>0.12932822830135923</v>
          </cell>
          <cell r="AJ181">
            <v>0.12769025734181877</v>
          </cell>
          <cell r="AK181">
            <v>0.12271576993018554</v>
          </cell>
          <cell r="AL181">
            <v>0.16827410679312851</v>
          </cell>
          <cell r="AM181">
            <v>0.13756474388024401</v>
          </cell>
          <cell r="AN181">
            <v>0.1955036203117472</v>
          </cell>
          <cell r="AO181">
            <v>0.1345004623011278</v>
          </cell>
          <cell r="AP181">
            <v>0.13606341760288634</v>
          </cell>
          <cell r="AQ181">
            <v>0.18305808380077296</v>
          </cell>
          <cell r="AR181">
            <v>0.16322315334173884</v>
          </cell>
          <cell r="AS181">
            <v>0.15352728784947078</v>
          </cell>
          <cell r="AT181">
            <v>0.13824594770863174</v>
          </cell>
          <cell r="AU181">
            <v>0.12489701410684725</v>
          </cell>
          <cell r="AV181">
            <v>9.062179182555824E-2</v>
          </cell>
          <cell r="AW181">
            <v>0.12520503909076106</v>
          </cell>
          <cell r="AX181">
            <v>0.13012526801814514</v>
          </cell>
          <cell r="AY181">
            <v>0.12145984432185382</v>
          </cell>
          <cell r="AZ181">
            <v>0.13654112947003025</v>
          </cell>
          <cell r="BA181">
            <v>0.13707312502168914</v>
          </cell>
          <cell r="BB181">
            <v>0.1310362856920162</v>
          </cell>
        </row>
        <row r="182">
          <cell r="A182" t="str">
            <v xml:space="preserve">  Per BOE</v>
          </cell>
          <cell r="B182">
            <v>0.85088319941089141</v>
          </cell>
          <cell r="C182">
            <v>1.1350770102466741</v>
          </cell>
          <cell r="D182">
            <v>0.98714892196773363</v>
          </cell>
          <cell r="E182">
            <v>0.88265058024155918</v>
          </cell>
          <cell r="F182">
            <v>0.63354844236315355</v>
          </cell>
          <cell r="G182">
            <v>0.81030090927726195</v>
          </cell>
          <cell r="H182">
            <v>0.67475084257518381</v>
          </cell>
          <cell r="I182">
            <v>0.74655377954634661</v>
          </cell>
          <cell r="J182">
            <v>0.74333415100089939</v>
          </cell>
          <cell r="K182">
            <v>0.42746915636339772</v>
          </cell>
          <cell r="L182">
            <v>0.58317853304724521</v>
          </cell>
          <cell r="M182">
            <v>0.47282843933681717</v>
          </cell>
          <cell r="N182">
            <v>0.55221617829957903</v>
          </cell>
          <cell r="O182">
            <v>0.65684647537835172</v>
          </cell>
          <cell r="P182">
            <v>0.76940933571948922</v>
          </cell>
          <cell r="Q182">
            <v>0.7712739726542468</v>
          </cell>
          <cell r="R182">
            <v>0.97228937005694538</v>
          </cell>
          <cell r="S182">
            <v>0.79713791202854423</v>
          </cell>
          <cell r="T182">
            <v>0.85609372633206404</v>
          </cell>
          <cell r="U182">
            <v>0.92228626704524086</v>
          </cell>
          <cell r="V182">
            <v>0.52587706623345365</v>
          </cell>
          <cell r="W182">
            <v>0.74205131456214946</v>
          </cell>
          <cell r="X182">
            <v>0.76069517515610308</v>
          </cell>
          <cell r="Y182">
            <v>0.76669390569141738</v>
          </cell>
          <cell r="Z182">
            <v>0.37256053293716929</v>
          </cell>
          <cell r="AA182">
            <v>0.63550598497004906</v>
          </cell>
          <cell r="AB182">
            <v>0.47484700050415102</v>
          </cell>
          <cell r="AC182">
            <v>0.56118642869780888</v>
          </cell>
          <cell r="AD182">
            <v>0.78466642682975574</v>
          </cell>
          <cell r="AE182">
            <v>0.66531903579379104</v>
          </cell>
          <cell r="AF182">
            <v>0.57949451755239256</v>
          </cell>
          <cell r="AG182">
            <v>0.47667504250946202</v>
          </cell>
          <cell r="AH182">
            <v>0.61937381155811466</v>
          </cell>
          <cell r="AI182">
            <v>0.77612057440094406</v>
          </cell>
          <cell r="AJ182">
            <v>0.76627528280250823</v>
          </cell>
          <cell r="AK182">
            <v>0.73644705535651489</v>
          </cell>
          <cell r="AL182">
            <v>1.0099045904603055</v>
          </cell>
          <cell r="AM182">
            <v>0.82556097511176318</v>
          </cell>
          <cell r="AN182">
            <v>1.1733943721057156</v>
          </cell>
          <cell r="AO182">
            <v>0.80720742154475955</v>
          </cell>
          <cell r="AP182">
            <v>0.81665762693444399</v>
          </cell>
          <cell r="AQ182">
            <v>1.0986750418652211</v>
          </cell>
          <cell r="AR182">
            <v>0.9796373905761161</v>
          </cell>
          <cell r="AS182">
            <v>0.92118743819133542</v>
          </cell>
          <cell r="AT182">
            <v>0.8294953459497747</v>
          </cell>
          <cell r="AU182">
            <v>0.74940082731502489</v>
          </cell>
          <cell r="AV182">
            <v>0.54374404640402818</v>
          </cell>
          <cell r="AW182">
            <v>0.75123023454456639</v>
          </cell>
          <cell r="AX182">
            <v>0.78076896764041859</v>
          </cell>
          <cell r="AY182">
            <v>0.72877728269573538</v>
          </cell>
          <cell r="AZ182">
            <v>0.81926535201937178</v>
          </cell>
          <cell r="BA182">
            <v>0.82245971795534256</v>
          </cell>
          <cell r="BB182">
            <v>0.78641218733231399</v>
          </cell>
        </row>
        <row r="184">
          <cell r="A184" t="str">
            <v>SG&amp;A</v>
          </cell>
        </row>
        <row r="185">
          <cell r="A185" t="str">
            <v xml:space="preserve">  Per MCF</v>
          </cell>
          <cell r="B185">
            <v>0.25879089229791374</v>
          </cell>
          <cell r="C185">
            <v>0.28871703657457315</v>
          </cell>
          <cell r="D185">
            <v>0.27861151211136154</v>
          </cell>
          <cell r="E185">
            <v>0.19186543136868386</v>
          </cell>
          <cell r="F185">
            <v>0.19224820815427077</v>
          </cell>
          <cell r="G185">
            <v>0.31003760525650553</v>
          </cell>
          <cell r="H185">
            <v>0.1549226231849769</v>
          </cell>
          <cell r="I185">
            <v>0.20724013179635925</v>
          </cell>
          <cell r="J185">
            <v>0.21235696617567507</v>
          </cell>
          <cell r="K185">
            <v>0.20794129179336066</v>
          </cell>
          <cell r="L185">
            <v>0.26929290132004058</v>
          </cell>
          <cell r="M185">
            <v>8.1018639514097268E-2</v>
          </cell>
          <cell r="N185">
            <v>0.18290428736215009</v>
          </cell>
          <cell r="O185">
            <v>0.11419572834974137</v>
          </cell>
          <cell r="P185">
            <v>0.20617658960869989</v>
          </cell>
          <cell r="Q185">
            <v>0.15972321631262587</v>
          </cell>
          <cell r="R185">
            <v>0.15041928875342389</v>
          </cell>
          <cell r="S185">
            <v>0.15765559160481091</v>
          </cell>
          <cell r="T185">
            <v>0.15893534356438802</v>
          </cell>
          <cell r="U185">
            <v>0.15883705099781503</v>
          </cell>
          <cell r="V185">
            <v>0.17516794363310864</v>
          </cell>
          <cell r="W185">
            <v>0.15584549436130221</v>
          </cell>
          <cell r="X185">
            <v>0.16228055617705234</v>
          </cell>
          <cell r="Y185">
            <v>0.17205384873828886</v>
          </cell>
          <cell r="Z185">
            <v>0.1428303301329806</v>
          </cell>
          <cell r="AA185">
            <v>0.19911962683656972</v>
          </cell>
          <cell r="AB185">
            <v>0.16942347351579559</v>
          </cell>
          <cell r="AC185">
            <v>0.17020086071625901</v>
          </cell>
          <cell r="AD185">
            <v>0.17015012854840211</v>
          </cell>
          <cell r="AE185">
            <v>0.20358392475334697</v>
          </cell>
          <cell r="AF185">
            <v>0.17025338002139873</v>
          </cell>
          <cell r="AG185">
            <v>0.17798549925393642</v>
          </cell>
          <cell r="AH185">
            <v>0.17985228774104622</v>
          </cell>
          <cell r="AI185">
            <v>0.15997194938261583</v>
          </cell>
          <cell r="AJ185">
            <v>0.16322890473610413</v>
          </cell>
          <cell r="AK185">
            <v>0.15895825120490356</v>
          </cell>
          <cell r="AL185">
            <v>0.16297353253874994</v>
          </cell>
          <cell r="AM185">
            <v>0.16133656324943091</v>
          </cell>
          <cell r="AN185">
            <v>0.15389435158983825</v>
          </cell>
          <cell r="AO185">
            <v>0.13183417754801055</v>
          </cell>
          <cell r="AP185">
            <v>0.15656985643606686</v>
          </cell>
          <cell r="AQ185">
            <v>0.14614041381796297</v>
          </cell>
          <cell r="AR185">
            <v>0.14838592436999998</v>
          </cell>
          <cell r="AS185">
            <v>0.17534777998207116</v>
          </cell>
          <cell r="AT185">
            <v>0.15839422674921155</v>
          </cell>
          <cell r="AU185">
            <v>0.1432831449653536</v>
          </cell>
          <cell r="AV185">
            <v>0.18994341741518905</v>
          </cell>
          <cell r="AW185">
            <v>0.16688040303718754</v>
          </cell>
          <cell r="AX185">
            <v>0.2245717933266784</v>
          </cell>
          <cell r="AY185">
            <v>0.17152119522843812</v>
          </cell>
          <cell r="AZ185">
            <v>0.17776942418479083</v>
          </cell>
          <cell r="BA185">
            <v>0.13680667388060042</v>
          </cell>
          <cell r="BB185">
            <v>0.17878322495717186</v>
          </cell>
        </row>
        <row r="186">
          <cell r="A186" t="str">
            <v xml:space="preserve">  Per BOE</v>
          </cell>
          <cell r="B186">
            <v>1.5530456042667997</v>
          </cell>
          <cell r="C186">
            <v>1.7327834049610649</v>
          </cell>
          <cell r="D186">
            <v>1.6718380732315488</v>
          </cell>
          <cell r="E186">
            <v>1.1512833655324686</v>
          </cell>
          <cell r="F186">
            <v>1.1535661020969836</v>
          </cell>
          <cell r="G186">
            <v>1.8603262486345555</v>
          </cell>
          <cell r="H186">
            <v>0.92957344107793172</v>
          </cell>
          <cell r="I186">
            <v>1.2435194758671924</v>
          </cell>
          <cell r="J186">
            <v>1.2741986238407084</v>
          </cell>
          <cell r="K186">
            <v>1.2476680553788282</v>
          </cell>
          <cell r="L186">
            <v>1.6160318931674909</v>
          </cell>
          <cell r="M186">
            <v>0.48615859434299602</v>
          </cell>
          <cell r="N186">
            <v>1.0975228357643263</v>
          </cell>
          <cell r="O186">
            <v>0.68523011007486423</v>
          </cell>
          <cell r="P186">
            <v>1.2371583982820149</v>
          </cell>
          <cell r="Q186">
            <v>0.95847955229160153</v>
          </cell>
          <cell r="R186">
            <v>0.90258456896492245</v>
          </cell>
          <cell r="S186">
            <v>0.94602410294414574</v>
          </cell>
          <cell r="T186">
            <v>0.95368179499367123</v>
          </cell>
          <cell r="U186">
            <v>0.95307287358861925</v>
          </cell>
          <cell r="V186">
            <v>1.0510633251549424</v>
          </cell>
          <cell r="W186">
            <v>0.93514924261500854</v>
          </cell>
          <cell r="X186">
            <v>0.97298320036211472</v>
          </cell>
          <cell r="Y186">
            <v>1.0323898166059562</v>
          </cell>
          <cell r="Z186">
            <v>0.85703118362155351</v>
          </cell>
          <cell r="AA186">
            <v>1.194806799931398</v>
          </cell>
          <cell r="AB186">
            <v>1.0166167044746142</v>
          </cell>
          <cell r="AC186">
            <v>1.0212742900397795</v>
          </cell>
          <cell r="AD186">
            <v>1.0211456209777352</v>
          </cell>
          <cell r="AE186">
            <v>1.2216166291779471</v>
          </cell>
          <cell r="AF186">
            <v>1.0216116995198481</v>
          </cell>
          <cell r="AG186">
            <v>1.0680398572552741</v>
          </cell>
          <cell r="AH186">
            <v>1.0792584378031758</v>
          </cell>
          <cell r="AI186">
            <v>0.96001872811219557</v>
          </cell>
          <cell r="AJ186">
            <v>0.97954438922756026</v>
          </cell>
          <cell r="AK186">
            <v>0.95394696289704006</v>
          </cell>
          <cell r="AL186">
            <v>0.97809295661129281</v>
          </cell>
          <cell r="AM186">
            <v>0.96822170216324588</v>
          </cell>
          <cell r="AN186">
            <v>0.92365944818017298</v>
          </cell>
          <cell r="AO186">
            <v>0.79120565616904426</v>
          </cell>
          <cell r="AP186">
            <v>0.93973802554135266</v>
          </cell>
          <cell r="AQ186">
            <v>0.87710316821842105</v>
          </cell>
          <cell r="AR186">
            <v>0.89058688532811003</v>
          </cell>
          <cell r="AS186">
            <v>1.052113760992091</v>
          </cell>
          <cell r="AT186">
            <v>0.95038788544237951</v>
          </cell>
          <cell r="AU186">
            <v>0.85972037158130843</v>
          </cell>
          <cell r="AV186">
            <v>1.1396883717765534</v>
          </cell>
          <cell r="AW186">
            <v>1.0012824182231252</v>
          </cell>
          <cell r="AX186">
            <v>1.3474607192538368</v>
          </cell>
          <cell r="AY186">
            <v>1.029152896426156</v>
          </cell>
          <cell r="AZ186">
            <v>1.06664072904861</v>
          </cell>
          <cell r="BA186">
            <v>0.82086097035026639</v>
          </cell>
          <cell r="BB186">
            <v>1.0729646849678756</v>
          </cell>
        </row>
        <row r="188">
          <cell r="A188" t="str">
            <v>Interest Expense</v>
          </cell>
        </row>
        <row r="189">
          <cell r="A189" t="str">
            <v xml:space="preserve">  Per MCF</v>
          </cell>
          <cell r="B189">
            <v>0.2669147295033667</v>
          </cell>
          <cell r="C189">
            <v>0.25119378014935057</v>
          </cell>
          <cell r="D189">
            <v>0.23436185570222354</v>
          </cell>
          <cell r="E189">
            <v>0.19230348029874933</v>
          </cell>
          <cell r="F189">
            <v>0.20613547012614297</v>
          </cell>
          <cell r="G189">
            <v>0.22570012600406431</v>
          </cell>
          <cell r="H189">
            <v>0.16860739367025179</v>
          </cell>
          <cell r="I189">
            <v>0.19602053873549607</v>
          </cell>
          <cell r="J189">
            <v>0.17824770918761329</v>
          </cell>
          <cell r="K189">
            <v>0.16365708419901023</v>
          </cell>
          <cell r="L189">
            <v>0.14995846026031567</v>
          </cell>
          <cell r="M189">
            <v>0.10819908631882669</v>
          </cell>
          <cell r="N189">
            <v>0.14684462832289252</v>
          </cell>
          <cell r="O189">
            <v>0.11577867631284118</v>
          </cell>
          <cell r="P189">
            <v>0.13171885050422708</v>
          </cell>
          <cell r="Q189">
            <v>9.948133785048012E-2</v>
          </cell>
          <cell r="R189">
            <v>2.506988145890398E-2</v>
          </cell>
          <cell r="S189">
            <v>9.1361413098040328E-2</v>
          </cell>
          <cell r="T189">
            <v>3.5370549302599544E-2</v>
          </cell>
          <cell r="U189">
            <v>3.6615460411719862E-2</v>
          </cell>
          <cell r="V189">
            <v>3.556030140629407E-2</v>
          </cell>
          <cell r="W189">
            <v>3.4632332080289381E-2</v>
          </cell>
          <cell r="X189">
            <v>3.5560926753380226E-2</v>
          </cell>
          <cell r="Y189">
            <v>2.7609147822429448E-2</v>
          </cell>
          <cell r="Z189">
            <v>2.4709765404435768E-2</v>
          </cell>
          <cell r="AA189">
            <v>3.0057430231468247E-2</v>
          </cell>
          <cell r="AB189">
            <v>3.0138316877660231E-2</v>
          </cell>
          <cell r="AC189">
            <v>2.8099792030423634E-2</v>
          </cell>
          <cell r="AD189">
            <v>3.6473111404174821E-2</v>
          </cell>
          <cell r="AE189">
            <v>3.5658974745138634E-2</v>
          </cell>
          <cell r="AF189">
            <v>4.3137827059624559E-2</v>
          </cell>
          <cell r="AG189">
            <v>3.5896816365074996E-2</v>
          </cell>
          <cell r="AH189">
            <v>3.787233212701295E-2</v>
          </cell>
          <cell r="AI189">
            <v>4.6720964003210942E-2</v>
          </cell>
          <cell r="AJ189">
            <v>3.7673477803129365E-2</v>
          </cell>
          <cell r="AK189">
            <v>1.6788436838794815E-2</v>
          </cell>
          <cell r="AL189">
            <v>4.4164166107100888E-2</v>
          </cell>
          <cell r="AM189">
            <v>3.6781955890373634E-2</v>
          </cell>
          <cell r="AN189">
            <v>5.7850342351879372E-2</v>
          </cell>
          <cell r="AO189">
            <v>5.9463591391970418E-2</v>
          </cell>
          <cell r="AP189">
            <v>8.3786144563163606E-2</v>
          </cell>
          <cell r="AQ189">
            <v>9.7150644497078054E-2</v>
          </cell>
          <cell r="AR189">
            <v>7.5582333286102907E-2</v>
          </cell>
          <cell r="AS189">
            <v>9.6497419091256989E-2</v>
          </cell>
          <cell r="AT189">
            <v>0.10858609743534806</v>
          </cell>
          <cell r="AU189">
            <v>0.12350151674252494</v>
          </cell>
          <cell r="AV189">
            <v>0.136583846375465</v>
          </cell>
          <cell r="AW189">
            <v>0.11747403418553157</v>
          </cell>
          <cell r="AX189">
            <v>0.13556021897151346</v>
          </cell>
          <cell r="AY189">
            <v>0.14493560617163948</v>
          </cell>
          <cell r="AZ189">
            <v>0.16982155367190796</v>
          </cell>
          <cell r="BA189">
            <v>0.16896199758718899</v>
          </cell>
          <cell r="BB189">
            <v>0.15411075358256951</v>
          </cell>
        </row>
        <row r="190">
          <cell r="A190" t="str">
            <v xml:space="preserve">  Per BOE</v>
          </cell>
          <cell r="B190">
            <v>1.6017980528158149</v>
          </cell>
          <cell r="C190">
            <v>1.5075813288898443</v>
          </cell>
          <cell r="D190">
            <v>1.4063132937578202</v>
          </cell>
          <cell r="E190">
            <v>1.1539118663670174</v>
          </cell>
          <cell r="F190">
            <v>1.2368952255020613</v>
          </cell>
          <cell r="G190">
            <v>1.3542740029168678</v>
          </cell>
          <cell r="H190">
            <v>1.0116853943151933</v>
          </cell>
          <cell r="I190">
            <v>1.1761976576384856</v>
          </cell>
          <cell r="J190">
            <v>1.0695339542651274</v>
          </cell>
          <cell r="K190">
            <v>0.98195848564055055</v>
          </cell>
          <cell r="L190">
            <v>0.8999036114322011</v>
          </cell>
          <cell r="M190">
            <v>0.64925696147742062</v>
          </cell>
          <cell r="N190">
            <v>0.88114573593670065</v>
          </cell>
          <cell r="O190">
            <v>0.69472857050479964</v>
          </cell>
          <cell r="P190">
            <v>0.79037626154662888</v>
          </cell>
          <cell r="Q190">
            <v>0.5969753825747397</v>
          </cell>
          <cell r="R190">
            <v>0.15043076149415374</v>
          </cell>
          <cell r="S190">
            <v>0.54822095423316208</v>
          </cell>
          <cell r="T190">
            <v>0.21223881480552903</v>
          </cell>
          <cell r="U190">
            <v>0.2197044194232001</v>
          </cell>
          <cell r="V190">
            <v>0.21337310848322891</v>
          </cell>
          <cell r="W190">
            <v>0.20781094280333523</v>
          </cell>
          <cell r="X190">
            <v>0.21321213788913149</v>
          </cell>
          <cell r="Y190">
            <v>0.16566559403388414</v>
          </cell>
          <cell r="Z190">
            <v>0.14826710455585906</v>
          </cell>
          <cell r="AA190">
            <v>0.18035802195680989</v>
          </cell>
          <cell r="AB190">
            <v>0.18084339641237529</v>
          </cell>
          <cell r="AC190">
            <v>0.16861016469228068</v>
          </cell>
          <cell r="AD190">
            <v>0.21889115401526962</v>
          </cell>
          <cell r="AE190">
            <v>0.21397365524254952</v>
          </cell>
          <cell r="AF190">
            <v>0.2588501256799558</v>
          </cell>
          <cell r="AG190">
            <v>0.21540648416404942</v>
          </cell>
          <cell r="AH190">
            <v>0.22726446530507308</v>
          </cell>
          <cell r="AI190">
            <v>0.28038040801303393</v>
          </cell>
          <cell r="AJ190">
            <v>0.22608032483221072</v>
          </cell>
          <cell r="AK190">
            <v>0.10075147538904893</v>
          </cell>
          <cell r="AL190">
            <v>0.26505322141002108</v>
          </cell>
          <cell r="AM190">
            <v>0.22073786142334112</v>
          </cell>
          <cell r="AN190">
            <v>0.34721232288098663</v>
          </cell>
          <cell r="AO190">
            <v>0.35687202454248457</v>
          </cell>
          <cell r="AP190">
            <v>0.50288751520737895</v>
          </cell>
          <cell r="AQ190">
            <v>0.5830771643290289</v>
          </cell>
          <cell r="AR190">
            <v>0.45363220988034969</v>
          </cell>
          <cell r="AS190">
            <v>0.57899941782275877</v>
          </cell>
          <cell r="AT190">
            <v>0.65153202643816899</v>
          </cell>
          <cell r="AU190">
            <v>0.7410276337137397</v>
          </cell>
          <cell r="AV190">
            <v>0.81952311696264568</v>
          </cell>
          <cell r="AW190">
            <v>0.70484420511318935</v>
          </cell>
          <cell r="AX190">
            <v>0.81337939841736784</v>
          </cell>
          <cell r="AY190">
            <v>0.86963537473118435</v>
          </cell>
          <cell r="AZ190">
            <v>1.0189524247346298</v>
          </cell>
          <cell r="BA190">
            <v>1.0137978313308487</v>
          </cell>
          <cell r="BB190">
            <v>0.92489323988587324</v>
          </cell>
        </row>
        <row r="192">
          <cell r="A192" t="str">
            <v>Exploration Expense</v>
          </cell>
        </row>
        <row r="193">
          <cell r="A193" t="str">
            <v xml:space="preserve">  Per MCF</v>
          </cell>
          <cell r="B193">
            <v>0.35209915451180834</v>
          </cell>
          <cell r="C193">
            <v>0.40525658889143612</v>
          </cell>
          <cell r="D193">
            <v>0.31179009973655153</v>
          </cell>
          <cell r="E193">
            <v>0.34456928838951312</v>
          </cell>
          <cell r="F193">
            <v>0.31636418212034462</v>
          </cell>
          <cell r="G193">
            <v>0.46350095335890001</v>
          </cell>
          <cell r="H193">
            <v>0.36932348372743018</v>
          </cell>
          <cell r="I193">
            <v>0.37157385265981824</v>
          </cell>
          <cell r="J193">
            <v>0.23407787316807274</v>
          </cell>
          <cell r="K193">
            <v>0.28940098511684015</v>
          </cell>
          <cell r="L193">
            <v>0.38539647373765346</v>
          </cell>
          <cell r="M193">
            <v>0.29362723062609114</v>
          </cell>
          <cell r="N193">
            <v>0.2977649071842558</v>
          </cell>
          <cell r="O193">
            <v>0.26353290148029845</v>
          </cell>
          <cell r="P193">
            <v>0.2489852160225737</v>
          </cell>
          <cell r="Q193">
            <v>0.25889728985651844</v>
          </cell>
          <cell r="R193">
            <v>0.26741206889497576</v>
          </cell>
          <cell r="S193">
            <v>0.25986620047008824</v>
          </cell>
          <cell r="T193">
            <v>0.18677623122299691</v>
          </cell>
          <cell r="U193">
            <v>0.21615074141934468</v>
          </cell>
          <cell r="V193">
            <v>0.23307755628342325</v>
          </cell>
          <cell r="W193">
            <v>0.44113279310589404</v>
          </cell>
          <cell r="X193">
            <v>0.27149392955158536</v>
          </cell>
          <cell r="Y193">
            <v>0.20542077982698434</v>
          </cell>
          <cell r="Z193">
            <v>0.29221926289192579</v>
          </cell>
          <cell r="AA193">
            <v>0.28250802206487313</v>
          </cell>
          <cell r="AB193">
            <v>0.33116661901314626</v>
          </cell>
          <cell r="AC193">
            <v>0.27776391196241479</v>
          </cell>
          <cell r="AD193">
            <v>0.26808669357524412</v>
          </cell>
          <cell r="AE193">
            <v>0.32282391954295475</v>
          </cell>
          <cell r="AF193">
            <v>0.21464351716759072</v>
          </cell>
          <cell r="AG193">
            <v>0.20796867824094992</v>
          </cell>
          <cell r="AH193">
            <v>0.2498671895699521</v>
          </cell>
          <cell r="AI193">
            <v>0.21750502836629956</v>
          </cell>
          <cell r="AJ193">
            <v>0.21745588036182067</v>
          </cell>
          <cell r="AK193">
            <v>0.2885703637258249</v>
          </cell>
          <cell r="AL193">
            <v>0.30110540470594815</v>
          </cell>
          <cell r="AM193">
            <v>0.25600046776990409</v>
          </cell>
          <cell r="AN193">
            <v>0.25424744791207199</v>
          </cell>
          <cell r="AO193">
            <v>0.25580009437559748</v>
          </cell>
          <cell r="AP193">
            <v>0.22766652862979683</v>
          </cell>
          <cell r="AQ193">
            <v>0.36662625630597168</v>
          </cell>
          <cell r="AR193">
            <v>0.2787250225435346</v>
          </cell>
          <cell r="AS193">
            <v>0.35619305288492858</v>
          </cell>
          <cell r="AT193">
            <v>0.27332484431677939</v>
          </cell>
          <cell r="AU193">
            <v>0.30450839890056558</v>
          </cell>
          <cell r="AV193">
            <v>0.24185892236169126</v>
          </cell>
          <cell r="AW193">
            <v>0.29203949621202768</v>
          </cell>
          <cell r="AX193">
            <v>0.23884329041052316</v>
          </cell>
          <cell r="AY193">
            <v>0.20028464434819215</v>
          </cell>
          <cell r="AZ193">
            <v>0.2042931315940627</v>
          </cell>
          <cell r="BA193">
            <v>0.28752209732603279</v>
          </cell>
          <cell r="BB193">
            <v>0.23186102356864483</v>
          </cell>
        </row>
        <row r="194">
          <cell r="A194" t="str">
            <v xml:space="preserve">  Per BOE</v>
          </cell>
          <cell r="B194">
            <v>2.1130034342596873</v>
          </cell>
          <cell r="C194">
            <v>2.4322149475956927</v>
          </cell>
          <cell r="D194">
            <v>1.870929724497095</v>
          </cell>
          <cell r="E194">
            <v>2.0675787564562551</v>
          </cell>
          <cell r="F194">
            <v>1.8983115625130413</v>
          </cell>
          <cell r="G194">
            <v>2.7811561410020591</v>
          </cell>
          <cell r="H194">
            <v>2.2160307809239863</v>
          </cell>
          <cell r="I194">
            <v>2.2295841953986248</v>
          </cell>
          <cell r="J194">
            <v>1.4045298783161995</v>
          </cell>
          <cell r="K194">
            <v>1.7364341695263719</v>
          </cell>
          <cell r="L194">
            <v>2.3127716698857741</v>
          </cell>
          <cell r="M194">
            <v>1.7619328411108255</v>
          </cell>
          <cell r="N194">
            <v>1.7867475390387926</v>
          </cell>
          <cell r="O194">
            <v>1.5813260416942929</v>
          </cell>
          <cell r="P194">
            <v>1.4940306832846693</v>
          </cell>
          <cell r="Q194">
            <v>1.5536110792152205</v>
          </cell>
          <cell r="R194">
            <v>1.6045947892709733</v>
          </cell>
          <cell r="S194">
            <v>1.5593464632796246</v>
          </cell>
          <cell r="T194">
            <v>1.1207393362618459</v>
          </cell>
          <cell r="U194">
            <v>1.2969732625902208</v>
          </cell>
          <cell r="V194">
            <v>1.3985394030734017</v>
          </cell>
          <cell r="W194">
            <v>2.6470126650517631</v>
          </cell>
          <cell r="X194">
            <v>1.6277922548267802</v>
          </cell>
          <cell r="Y194">
            <v>1.2326043431624663</v>
          </cell>
          <cell r="Z194">
            <v>1.753416242335327</v>
          </cell>
          <cell r="AA194">
            <v>1.6951744594987748</v>
          </cell>
          <cell r="AB194">
            <v>1.9871480017894725</v>
          </cell>
          <cell r="AC194">
            <v>1.6666962834048007</v>
          </cell>
          <cell r="AD194">
            <v>1.6089059439581086</v>
          </cell>
          <cell r="AE194">
            <v>1.9371228297512901</v>
          </cell>
          <cell r="AF194">
            <v>1.2879763581606369</v>
          </cell>
          <cell r="AG194">
            <v>1.2479603021206216</v>
          </cell>
          <cell r="AH194">
            <v>1.4994041836254697</v>
          </cell>
          <cell r="AI194">
            <v>1.305284467033651</v>
          </cell>
          <cell r="AJ194">
            <v>1.3049630386072577</v>
          </cell>
          <cell r="AK194">
            <v>1.7317806403361649</v>
          </cell>
          <cell r="AL194">
            <v>1.8070975756168002</v>
          </cell>
          <cell r="AM194">
            <v>1.5363238417044811</v>
          </cell>
          <cell r="AN194">
            <v>1.5259693095531923</v>
          </cell>
          <cell r="AO194">
            <v>1.5351897761477122</v>
          </cell>
          <cell r="AP194">
            <v>1.3664628617947376</v>
          </cell>
          <cell r="AQ194">
            <v>2.2004115258533687</v>
          </cell>
          <cell r="AR194">
            <v>1.6728598129772447</v>
          </cell>
          <cell r="AS194">
            <v>2.1372133285538872</v>
          </cell>
          <cell r="AT194">
            <v>1.6399879349162239</v>
          </cell>
          <cell r="AU194">
            <v>1.8270960894648551</v>
          </cell>
          <cell r="AV194">
            <v>1.4511890181669731</v>
          </cell>
          <cell r="AW194">
            <v>1.7522369772721662</v>
          </cell>
          <cell r="AX194">
            <v>1.433091605664637</v>
          </cell>
          <cell r="AY194">
            <v>1.2017379051382062</v>
          </cell>
          <cell r="AZ194">
            <v>1.2257865818173574</v>
          </cell>
          <cell r="BA194">
            <v>1.7251765656855047</v>
          </cell>
          <cell r="BB194">
            <v>1.391510250300362</v>
          </cell>
        </row>
        <row r="196">
          <cell r="A196" t="str">
            <v>DD&amp;A</v>
          </cell>
        </row>
        <row r="197">
          <cell r="A197" t="str">
            <v xml:space="preserve">  Per MCF</v>
          </cell>
          <cell r="B197">
            <v>1.0573832901871727</v>
          </cell>
          <cell r="C197">
            <v>0.95188081004168146</v>
          </cell>
          <cell r="D197">
            <v>0.92994900661563862</v>
          </cell>
          <cell r="E197">
            <v>0.75532777011192143</v>
          </cell>
          <cell r="F197">
            <v>0.84824402779099639</v>
          </cell>
          <cell r="G197">
            <v>0.92918199258868794</v>
          </cell>
          <cell r="H197">
            <v>0.85198258342015665</v>
          </cell>
          <cell r="I197">
            <v>0.84445992638733447</v>
          </cell>
          <cell r="J197">
            <v>0.78589627647493632</v>
          </cell>
          <cell r="K197">
            <v>0.862279020462836</v>
          </cell>
          <cell r="L197">
            <v>0.76483891812055749</v>
          </cell>
          <cell r="M197">
            <v>0.83480234065463066</v>
          </cell>
          <cell r="N197">
            <v>0.81252916590069346</v>
          </cell>
          <cell r="O197">
            <v>0.74048443422087684</v>
          </cell>
          <cell r="P197">
            <v>0.76821360699631991</v>
          </cell>
          <cell r="Q197">
            <v>0.81974502123377102</v>
          </cell>
          <cell r="R197">
            <v>0.83566271529679936</v>
          </cell>
          <cell r="S197">
            <v>0.79236262430672977</v>
          </cell>
          <cell r="T197">
            <v>0.86728935082420044</v>
          </cell>
          <cell r="U197">
            <v>0.8551284237714798</v>
          </cell>
          <cell r="V197">
            <v>0.92386267477938511</v>
          </cell>
          <cell r="W197">
            <v>0.92899152865451462</v>
          </cell>
          <cell r="X197">
            <v>0.89504139240258607</v>
          </cell>
          <cell r="Y197">
            <v>0.83148032736011401</v>
          </cell>
          <cell r="Z197">
            <v>0.81722291678276748</v>
          </cell>
          <cell r="AA197">
            <v>0.79017194354410369</v>
          </cell>
          <cell r="AB197">
            <v>0.76723435190198375</v>
          </cell>
          <cell r="AC197">
            <v>0.80165671262952731</v>
          </cell>
          <cell r="AD197">
            <v>0.70758901810334496</v>
          </cell>
          <cell r="AE197">
            <v>0.68640700792098286</v>
          </cell>
          <cell r="AF197">
            <v>0.6829588561423986</v>
          </cell>
          <cell r="AG197">
            <v>0.67058111804404075</v>
          </cell>
          <cell r="AH197">
            <v>0.68619622098664601</v>
          </cell>
          <cell r="AI197">
            <v>0.71390399653651537</v>
          </cell>
          <cell r="AJ197">
            <v>0.67315655110955241</v>
          </cell>
          <cell r="AK197">
            <v>0.72657371114204417</v>
          </cell>
          <cell r="AL197">
            <v>0.76034278649767773</v>
          </cell>
          <cell r="AM197">
            <v>0.71881290342365101</v>
          </cell>
          <cell r="AN197">
            <v>0.70844332249841102</v>
          </cell>
          <cell r="AO197">
            <v>0.75290440030576311</v>
          </cell>
          <cell r="AP197">
            <v>0.75674732043610704</v>
          </cell>
          <cell r="AQ197">
            <v>0.78785325768151093</v>
          </cell>
          <cell r="AR197">
            <v>0.75857480575801195</v>
          </cell>
          <cell r="AS197">
            <v>0.76224487104565808</v>
          </cell>
          <cell r="AT197">
            <v>0.76124865448511159</v>
          </cell>
          <cell r="AU197">
            <v>0.76458756890947877</v>
          </cell>
          <cell r="AV197">
            <v>0.75922439298726074</v>
          </cell>
          <cell r="AW197">
            <v>0.76199125169447923</v>
          </cell>
          <cell r="AX197">
            <v>0.77934536205799942</v>
          </cell>
          <cell r="AY197">
            <v>0.87095763175337249</v>
          </cell>
          <cell r="AZ197">
            <v>0.82641423627495192</v>
          </cell>
          <cell r="BA197">
            <v>0.96962636046755235</v>
          </cell>
          <cell r="BB197">
            <v>0.85860451247585401</v>
          </cell>
        </row>
        <row r="198">
          <cell r="A198" t="str">
            <v xml:space="preserve">  Per BOE</v>
          </cell>
          <cell r="B198">
            <v>6.3455265224710251</v>
          </cell>
          <cell r="C198">
            <v>5.7128712967899089</v>
          </cell>
          <cell r="D198">
            <v>5.5802581294718934</v>
          </cell>
          <cell r="E198">
            <v>4.5323239890128662</v>
          </cell>
          <cell r="F198">
            <v>5.0898032609006023</v>
          </cell>
          <cell r="G198">
            <v>5.5753935047368728</v>
          </cell>
          <cell r="H198">
            <v>5.1121028389941481</v>
          </cell>
          <cell r="I198">
            <v>5.0670801835036956</v>
          </cell>
          <cell r="J198">
            <v>4.7155879649245396</v>
          </cell>
          <cell r="K198">
            <v>5.1737583208049394</v>
          </cell>
          <cell r="L198">
            <v>4.5898130948116362</v>
          </cell>
          <cell r="M198">
            <v>5.0092958227998983</v>
          </cell>
          <cell r="N198">
            <v>4.8756064013680032</v>
          </cell>
          <cell r="O198">
            <v>4.4432680425304554</v>
          </cell>
          <cell r="P198">
            <v>4.6096499965091722</v>
          </cell>
          <cell r="Q198">
            <v>4.9191899529968648</v>
          </cell>
          <cell r="R198">
            <v>5.0143587164717918</v>
          </cell>
          <cell r="S198">
            <v>4.754630858543992</v>
          </cell>
          <cell r="T198">
            <v>5.2041166321060395</v>
          </cell>
          <cell r="U198">
            <v>5.1310427825961211</v>
          </cell>
          <cell r="V198">
            <v>5.5434696257781653</v>
          </cell>
          <cell r="W198">
            <v>5.5744038541337861</v>
          </cell>
          <cell r="X198">
            <v>5.3663868238552261</v>
          </cell>
          <cell r="Y198">
            <v>4.9892044204166499</v>
          </cell>
          <cell r="Z198">
            <v>4.9036190212604511</v>
          </cell>
          <cell r="AA198">
            <v>4.7413849968511119</v>
          </cell>
          <cell r="AB198">
            <v>4.6037496587956106</v>
          </cell>
          <cell r="AC198">
            <v>4.8102658623519758</v>
          </cell>
          <cell r="AD198">
            <v>4.2465523444058046</v>
          </cell>
          <cell r="AE198">
            <v>4.1188233121867155</v>
          </cell>
          <cell r="AF198">
            <v>4.0981198589894241</v>
          </cell>
          <cell r="AG198">
            <v>4.0239646746278366</v>
          </cell>
          <cell r="AH198">
            <v>4.1177294478165987</v>
          </cell>
          <cell r="AI198">
            <v>4.2842586428072682</v>
          </cell>
          <cell r="AJ198">
            <v>4.0396443496155472</v>
          </cell>
          <cell r="AK198">
            <v>4.3603448063311552</v>
          </cell>
          <cell r="AL198">
            <v>4.5632312958962071</v>
          </cell>
          <cell r="AM198">
            <v>4.3137788414010192</v>
          </cell>
          <cell r="AN198">
            <v>4.252010301650464</v>
          </cell>
          <cell r="AO198">
            <v>4.5185719754616969</v>
          </cell>
          <cell r="AP198">
            <v>4.5420251951928083</v>
          </cell>
          <cell r="AQ198">
            <v>4.7285249189483203</v>
          </cell>
          <cell r="AR198">
            <v>4.552835967539985</v>
          </cell>
          <cell r="AS198">
            <v>4.5735869490607621</v>
          </cell>
          <cell r="AT198">
            <v>4.5676001826598336</v>
          </cell>
          <cell r="AU198">
            <v>4.5876401513119456</v>
          </cell>
          <cell r="AV198">
            <v>4.5554577464788739</v>
          </cell>
          <cell r="AW198">
            <v>4.5719475101668756</v>
          </cell>
          <cell r="AX198">
            <v>4.6761761419351897</v>
          </cell>
          <cell r="AY198">
            <v>5.2258764183030522</v>
          </cell>
          <cell r="AZ198">
            <v>4.9585978439135925</v>
          </cell>
          <cell r="BA198">
            <v>5.8179064847760857</v>
          </cell>
          <cell r="BB198">
            <v>5.152901344414949</v>
          </cell>
        </row>
      </sheetData>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 ML_Model_Summary"/>
      <sheetName val="ML_Model_Metadata"/>
      <sheetName val="Intro"/>
      <sheetName val="IS"/>
      <sheetName val="Rev"/>
      <sheetName val="BS"/>
      <sheetName val="CF"/>
      <sheetName val="ROIC"/>
      <sheetName val="Valuation"/>
      <sheetName val="Other Accts"/>
      <sheetName val="ROIC terminal"/>
      <sheetName val="ROIC Calc"/>
      <sheetName val="ROIC His Data"/>
      <sheetName val="Short Cash Flow"/>
      <sheetName val="ESO"/>
      <sheetName val="Pension"/>
      <sheetName val="Std Graphs"/>
      <sheetName val="Graphs"/>
      <sheetName val="QtrComp"/>
      <sheetName val="Shr Repo"/>
      <sheetName val="EPS Quality"/>
      <sheetName val="CCC-LTM"/>
      <sheetName val="iQ_Measure_Validations_Errors"/>
      <sheetName val="iQ_CoreIndustrials"/>
    </sheetNames>
    <sheetDataSet>
      <sheetData sheetId="0">
        <row r="3">
          <cell r="C3" t="str">
            <v>TMO</v>
          </cell>
        </row>
      </sheetData>
      <sheetData sheetId="1" refreshError="1"/>
      <sheetData sheetId="2" refreshError="1"/>
      <sheetData sheetId="3"/>
      <sheetData sheetId="4"/>
      <sheetData sheetId="5"/>
      <sheetData sheetId="6"/>
      <sheetData sheetId="7"/>
      <sheetData sheetId="8"/>
      <sheetData sheetId="9"/>
      <sheetData sheetId="10" refreshError="1"/>
      <sheetData sheetId="11">
        <row r="274">
          <cell r="X274">
            <v>0</v>
          </cell>
        </row>
      </sheetData>
      <sheetData sheetId="12" refreshError="1"/>
      <sheetData sheetId="13"/>
      <sheetData sheetId="14"/>
      <sheetData sheetId="15"/>
      <sheetData sheetId="16" refreshError="1"/>
      <sheetData sheetId="17" refreshError="1"/>
      <sheetData sheetId="18" refreshError="1"/>
      <sheetData sheetId="19"/>
      <sheetData sheetId="20" refreshError="1"/>
      <sheetData sheetId="21"/>
      <sheetData sheetId="22" refreshError="1"/>
      <sheetData sheetId="2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 ML_Model_Summary"/>
      <sheetName val="ML_Model_Metadata"/>
      <sheetName val="Intro"/>
      <sheetName val="IS"/>
      <sheetName val="Revenue"/>
      <sheetName val="BS"/>
      <sheetName val="CF"/>
      <sheetName val="ROIC"/>
      <sheetName val="Valuation"/>
      <sheetName val="Other"/>
      <sheetName val="ROIC terminal"/>
      <sheetName val="ROIC Calc"/>
      <sheetName val="ROIC His Data"/>
      <sheetName val="Short Cash Flow"/>
      <sheetName val="QtrComp"/>
      <sheetName val="EPS Quality"/>
      <sheetName val="Shr Repo"/>
      <sheetName val="Std Graphs"/>
      <sheetName val="Graphs"/>
      <sheetName val="ESO"/>
      <sheetName val="Pension"/>
      <sheetName val="Rev"/>
      <sheetName val="Deals"/>
      <sheetName val="iQ_Measure_Validations_Errors"/>
      <sheetName val="iQ_CoreIndustrials"/>
    </sheetNames>
    <sheetDataSet>
      <sheetData sheetId="0">
        <row r="3">
          <cell r="C3" t="str">
            <v>XRAY</v>
          </cell>
        </row>
      </sheetData>
      <sheetData sheetId="1" refreshError="1"/>
      <sheetData sheetId="2"/>
      <sheetData sheetId="3"/>
      <sheetData sheetId="4"/>
      <sheetData sheetId="5"/>
      <sheetData sheetId="6"/>
      <sheetData sheetId="7"/>
      <sheetData sheetId="8"/>
      <sheetData sheetId="9"/>
      <sheetData sheetId="10" refreshError="1"/>
      <sheetData sheetId="11">
        <row r="274">
          <cell r="X274">
            <v>0</v>
          </cell>
        </row>
      </sheetData>
      <sheetData sheetId="12" refreshError="1"/>
      <sheetData sheetId="13"/>
      <sheetData sheetId="14"/>
      <sheetData sheetId="15" refreshError="1"/>
      <sheetData sheetId="16"/>
      <sheetData sheetId="17" refreshError="1"/>
      <sheetData sheetId="18" refreshError="1"/>
      <sheetData sheetId="19"/>
      <sheetData sheetId="20"/>
      <sheetData sheetId="21"/>
      <sheetData sheetId="22" refreshError="1"/>
      <sheetData sheetId="23" refreshError="1"/>
      <sheetData sheetId="2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 ML_Model_Summary"/>
      <sheetName val="ML_Model_Metadata"/>
      <sheetName val="Intro"/>
      <sheetName val="IS"/>
      <sheetName val="Rev"/>
      <sheetName val="BS"/>
      <sheetName val="CF"/>
      <sheetName val="ROIC"/>
      <sheetName val="Valuation"/>
      <sheetName val="Other Accts"/>
      <sheetName val="ROIC terminal"/>
      <sheetName val="ROIC Calc"/>
      <sheetName val="ROIC His Data"/>
      <sheetName val="Short Cash Flow"/>
      <sheetName val="ESO"/>
      <sheetName val="Pension"/>
      <sheetName val="Std Graphs"/>
      <sheetName val="Graphs"/>
      <sheetName val="QtrComp"/>
      <sheetName val="Shr Repo"/>
      <sheetName val="EPS Quality"/>
      <sheetName val="CCC-LTM"/>
      <sheetName val="iQ_Measure_Validations_Errors"/>
      <sheetName val="iQ_CoreIndustrials"/>
    </sheetNames>
    <sheetDataSet>
      <sheetData sheetId="0">
        <row r="3">
          <cell r="C3" t="str">
            <v>TMO</v>
          </cell>
        </row>
      </sheetData>
      <sheetData sheetId="1" refreshError="1"/>
      <sheetData sheetId="2" refreshError="1"/>
      <sheetData sheetId="3"/>
      <sheetData sheetId="4"/>
      <sheetData sheetId="5"/>
      <sheetData sheetId="6"/>
      <sheetData sheetId="7"/>
      <sheetData sheetId="8"/>
      <sheetData sheetId="9"/>
      <sheetData sheetId="10" refreshError="1"/>
      <sheetData sheetId="11">
        <row r="274">
          <cell r="X274">
            <v>0</v>
          </cell>
        </row>
      </sheetData>
      <sheetData sheetId="12" refreshError="1"/>
      <sheetData sheetId="13"/>
      <sheetData sheetId="14"/>
      <sheetData sheetId="15"/>
      <sheetData sheetId="16" refreshError="1"/>
      <sheetData sheetId="17" refreshError="1"/>
      <sheetData sheetId="18" refreshError="1"/>
      <sheetData sheetId="19"/>
      <sheetData sheetId="20" refreshError="1"/>
      <sheetData sheetId="21"/>
      <sheetData sheetId="22" refreshError="1"/>
      <sheetData sheetId="2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model"/>
      <sheetName val="EV"/>
      <sheetName val="ROIC"/>
      <sheetName val="A vs E"/>
      <sheetName val="End markets"/>
      <sheetName val="Summary base sales"/>
      <sheetName val="MONTHLY Base Sales"/>
      <sheetName val="__FDSCACHE__"/>
      <sheetName val="EPS Growth"/>
      <sheetName val="Charts"/>
      <sheetName val="FS"/>
      <sheetName val="Const"/>
      <sheetName val="Auto"/>
      <sheetName val="Food Equip"/>
      <sheetName val="Wilsonart"/>
      <sheetName val="Ind"/>
      <sheetName val="Welding"/>
      <sheetName val="L&amp;I"/>
      <sheetName val="Qrtly Sales"/>
      <sheetName val="Peer Group"/>
      <sheetName val="Acq"/>
      <sheetName val="Mgmt"/>
      <sheetName val="Seg 05"/>
      <sheetName val="Seg 04"/>
      <sheetName val="Seg 03"/>
      <sheetName val="Seg 02"/>
      <sheetName val="Seg 01"/>
      <sheetName val="Seg 00"/>
      <sheetName val="Seg 99"/>
      <sheetName val="Seg 98"/>
      <sheetName val="Marketing"/>
      <sheetName val="Valuation "/>
      <sheetName val="Premark"/>
      <sheetName val="gsr - Illinois Tool Work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ntro"/>
      <sheetName val="IS"/>
      <sheetName val="Rev"/>
      <sheetName val="BS"/>
      <sheetName val="CF"/>
      <sheetName val="Valuation"/>
      <sheetName val="Other Accts"/>
      <sheetName val="CV19_Antigen_DCF"/>
      <sheetName val="Value_Sum"/>
      <sheetName val="TAM_Data"/>
      <sheetName val="ROIC"/>
      <sheetName val="ROIC terminal"/>
      <sheetName val="ROIC Calc"/>
      <sheetName val="ROIC His Data"/>
      <sheetName val="QtrComp"/>
      <sheetName val="BM Upload"/>
      <sheetName val="Short Cash Flow"/>
      <sheetName val="ESO"/>
      <sheetName val="Pension"/>
    </sheetNames>
    <sheetDataSet>
      <sheetData sheetId="0" refreshError="1"/>
      <sheetData sheetId="1" refreshError="1"/>
      <sheetData sheetId="2" refreshError="1">
        <row r="3">
          <cell r="B3" t="str">
            <v>Dollars in millions, except per share amounts</v>
          </cell>
        </row>
        <row r="7">
          <cell r="D7">
            <v>36616</v>
          </cell>
          <cell r="E7">
            <v>36707</v>
          </cell>
          <cell r="F7">
            <v>36799</v>
          </cell>
          <cell r="G7">
            <v>36891</v>
          </cell>
          <cell r="J7">
            <v>36981</v>
          </cell>
          <cell r="K7">
            <v>37072</v>
          </cell>
          <cell r="L7">
            <v>37164</v>
          </cell>
          <cell r="M7">
            <v>37256</v>
          </cell>
          <cell r="P7">
            <v>37346</v>
          </cell>
          <cell r="Q7">
            <v>37437</v>
          </cell>
          <cell r="R7">
            <v>37529</v>
          </cell>
          <cell r="S7">
            <v>37621</v>
          </cell>
          <cell r="V7">
            <v>37711</v>
          </cell>
          <cell r="W7">
            <v>37802</v>
          </cell>
          <cell r="X7">
            <v>37894</v>
          </cell>
          <cell r="Y7">
            <v>37986</v>
          </cell>
          <cell r="AB7">
            <v>38077</v>
          </cell>
          <cell r="AC7">
            <v>38168</v>
          </cell>
          <cell r="AD7">
            <v>38260</v>
          </cell>
          <cell r="AE7">
            <v>38352</v>
          </cell>
          <cell r="AH7">
            <v>38442</v>
          </cell>
          <cell r="AI7">
            <v>38533</v>
          </cell>
          <cell r="AJ7">
            <v>38625</v>
          </cell>
          <cell r="AK7">
            <v>38717</v>
          </cell>
          <cell r="AN7">
            <v>38807</v>
          </cell>
          <cell r="AO7">
            <v>38898</v>
          </cell>
          <cell r="AP7">
            <v>38990</v>
          </cell>
          <cell r="AQ7">
            <v>39082</v>
          </cell>
          <cell r="AT7">
            <v>39172</v>
          </cell>
          <cell r="AU7">
            <v>39263</v>
          </cell>
          <cell r="AV7">
            <v>39355</v>
          </cell>
          <cell r="AW7">
            <v>39447</v>
          </cell>
          <cell r="AZ7">
            <v>39537</v>
          </cell>
          <cell r="BA7">
            <v>39628</v>
          </cell>
          <cell r="BB7">
            <v>39720</v>
          </cell>
          <cell r="BC7">
            <v>39812</v>
          </cell>
          <cell r="BF7">
            <v>39902</v>
          </cell>
          <cell r="BG7">
            <v>39993</v>
          </cell>
          <cell r="BH7">
            <v>40085</v>
          </cell>
          <cell r="BI7">
            <v>40177</v>
          </cell>
          <cell r="BL7">
            <v>40267</v>
          </cell>
          <cell r="BM7">
            <v>40358</v>
          </cell>
          <cell r="BN7">
            <v>40450</v>
          </cell>
          <cell r="BO7">
            <v>40542</v>
          </cell>
          <cell r="BR7">
            <v>40632</v>
          </cell>
          <cell r="BS7">
            <v>40723</v>
          </cell>
          <cell r="BT7">
            <v>40815</v>
          </cell>
          <cell r="BU7">
            <v>40907</v>
          </cell>
          <cell r="BX7">
            <v>40997</v>
          </cell>
          <cell r="BY7">
            <v>41088</v>
          </cell>
          <cell r="BZ7">
            <v>41180</v>
          </cell>
          <cell r="CA7">
            <v>41272</v>
          </cell>
          <cell r="CD7">
            <v>41362</v>
          </cell>
          <cell r="CE7">
            <v>41453</v>
          </cell>
          <cell r="CF7">
            <v>41545</v>
          </cell>
          <cell r="CG7">
            <v>41637</v>
          </cell>
          <cell r="CJ7">
            <v>41727</v>
          </cell>
          <cell r="CK7">
            <v>41818</v>
          </cell>
          <cell r="CL7">
            <v>41910</v>
          </cell>
          <cell r="CM7">
            <v>42002</v>
          </cell>
          <cell r="CP7">
            <v>42092</v>
          </cell>
          <cell r="CQ7">
            <v>42183</v>
          </cell>
          <cell r="CR7">
            <v>42275</v>
          </cell>
          <cell r="CS7">
            <v>42367</v>
          </cell>
          <cell r="CV7">
            <v>42457</v>
          </cell>
          <cell r="CW7">
            <v>42548</v>
          </cell>
          <cell r="CX7">
            <v>42640</v>
          </cell>
          <cell r="CY7">
            <v>42732</v>
          </cell>
          <cell r="DB7">
            <v>42822</v>
          </cell>
          <cell r="DC7">
            <v>42913</v>
          </cell>
          <cell r="DD7">
            <v>43005</v>
          </cell>
          <cell r="DE7">
            <v>43097</v>
          </cell>
          <cell r="DH7">
            <v>43187</v>
          </cell>
          <cell r="DI7">
            <v>43278</v>
          </cell>
          <cell r="DJ7">
            <v>43370</v>
          </cell>
          <cell r="DK7">
            <v>43462</v>
          </cell>
          <cell r="DN7">
            <v>43552</v>
          </cell>
          <cell r="DO7">
            <v>43643</v>
          </cell>
          <cell r="DP7">
            <v>43735</v>
          </cell>
          <cell r="DQ7">
            <v>43827</v>
          </cell>
          <cell r="DT7">
            <v>43917</v>
          </cell>
          <cell r="DU7">
            <v>44008</v>
          </cell>
          <cell r="DV7">
            <v>44100</v>
          </cell>
          <cell r="DW7">
            <v>44192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nkava@jefferies.com" TargetMode="External"/><Relationship Id="rId2" Type="http://schemas.openxmlformats.org/officeDocument/2006/relationships/hyperlink" Target="mailto:jmelick@jefferies.com" TargetMode="External"/><Relationship Id="rId1" Type="http://schemas.openxmlformats.org/officeDocument/2006/relationships/hyperlink" Target="mailto:tpeterson2@jefferies.com"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mailto:ltimmins@jefferies.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1.65"/>
  <sheetData>
    <row r="1" spans="1:2">
      <c r="B1" t="s">
        <v>0</v>
      </c>
    </row>
  </sheetData>
  <pageMargins left="0.7" right="0.7" top="0.75" bottom="0.75" header="0.3" footer="0.3"/>
  <pageSetup orientation="portrait" r:id="rId1"/>
  <headerFooter>
    <oddFooter>&amp;L_x000D_&amp;1#&amp;"Calibri"&amp;10&amp;K000000 Sensitivity: Public</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54"/>
  <sheetViews>
    <sheetView zoomScaleNormal="100" workbookViewId="0"/>
  </sheetViews>
  <sheetFormatPr defaultColWidth="9.15234375" defaultRowHeight="11.65"/>
  <cols>
    <col min="1" max="1" width="20" style="3" customWidth="1"/>
    <col min="2" max="2" width="5.3828125" style="3" customWidth="1"/>
    <col min="3" max="16384" width="9.15234375" style="3"/>
  </cols>
  <sheetData>
    <row r="1" spans="1:15" ht="13.15">
      <c r="A1" s="1">
        <v>46070</v>
      </c>
      <c r="B1" s="2"/>
      <c r="C1" s="2"/>
      <c r="D1" s="2"/>
      <c r="E1" s="2"/>
      <c r="F1" s="2"/>
      <c r="G1" s="2"/>
      <c r="H1" s="2"/>
      <c r="I1" s="2"/>
      <c r="J1" s="2"/>
      <c r="K1" s="2"/>
      <c r="L1" s="2"/>
      <c r="M1" s="2"/>
      <c r="N1" s="2"/>
      <c r="O1" s="2"/>
    </row>
    <row r="2" spans="1:15" ht="13.15">
      <c r="A2" s="4"/>
      <c r="B2" s="2"/>
      <c r="C2" s="2"/>
      <c r="D2" s="2"/>
      <c r="E2" s="2"/>
      <c r="F2" s="2"/>
      <c r="G2" s="2"/>
      <c r="H2" s="2"/>
      <c r="I2" s="2"/>
      <c r="J2" s="2"/>
      <c r="K2" s="2"/>
      <c r="L2" s="2"/>
      <c r="M2" s="2"/>
      <c r="N2" s="2"/>
      <c r="O2" s="2"/>
    </row>
    <row r="3" spans="1:15" ht="12.75">
      <c r="A3" s="2"/>
      <c r="B3" s="2"/>
      <c r="C3" s="2"/>
      <c r="D3" s="2"/>
      <c r="E3" s="2"/>
      <c r="F3" s="2"/>
      <c r="G3" s="2"/>
      <c r="H3" s="2"/>
      <c r="I3" s="2"/>
      <c r="J3" s="2"/>
      <c r="K3" s="2"/>
      <c r="L3" s="2"/>
      <c r="M3" s="2"/>
      <c r="N3" s="2"/>
      <c r="O3" s="2"/>
    </row>
    <row r="4" spans="1:15" ht="12.75">
      <c r="A4" s="2"/>
      <c r="B4" s="2"/>
      <c r="C4" s="2"/>
      <c r="D4" s="2"/>
      <c r="E4" s="2"/>
      <c r="F4" s="2"/>
      <c r="G4" s="2"/>
      <c r="H4" s="2"/>
      <c r="I4" s="2"/>
      <c r="J4" s="2"/>
      <c r="K4" s="2"/>
      <c r="L4" s="2"/>
      <c r="M4" s="2"/>
      <c r="N4" s="2"/>
      <c r="O4" s="2"/>
    </row>
    <row r="5" spans="1:15" ht="25.15">
      <c r="A5" s="2"/>
      <c r="B5" s="2"/>
      <c r="C5" s="5" t="s">
        <v>557</v>
      </c>
      <c r="D5" s="2"/>
      <c r="E5" s="2"/>
      <c r="F5" s="2"/>
      <c r="G5" s="2"/>
      <c r="H5" s="2"/>
      <c r="I5" s="2"/>
      <c r="J5" s="2"/>
      <c r="K5" s="2"/>
      <c r="L5" s="2"/>
      <c r="M5" s="2"/>
      <c r="N5" s="2"/>
      <c r="O5" s="2"/>
    </row>
    <row r="6" spans="1:15" ht="15">
      <c r="A6" s="2"/>
      <c r="B6" s="2"/>
      <c r="C6" s="347" t="s">
        <v>558</v>
      </c>
      <c r="D6" s="2"/>
      <c r="E6" s="2"/>
      <c r="F6" s="2"/>
      <c r="G6" s="2"/>
      <c r="H6" s="2"/>
      <c r="I6" s="2"/>
      <c r="J6" s="2"/>
      <c r="K6" s="2"/>
      <c r="L6" s="2"/>
      <c r="M6" s="2"/>
      <c r="N6" s="2"/>
      <c r="O6" s="2"/>
    </row>
    <row r="7" spans="1:15" ht="12.75">
      <c r="A7" s="2"/>
      <c r="B7" s="2"/>
      <c r="C7" s="2"/>
      <c r="D7" s="2"/>
      <c r="E7" s="2"/>
      <c r="F7" s="2"/>
      <c r="G7" s="2"/>
      <c r="H7" s="2"/>
      <c r="I7" s="2"/>
      <c r="J7" s="2"/>
      <c r="K7" s="2"/>
      <c r="L7" s="2"/>
      <c r="M7" s="2"/>
      <c r="N7" s="2"/>
      <c r="O7" s="2"/>
    </row>
    <row r="8" spans="1:15" ht="16.899999999999999">
      <c r="A8" s="2"/>
      <c r="B8" s="2"/>
      <c r="C8" s="6" t="s">
        <v>1</v>
      </c>
      <c r="D8" s="2"/>
      <c r="E8" s="2"/>
      <c r="F8" s="2"/>
      <c r="G8" s="2"/>
      <c r="H8" s="2"/>
      <c r="I8" s="2"/>
      <c r="J8" s="2"/>
      <c r="K8" s="2"/>
      <c r="L8" s="2"/>
      <c r="M8" s="2"/>
      <c r="N8" s="2"/>
      <c r="O8" s="2"/>
    </row>
    <row r="9" spans="1:15" ht="13.15">
      <c r="A9" s="2"/>
      <c r="B9" s="2"/>
      <c r="C9" s="149" t="s">
        <v>2</v>
      </c>
      <c r="D9" s="2"/>
      <c r="E9" s="2"/>
      <c r="F9" s="2"/>
      <c r="G9" s="2"/>
      <c r="H9" s="2"/>
      <c r="I9" s="2"/>
      <c r="J9" s="2"/>
      <c r="K9" s="2"/>
      <c r="L9" s="2"/>
      <c r="M9" s="2"/>
      <c r="N9" s="2"/>
      <c r="O9" s="2"/>
    </row>
    <row r="10" spans="1:15" ht="12.75">
      <c r="A10" s="2"/>
      <c r="B10" s="2"/>
      <c r="C10" s="152" t="s">
        <v>3</v>
      </c>
      <c r="D10" s="2"/>
      <c r="E10" s="2"/>
      <c r="F10" s="2"/>
      <c r="G10" s="2"/>
      <c r="H10" s="2"/>
      <c r="I10" s="2"/>
      <c r="J10" s="2"/>
      <c r="K10" s="2"/>
      <c r="L10" s="2"/>
      <c r="M10" s="2"/>
      <c r="N10" s="2"/>
      <c r="O10" s="2"/>
    </row>
    <row r="11" spans="1:15" ht="12.75">
      <c r="A11" s="2"/>
      <c r="B11" s="2"/>
      <c r="C11" s="153" t="s">
        <v>4</v>
      </c>
      <c r="D11" s="2"/>
      <c r="E11" s="2"/>
      <c r="F11" s="2"/>
      <c r="G11" s="2"/>
      <c r="H11" s="2"/>
      <c r="I11" s="2"/>
      <c r="J11" s="2"/>
      <c r="K11" s="2"/>
      <c r="L11" s="2"/>
      <c r="M11" s="2"/>
      <c r="N11" s="2"/>
      <c r="O11" s="2"/>
    </row>
    <row r="12" spans="1:15" ht="13.15">
      <c r="A12" s="2"/>
      <c r="B12" s="2"/>
      <c r="C12" s="7"/>
      <c r="D12" s="2"/>
      <c r="F12" s="2"/>
      <c r="G12" s="2"/>
      <c r="H12" s="2"/>
      <c r="I12" s="2"/>
      <c r="J12" s="2"/>
      <c r="K12" s="2"/>
      <c r="L12" s="2"/>
      <c r="M12" s="2"/>
      <c r="N12" s="2"/>
      <c r="O12" s="2"/>
    </row>
    <row r="13" spans="1:15" ht="13.9">
      <c r="A13" s="2"/>
      <c r="B13" s="2"/>
      <c r="C13" s="139" t="s">
        <v>5</v>
      </c>
      <c r="D13" s="2"/>
      <c r="E13" s="2"/>
      <c r="F13" s="2"/>
      <c r="G13" s="2"/>
      <c r="H13" s="2"/>
      <c r="I13" s="2"/>
      <c r="J13" s="2"/>
      <c r="K13" s="2"/>
      <c r="L13" s="2"/>
      <c r="M13" s="2"/>
      <c r="N13" s="2"/>
      <c r="O13" s="2"/>
    </row>
    <row r="14" spans="1:15" ht="12.75">
      <c r="A14" s="2"/>
      <c r="B14" s="2"/>
      <c r="C14" s="154" t="s">
        <v>6</v>
      </c>
      <c r="D14" s="2"/>
      <c r="E14" s="2"/>
      <c r="F14" s="2"/>
      <c r="G14" s="2"/>
      <c r="H14" s="2"/>
      <c r="I14" s="2"/>
      <c r="J14" s="2"/>
      <c r="K14" s="2"/>
      <c r="L14" s="2"/>
      <c r="M14" s="2"/>
      <c r="N14" s="2"/>
      <c r="O14" s="2"/>
    </row>
    <row r="15" spans="1:15" ht="12.75">
      <c r="A15" s="2"/>
      <c r="B15" s="2"/>
      <c r="C15" s="153" t="s">
        <v>7</v>
      </c>
      <c r="D15" s="2"/>
      <c r="E15" s="2"/>
      <c r="F15" s="2"/>
      <c r="G15" s="2"/>
      <c r="H15" s="2"/>
      <c r="I15" s="2"/>
      <c r="J15" s="2"/>
      <c r="K15" s="2"/>
      <c r="L15" s="2"/>
      <c r="M15" s="2"/>
      <c r="N15" s="2"/>
      <c r="O15" s="2"/>
    </row>
    <row r="16" spans="1:15" ht="13.15">
      <c r="A16" s="2"/>
      <c r="B16" s="2"/>
      <c r="C16" s="7"/>
      <c r="D16" s="2"/>
      <c r="F16" s="2"/>
      <c r="G16" s="2"/>
      <c r="H16" s="2"/>
      <c r="I16" s="2"/>
      <c r="J16" s="2"/>
      <c r="K16" s="2"/>
      <c r="L16" s="2"/>
      <c r="M16" s="2"/>
      <c r="N16" s="2"/>
      <c r="O16" s="2"/>
    </row>
    <row r="17" spans="1:15" ht="13.9">
      <c r="A17" s="2"/>
      <c r="B17" s="2"/>
      <c r="C17" s="139" t="s">
        <v>8</v>
      </c>
      <c r="D17" s="2"/>
      <c r="F17" s="2"/>
      <c r="G17" s="2"/>
      <c r="H17" s="2"/>
      <c r="I17" s="2"/>
      <c r="J17" s="2"/>
      <c r="K17" s="2"/>
      <c r="L17" s="2"/>
      <c r="M17" s="2"/>
      <c r="N17" s="2"/>
      <c r="O17" s="2"/>
    </row>
    <row r="18" spans="1:15" ht="12.75">
      <c r="A18" s="2"/>
      <c r="B18" s="2"/>
      <c r="C18" s="153" t="s">
        <v>9</v>
      </c>
      <c r="D18" s="2"/>
      <c r="F18" s="2"/>
      <c r="G18" s="2"/>
      <c r="H18" s="2"/>
      <c r="I18" s="2"/>
      <c r="J18" s="2"/>
      <c r="K18" s="2"/>
      <c r="L18" s="2"/>
      <c r="M18" s="2"/>
      <c r="N18" s="2"/>
      <c r="O18" s="2"/>
    </row>
    <row r="19" spans="1:15" ht="12.75">
      <c r="A19" s="2"/>
      <c r="B19" s="2"/>
      <c r="C19" s="153" t="s">
        <v>10</v>
      </c>
      <c r="D19" s="2"/>
      <c r="F19" s="2"/>
      <c r="G19" s="2"/>
      <c r="H19" s="2"/>
      <c r="I19" s="2"/>
      <c r="J19" s="2"/>
      <c r="K19" s="2"/>
      <c r="L19" s="2"/>
      <c r="M19" s="2"/>
      <c r="N19" s="2"/>
      <c r="O19" s="2"/>
    </row>
    <row r="20" spans="1:15" ht="13.15">
      <c r="A20" s="2"/>
      <c r="B20" s="2"/>
      <c r="C20" s="7"/>
      <c r="D20" s="2"/>
      <c r="F20" s="2"/>
      <c r="G20" s="2"/>
      <c r="H20" s="2"/>
      <c r="I20" s="2"/>
      <c r="J20" s="2"/>
      <c r="K20" s="2"/>
      <c r="L20" s="2"/>
      <c r="M20" s="2"/>
      <c r="N20" s="2"/>
      <c r="O20" s="2"/>
    </row>
    <row r="21" spans="1:15" ht="13.9">
      <c r="A21" s="2"/>
      <c r="B21" s="2"/>
      <c r="C21" s="139" t="s">
        <v>645</v>
      </c>
      <c r="D21" s="2"/>
      <c r="E21" s="2"/>
      <c r="F21" s="2"/>
      <c r="G21" s="2"/>
      <c r="H21" s="2"/>
      <c r="I21" s="2"/>
      <c r="J21" s="2"/>
      <c r="K21" s="2"/>
      <c r="L21" s="2"/>
      <c r="M21" s="2"/>
      <c r="N21" s="2"/>
      <c r="O21" s="2"/>
    </row>
    <row r="22" spans="1:15" ht="12.75">
      <c r="A22" s="2"/>
      <c r="B22" s="2"/>
      <c r="C22" s="153" t="s">
        <v>646</v>
      </c>
      <c r="D22" s="2"/>
      <c r="E22" s="2"/>
      <c r="F22" s="2"/>
      <c r="G22" s="2"/>
      <c r="H22" s="2"/>
      <c r="I22" s="2"/>
      <c r="J22" s="2"/>
      <c r="K22" s="2"/>
      <c r="L22" s="2"/>
      <c r="M22" s="2"/>
      <c r="N22" s="2"/>
      <c r="O22" s="2"/>
    </row>
    <row r="23" spans="1:15" ht="12.75">
      <c r="A23" s="2"/>
      <c r="B23" s="2"/>
      <c r="C23" s="153" t="s">
        <v>647</v>
      </c>
      <c r="D23" s="2"/>
      <c r="E23" s="2"/>
      <c r="F23" s="2"/>
      <c r="G23" s="2"/>
      <c r="H23" s="2"/>
      <c r="I23" s="2"/>
      <c r="J23" s="2"/>
      <c r="K23" s="2"/>
      <c r="L23" s="2"/>
      <c r="M23" s="2"/>
      <c r="N23" s="2"/>
      <c r="O23" s="2"/>
    </row>
    <row r="24" spans="1:15" ht="12.75">
      <c r="A24" s="2"/>
      <c r="B24" s="2"/>
      <c r="C24" s="153"/>
      <c r="D24" s="2"/>
      <c r="E24" s="2"/>
      <c r="F24" s="2"/>
      <c r="G24" s="2"/>
      <c r="H24" s="2"/>
      <c r="I24" s="2"/>
      <c r="J24" s="2"/>
      <c r="K24" s="2"/>
      <c r="L24" s="2"/>
      <c r="M24" s="2"/>
      <c r="N24" s="2"/>
      <c r="O24" s="2"/>
    </row>
    <row r="25" spans="1:15" ht="13.9">
      <c r="A25" s="2"/>
      <c r="B25" s="2"/>
      <c r="C25" s="139" t="s">
        <v>708</v>
      </c>
      <c r="D25" s="2"/>
      <c r="E25" s="2"/>
      <c r="F25" s="2"/>
      <c r="G25" s="2"/>
      <c r="H25" s="2"/>
      <c r="I25" s="2"/>
      <c r="J25" s="2"/>
      <c r="K25" s="2"/>
      <c r="L25" s="2"/>
      <c r="M25" s="2"/>
      <c r="N25" s="2"/>
      <c r="O25" s="2"/>
    </row>
    <row r="26" spans="1:15" ht="12.75">
      <c r="A26" s="2"/>
      <c r="B26" s="2"/>
      <c r="C26" s="153" t="s">
        <v>709</v>
      </c>
      <c r="D26" s="2"/>
      <c r="E26" s="2"/>
      <c r="F26" s="2"/>
      <c r="G26" s="2"/>
      <c r="H26" s="2"/>
      <c r="I26" s="2"/>
      <c r="J26" s="2"/>
      <c r="K26" s="2"/>
      <c r="L26" s="2"/>
      <c r="M26" s="2"/>
      <c r="N26" s="2"/>
      <c r="O26" s="2"/>
    </row>
    <row r="27" spans="1:15" ht="12.75">
      <c r="A27" s="2"/>
      <c r="B27" s="2"/>
      <c r="C27" s="876" t="s">
        <v>710</v>
      </c>
      <c r="D27" s="2"/>
      <c r="E27" s="2"/>
      <c r="F27" s="2"/>
      <c r="G27" s="2"/>
      <c r="H27" s="2"/>
      <c r="I27" s="2"/>
      <c r="J27" s="2"/>
      <c r="K27" s="2"/>
      <c r="L27" s="2"/>
      <c r="M27" s="2"/>
      <c r="N27" s="2"/>
      <c r="O27" s="2"/>
    </row>
    <row r="28" spans="1:15" ht="12.75">
      <c r="A28" s="2"/>
      <c r="B28" s="2"/>
      <c r="C28" s="153"/>
      <c r="D28" s="2"/>
      <c r="E28" s="2"/>
      <c r="F28" s="2"/>
      <c r="G28" s="2"/>
      <c r="H28" s="2"/>
      <c r="I28" s="2"/>
      <c r="J28" s="2"/>
      <c r="K28" s="2"/>
      <c r="L28" s="2"/>
      <c r="M28" s="2"/>
      <c r="N28" s="2"/>
      <c r="O28" s="2"/>
    </row>
    <row r="29" spans="1:15" ht="13.9">
      <c r="C29" s="139" t="s">
        <v>700</v>
      </c>
    </row>
    <row r="30" spans="1:15">
      <c r="C30" s="153" t="s">
        <v>701</v>
      </c>
    </row>
    <row r="31" spans="1:15">
      <c r="C31" s="876" t="s">
        <v>702</v>
      </c>
    </row>
    <row r="32" spans="1:15" ht="12.75">
      <c r="A32" s="2"/>
      <c r="B32" s="2"/>
      <c r="D32" s="2"/>
      <c r="E32" s="2"/>
      <c r="F32" s="2"/>
      <c r="G32" s="2"/>
      <c r="H32" s="2"/>
      <c r="I32" s="2"/>
      <c r="J32" s="2"/>
      <c r="K32" s="2"/>
      <c r="L32" s="2"/>
      <c r="M32" s="2"/>
      <c r="N32" s="2"/>
      <c r="O32" s="2"/>
    </row>
    <row r="33" spans="1:15" ht="12.75">
      <c r="A33" s="2"/>
      <c r="B33" s="2"/>
      <c r="D33" s="2"/>
      <c r="E33" s="2"/>
      <c r="F33" s="2"/>
      <c r="G33" s="2"/>
      <c r="H33" s="2"/>
      <c r="I33" s="2"/>
      <c r="J33" s="2"/>
      <c r="K33" s="2"/>
      <c r="L33" s="2"/>
      <c r="M33" s="2"/>
      <c r="N33" s="2"/>
      <c r="O33" s="2"/>
    </row>
    <row r="34" spans="1:15" ht="12.75" customHeight="1">
      <c r="A34" s="148"/>
      <c r="B34" s="148"/>
      <c r="D34" s="148"/>
      <c r="E34" s="148"/>
      <c r="F34" s="148"/>
      <c r="G34" s="148"/>
      <c r="H34" s="2"/>
      <c r="I34" s="2"/>
      <c r="J34" s="2"/>
      <c r="K34" s="2"/>
      <c r="L34" s="2"/>
      <c r="M34" s="2"/>
      <c r="N34" s="2"/>
      <c r="O34" s="2"/>
    </row>
    <row r="35" spans="1:15" ht="12.75">
      <c r="A35" s="148"/>
      <c r="B35" s="148"/>
      <c r="D35" s="148"/>
      <c r="E35" s="148"/>
      <c r="F35" s="148"/>
      <c r="G35" s="148"/>
      <c r="H35" s="2"/>
      <c r="I35" s="2"/>
      <c r="J35" s="2"/>
      <c r="K35" s="2"/>
      <c r="L35" s="2"/>
      <c r="M35" s="2"/>
      <c r="N35" s="2"/>
      <c r="O35" s="2"/>
    </row>
    <row r="36" spans="1:15" ht="12.75">
      <c r="A36" s="148"/>
      <c r="B36" s="148"/>
      <c r="C36" s="148"/>
      <c r="D36" s="148"/>
      <c r="E36" s="148"/>
      <c r="F36" s="148"/>
      <c r="G36" s="148"/>
      <c r="H36" s="2"/>
      <c r="I36" s="2"/>
      <c r="J36" s="2"/>
      <c r="K36" s="2"/>
      <c r="L36" s="2"/>
      <c r="M36" s="2"/>
      <c r="N36" s="2"/>
      <c r="O36" s="2"/>
    </row>
    <row r="37" spans="1:15" ht="12.75">
      <c r="A37" s="148"/>
      <c r="B37" s="148"/>
      <c r="C37" s="148"/>
      <c r="D37" s="148"/>
      <c r="E37" s="148"/>
      <c r="F37" s="148"/>
      <c r="G37" s="148"/>
      <c r="H37" s="2"/>
      <c r="I37" s="2"/>
      <c r="J37" s="2"/>
      <c r="K37" s="2"/>
      <c r="L37" s="2"/>
      <c r="M37" s="2"/>
      <c r="N37" s="2"/>
      <c r="O37" s="2"/>
    </row>
    <row r="38" spans="1:15" ht="12.75">
      <c r="A38" s="148"/>
      <c r="B38" s="148"/>
      <c r="C38" s="148"/>
      <c r="D38" s="148"/>
      <c r="E38" s="148"/>
      <c r="F38" s="148"/>
      <c r="G38" s="148"/>
      <c r="H38" s="2"/>
      <c r="I38" s="2"/>
      <c r="J38" s="2"/>
      <c r="K38" s="2"/>
      <c r="L38" s="2"/>
      <c r="M38" s="2"/>
      <c r="N38" s="2"/>
      <c r="O38" s="2"/>
    </row>
    <row r="39" spans="1:15">
      <c r="A39" s="148"/>
      <c r="B39" s="148"/>
      <c r="C39" s="148"/>
      <c r="D39" s="148"/>
      <c r="E39" s="148"/>
      <c r="F39" s="148"/>
      <c r="G39" s="148"/>
    </row>
    <row r="40" spans="1:15">
      <c r="A40" s="148"/>
      <c r="B40" s="148"/>
      <c r="C40" s="148"/>
      <c r="D40" s="148"/>
      <c r="E40" s="148"/>
      <c r="F40" s="148"/>
      <c r="G40" s="148"/>
    </row>
    <row r="41" spans="1:15">
      <c r="A41" s="148"/>
      <c r="B41" s="148"/>
      <c r="C41" s="148"/>
      <c r="D41" s="148"/>
      <c r="E41" s="148"/>
      <c r="F41" s="148"/>
      <c r="G41" s="148"/>
    </row>
    <row r="42" spans="1:15">
      <c r="A42" s="148"/>
      <c r="B42" s="148"/>
      <c r="C42" s="148"/>
      <c r="D42" s="148"/>
      <c r="E42" s="148"/>
      <c r="F42" s="148"/>
      <c r="G42" s="148"/>
    </row>
    <row r="43" spans="1:15">
      <c r="A43" s="148"/>
      <c r="B43" s="148"/>
      <c r="C43" s="148"/>
      <c r="D43" s="148"/>
      <c r="E43" s="148"/>
      <c r="F43" s="148"/>
      <c r="G43" s="148"/>
    </row>
    <row r="44" spans="1:15">
      <c r="A44" s="148"/>
      <c r="B44" s="148"/>
      <c r="C44" s="148"/>
      <c r="D44" s="148"/>
      <c r="E44" s="148"/>
      <c r="F44" s="148"/>
      <c r="G44" s="148"/>
    </row>
    <row r="45" spans="1:15">
      <c r="A45" s="148"/>
      <c r="B45" s="148"/>
      <c r="C45" s="148"/>
      <c r="D45" s="148"/>
      <c r="E45" s="148"/>
      <c r="F45" s="148"/>
      <c r="G45" s="148"/>
    </row>
    <row r="46" spans="1:15">
      <c r="A46" s="148"/>
      <c r="B46" s="148"/>
      <c r="C46" s="148"/>
      <c r="D46" s="148"/>
      <c r="E46" s="148"/>
      <c r="F46" s="148"/>
      <c r="G46" s="148"/>
    </row>
    <row r="47" spans="1:15">
      <c r="A47" s="148"/>
      <c r="B47" s="148"/>
      <c r="C47" s="148"/>
      <c r="D47" s="148"/>
      <c r="E47" s="148"/>
      <c r="F47" s="148"/>
      <c r="G47" s="148"/>
    </row>
    <row r="48" spans="1:15">
      <c r="A48" s="148"/>
      <c r="B48" s="148"/>
      <c r="C48" s="148"/>
      <c r="D48" s="148"/>
      <c r="E48" s="148"/>
      <c r="F48" s="148"/>
      <c r="G48" s="148"/>
    </row>
    <row r="49" spans="1:7">
      <c r="A49" s="148"/>
      <c r="B49" s="148"/>
      <c r="C49" s="148"/>
      <c r="D49" s="148"/>
      <c r="E49" s="148"/>
      <c r="F49" s="148"/>
      <c r="G49" s="148"/>
    </row>
    <row r="50" spans="1:7">
      <c r="A50" s="148"/>
      <c r="B50" s="148"/>
      <c r="C50" s="148"/>
      <c r="D50" s="148"/>
      <c r="E50" s="148"/>
      <c r="F50" s="148"/>
      <c r="G50" s="148"/>
    </row>
    <row r="51" spans="1:7">
      <c r="A51" s="148"/>
      <c r="B51" s="148"/>
      <c r="C51" s="148"/>
      <c r="D51" s="148"/>
      <c r="E51" s="148"/>
      <c r="F51" s="148"/>
      <c r="G51" s="148"/>
    </row>
    <row r="52" spans="1:7">
      <c r="A52" s="148"/>
      <c r="B52" s="148"/>
      <c r="C52" s="148"/>
      <c r="D52" s="148"/>
      <c r="E52" s="148"/>
      <c r="F52" s="148"/>
      <c r="G52" s="148"/>
    </row>
    <row r="53" spans="1:7">
      <c r="A53" s="148"/>
      <c r="B53" s="148"/>
      <c r="C53" s="148"/>
      <c r="D53" s="148"/>
      <c r="E53" s="148"/>
      <c r="F53" s="148"/>
      <c r="G53" s="148"/>
    </row>
    <row r="54" spans="1:7">
      <c r="A54" s="148"/>
      <c r="B54" s="148"/>
      <c r="C54" s="148"/>
      <c r="D54" s="148"/>
      <c r="E54" s="148"/>
      <c r="F54" s="148"/>
      <c r="G54" s="148"/>
    </row>
  </sheetData>
  <hyperlinks>
    <hyperlink ref="C11" r:id="rId1" xr:uid="{1547945B-81E2-41AE-B492-EE4C05622715}"/>
    <hyperlink ref="C19" r:id="rId2" xr:uid="{E74AFCD8-B1A7-410E-85DE-CF18CC0BEBB9}"/>
    <hyperlink ref="C23" r:id="rId3" xr:uid="{6EE3383D-3BC5-4EF5-A1FC-6E303319B823}"/>
    <hyperlink ref="C27" r:id="rId4" xr:uid="{1D31C8A7-DF0A-481B-AB7F-323E7076B42E}"/>
  </hyperlinks>
  <pageMargins left="0.75" right="0.75" top="1" bottom="1" header="0.5" footer="0.5"/>
  <pageSetup scale="92" orientation="landscape" r:id="rId5"/>
  <headerFooter alignWithMargins="0">
    <oddFooter>&amp;L_x000D_&amp;1#&amp;"Calibri"&amp;10&amp;K000000 Sensitivity: Public</oddFooter>
  </headerFooter>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S244"/>
  <sheetViews>
    <sheetView zoomScaleNormal="100" workbookViewId="0">
      <pane xSplit="111" ySplit="7" topLeftCell="EX8" activePane="bottomRight" state="frozen"/>
      <selection pane="topRight" activeCell="DH1" sqref="DH1"/>
      <selection pane="bottomLeft" activeCell="A8" sqref="A8"/>
      <selection pane="bottomRight" activeCell="FF49" sqref="FF49"/>
    </sheetView>
  </sheetViews>
  <sheetFormatPr defaultColWidth="9.15234375" defaultRowHeight="12.75" outlineLevelRow="1" outlineLevelCol="1"/>
  <cols>
    <col min="1" max="2" width="1.69140625" style="8" customWidth="1"/>
    <col min="3" max="3" width="20" style="8" customWidth="1"/>
    <col min="4" max="8" width="8.69140625" style="8" hidden="1" customWidth="1"/>
    <col min="9" max="9" width="1.69140625" style="8" hidden="1" customWidth="1"/>
    <col min="10" max="14" width="8.69140625" style="8" hidden="1" customWidth="1"/>
    <col min="15" max="15" width="1.69140625" style="8" hidden="1" customWidth="1"/>
    <col min="16" max="20" width="8.69140625" style="8" hidden="1" customWidth="1"/>
    <col min="21" max="21" width="1.69140625" style="8" hidden="1" customWidth="1"/>
    <col min="22" max="26" width="8.69140625" style="8" hidden="1" customWidth="1"/>
    <col min="27" max="27" width="1.69140625" style="8" hidden="1" customWidth="1"/>
    <col min="28" max="32" width="8.69140625" style="8" hidden="1" customWidth="1"/>
    <col min="33" max="33" width="1.69140625" style="8" hidden="1" customWidth="1"/>
    <col min="34" max="38" width="8.69140625" style="8" hidden="1" customWidth="1"/>
    <col min="39" max="39" width="1.69140625" style="8" hidden="1" customWidth="1"/>
    <col min="40" max="44" width="8.3046875" style="8" hidden="1" customWidth="1"/>
    <col min="45" max="45" width="1.69140625" style="8" hidden="1" customWidth="1"/>
    <col min="46" max="49" width="8.3046875" style="8" hidden="1" customWidth="1"/>
    <col min="50" max="50" width="8.3828125" style="8" hidden="1" customWidth="1"/>
    <col min="51" max="51" width="1.69140625" style="8" hidden="1" customWidth="1"/>
    <col min="52" max="56" width="8.53515625" style="8" hidden="1" customWidth="1"/>
    <col min="57" max="57" width="1.69140625" style="8" hidden="1" customWidth="1"/>
    <col min="58" max="62" width="8.3046875" style="8" hidden="1" customWidth="1"/>
    <col min="63" max="63" width="1.69140625" style="8" hidden="1" customWidth="1"/>
    <col min="64" max="68" width="8.53515625" style="8" hidden="1" customWidth="1"/>
    <col min="69" max="69" width="1.69140625" style="8" hidden="1" customWidth="1"/>
    <col min="70" max="74" width="8.53515625" style="8" hidden="1" customWidth="1"/>
    <col min="75" max="75" width="1.69140625" style="8" hidden="1" customWidth="1"/>
    <col min="76" max="80" width="8.3046875" style="8" hidden="1" customWidth="1"/>
    <col min="81" max="81" width="1.69140625" style="8" hidden="1" customWidth="1"/>
    <col min="82" max="86" width="8.3046875" style="8" hidden="1" customWidth="1"/>
    <col min="87" max="87" width="1.69140625" style="8" hidden="1" customWidth="1"/>
    <col min="88" max="88" width="8.3046875" style="8" hidden="1" customWidth="1" collapsed="1"/>
    <col min="89" max="92" width="8.3046875" style="8" hidden="1" customWidth="1"/>
    <col min="93" max="93" width="1.69140625" style="8" hidden="1" customWidth="1"/>
    <col min="94" max="98" width="8.15234375" style="8" hidden="1" customWidth="1"/>
    <col min="99" max="99" width="1.69140625" style="8" hidden="1" customWidth="1"/>
    <col min="100" max="100" width="8.15234375" style="8" hidden="1" customWidth="1" collapsed="1"/>
    <col min="101" max="104" width="8.15234375" style="8" hidden="1" customWidth="1"/>
    <col min="105" max="105" width="1.69140625" style="8" hidden="1" customWidth="1"/>
    <col min="106" max="106" width="8.15234375" style="8" hidden="1" customWidth="1" collapsed="1"/>
    <col min="107" max="110" width="8.15234375" style="8" hidden="1" customWidth="1"/>
    <col min="111" max="111" width="1.69140625" style="8" hidden="1" customWidth="1" collapsed="1"/>
    <col min="112" max="115" width="7.53515625" style="8" hidden="1" customWidth="1" outlineLevel="1"/>
    <col min="116" max="116" width="8.84375" style="8" hidden="1" customWidth="1" outlineLevel="1" collapsed="1"/>
    <col min="117" max="117" width="1.69140625" style="8" hidden="1" customWidth="1" outlineLevel="1"/>
    <col min="118" max="121" width="7.53515625" style="8" hidden="1" customWidth="1" outlineLevel="1"/>
    <col min="122" max="122" width="8.84375" style="8" hidden="1" customWidth="1" outlineLevel="1"/>
    <col min="123" max="123" width="1.69140625" style="8" hidden="1" customWidth="1" outlineLevel="1"/>
    <col min="124" max="124" width="8.3046875" style="8" hidden="1" customWidth="1" outlineLevel="1"/>
    <col min="125" max="127" width="7.53515625" style="8" hidden="1" customWidth="1" outlineLevel="1"/>
    <col min="128" max="128" width="8.84375" style="8" hidden="1" customWidth="1" outlineLevel="1"/>
    <col min="129" max="129" width="1.69140625" style="8" hidden="1" customWidth="1" outlineLevel="1"/>
    <col min="130" max="130" width="8.3828125" style="8" hidden="1" customWidth="1" outlineLevel="1"/>
    <col min="131" max="131" width="8.84375" style="8" hidden="1" customWidth="1" outlineLevel="1"/>
    <col min="132" max="132" width="9" style="8" hidden="1" customWidth="1" outlineLevel="1"/>
    <col min="133" max="133" width="8.53515625" style="8" hidden="1" customWidth="1" outlineLevel="1"/>
    <col min="134" max="134" width="9.15234375" style="8" hidden="1" customWidth="1" outlineLevel="1"/>
    <col min="135" max="135" width="1.69140625" style="8" hidden="1" customWidth="1" outlineLevel="1"/>
    <col min="136" max="140" width="7.84375" style="8" hidden="1" customWidth="1" outlineLevel="1"/>
    <col min="141" max="141" width="1.69140625" style="8" hidden="1" customWidth="1" outlineLevel="1" collapsed="1"/>
    <col min="142" max="145" width="7.53515625" style="8" hidden="1" customWidth="1" outlineLevel="1"/>
    <col min="146" max="146" width="7.84375" style="8" hidden="1" customWidth="1" outlineLevel="1"/>
    <col min="147" max="147" width="1.69140625" style="8" hidden="1" customWidth="1" outlineLevel="1"/>
    <col min="148" max="148" width="7.69140625" style="8" hidden="1" customWidth="1" outlineLevel="1" collapsed="1"/>
    <col min="149" max="149" width="7.69140625" style="8" hidden="1" customWidth="1" outlineLevel="1"/>
    <col min="150" max="150" width="7.69140625" style="548" hidden="1" customWidth="1" outlineLevel="1"/>
    <col min="151" max="152" width="7.69140625" style="8" hidden="1" customWidth="1" outlineLevel="1"/>
    <col min="153" max="153" width="1.69140625" style="8" hidden="1" customWidth="1" outlineLevel="1"/>
    <col min="154" max="154" width="7.53515625" style="8" customWidth="1" collapsed="1"/>
    <col min="155" max="157" width="7.53515625" style="8" customWidth="1"/>
    <col min="158" max="158" width="7.15234375" style="8" customWidth="1"/>
    <col min="159" max="159" width="1.69140625" style="8" customWidth="1"/>
    <col min="160" max="164" width="7.53515625" style="8" customWidth="1"/>
    <col min="165" max="165" width="1.69140625" style="8" customWidth="1"/>
    <col min="166" max="170" width="7.53515625" style="8" customWidth="1"/>
    <col min="171" max="171" width="1.69140625" style="8" customWidth="1"/>
    <col min="172" max="175" width="7.53515625" style="8" hidden="1" customWidth="1" outlineLevel="1"/>
    <col min="176" max="176" width="7.53515625" style="8" customWidth="1" collapsed="1"/>
    <col min="177" max="177" width="1.69140625" style="8" customWidth="1"/>
    <col min="178" max="181" width="7.53515625" style="8" hidden="1" customWidth="1" outlineLevel="1"/>
    <col min="182" max="182" width="7.53515625" style="8" customWidth="1" collapsed="1"/>
    <col min="183" max="183" width="1.69140625" style="8" customWidth="1"/>
    <col min="184" max="187" width="7.53515625" style="8" hidden="1" customWidth="1" outlineLevel="1"/>
    <col min="188" max="188" width="7.53515625" style="8" customWidth="1" collapsed="1"/>
    <col min="189" max="189" width="1.69140625" style="8" customWidth="1"/>
    <col min="190" max="193" width="7.53515625" style="8" hidden="1" customWidth="1" outlineLevel="1"/>
    <col min="194" max="194" width="7.53515625" style="8" customWidth="1" collapsed="1"/>
    <col min="195" max="195" width="1.69140625" style="8" customWidth="1"/>
    <col min="196" max="199" width="7.53515625" style="8" hidden="1" customWidth="1" outlineLevel="1"/>
    <col min="200" max="200" width="7.53515625" style="8" customWidth="1" collapsed="1"/>
    <col min="201" max="201" width="1.69140625" style="8" customWidth="1"/>
    <col min="202" max="205" width="7.53515625" style="8" hidden="1" customWidth="1" outlineLevel="1"/>
    <col min="206" max="206" width="7.53515625" style="8" customWidth="1" collapsed="1"/>
    <col min="207" max="207" width="1.69140625" style="8" customWidth="1"/>
    <col min="208" max="211" width="7.53515625" style="8" hidden="1" customWidth="1" outlineLevel="1"/>
    <col min="212" max="212" width="7.53515625" style="8" customWidth="1" collapsed="1"/>
    <col min="213" max="213" width="1.69140625" style="8" customWidth="1"/>
    <col min="214" max="215" width="7.84375" style="8" hidden="1" customWidth="1" outlineLevel="1"/>
    <col min="216" max="217" width="7.84375" style="491" hidden="1" customWidth="1" outlineLevel="1"/>
    <col min="218" max="218" width="7.84375" style="491" customWidth="1" collapsed="1"/>
    <col min="219" max="223" width="9.15234375" style="491" customWidth="1"/>
    <col min="224" max="16384" width="9.15234375" style="8"/>
  </cols>
  <sheetData>
    <row r="1" spans="2:223" ht="12.75" hidden="1" customHeight="1" outlineLevel="1">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R1" s="10"/>
      <c r="ET1" s="8"/>
      <c r="FD1" s="413"/>
      <c r="FE1" s="413"/>
      <c r="FF1" s="413"/>
      <c r="FG1" s="413"/>
      <c r="FH1" s="413"/>
      <c r="FI1" s="413"/>
      <c r="FJ1" s="413"/>
      <c r="FK1" s="413"/>
      <c r="FL1" s="413"/>
      <c r="FM1" s="413"/>
      <c r="FN1" s="413"/>
      <c r="FO1" s="413"/>
    </row>
    <row r="2" spans="2:223" hidden="1" outlineLevel="1">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Y2" s="9" t="str">
        <f>Intro!C5</f>
        <v>NeoGenomics</v>
      </c>
      <c r="EZ2" s="10"/>
      <c r="FA2" s="10"/>
      <c r="FB2" s="10"/>
      <c r="FC2" s="10"/>
      <c r="FD2" s="10"/>
      <c r="FE2" s="10"/>
      <c r="FF2" s="10"/>
      <c r="FG2" s="10"/>
      <c r="FH2" s="10"/>
      <c r="FI2" s="10"/>
      <c r="FJ2" s="10"/>
      <c r="FK2" s="10"/>
      <c r="FL2" s="10"/>
      <c r="FM2" s="10"/>
      <c r="FN2" s="10"/>
      <c r="FO2" s="413"/>
    </row>
    <row r="3" spans="2:223" hidden="1" outlineLevel="1">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Y3" s="9" t="s">
        <v>11</v>
      </c>
      <c r="EZ3" s="10"/>
      <c r="FA3" s="10"/>
      <c r="FB3" s="10"/>
      <c r="FC3" s="10"/>
      <c r="FD3" s="426"/>
      <c r="FE3" s="426"/>
      <c r="FF3" s="426"/>
      <c r="FG3" s="426"/>
      <c r="FH3" s="426"/>
      <c r="FI3" s="426"/>
      <c r="FJ3" s="426"/>
      <c r="FK3" s="426"/>
      <c r="FL3" s="426"/>
      <c r="FM3" s="426"/>
      <c r="FN3" s="426"/>
      <c r="FO3" s="413"/>
    </row>
    <row r="4" spans="2:223" hidden="1" outlineLevel="1">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Y4" s="10" t="s">
        <v>12</v>
      </c>
      <c r="EZ4" s="10"/>
      <c r="FA4" s="10"/>
      <c r="FB4" s="10"/>
      <c r="FC4" s="10"/>
      <c r="FD4" s="426"/>
      <c r="FE4" s="426"/>
      <c r="FF4" s="426"/>
      <c r="FG4" s="426"/>
      <c r="FH4" s="426"/>
      <c r="FI4" s="426"/>
      <c r="FJ4" s="426"/>
      <c r="FK4" s="426"/>
      <c r="FL4" s="426"/>
      <c r="FM4" s="426"/>
      <c r="FN4" s="426"/>
      <c r="FO4" s="413"/>
    </row>
    <row r="5" spans="2:223" collapsed="1">
      <c r="D5" s="11" t="s">
        <v>13</v>
      </c>
      <c r="E5" s="11"/>
      <c r="F5" s="11"/>
      <c r="G5" s="11"/>
      <c r="H5" s="11"/>
      <c r="J5" s="11" t="s">
        <v>13</v>
      </c>
      <c r="K5" s="11"/>
      <c r="L5" s="11"/>
      <c r="M5" s="11"/>
      <c r="N5" s="11"/>
      <c r="P5" s="11" t="s">
        <v>13</v>
      </c>
      <c r="Q5" s="11"/>
      <c r="R5" s="11"/>
      <c r="S5" s="11"/>
      <c r="T5" s="11"/>
      <c r="U5" s="10" t="s">
        <v>14</v>
      </c>
      <c r="V5" s="11" t="s">
        <v>13</v>
      </c>
      <c r="W5" s="11"/>
      <c r="X5" s="11"/>
      <c r="Y5" s="11"/>
      <c r="Z5" s="11"/>
      <c r="AA5" s="10" t="s">
        <v>14</v>
      </c>
      <c r="AB5" s="11" t="s">
        <v>13</v>
      </c>
      <c r="AC5" s="11"/>
      <c r="AD5" s="11"/>
      <c r="AE5" s="11"/>
      <c r="AF5" s="11"/>
      <c r="AG5" s="10" t="s">
        <v>14</v>
      </c>
      <c r="AH5" s="11" t="s">
        <v>13</v>
      </c>
      <c r="AI5" s="11"/>
      <c r="AJ5" s="11"/>
      <c r="AK5" s="11"/>
      <c r="AL5" s="11"/>
      <c r="AM5" s="12"/>
      <c r="AN5" s="11" t="s">
        <v>13</v>
      </c>
      <c r="AO5" s="11"/>
      <c r="AP5" s="11"/>
      <c r="AQ5" s="11"/>
      <c r="AR5" s="11"/>
      <c r="AS5" s="12"/>
      <c r="AT5" s="11" t="s">
        <v>13</v>
      </c>
      <c r="AU5" s="11"/>
      <c r="AV5" s="11"/>
      <c r="AW5" s="11"/>
      <c r="AX5" s="11"/>
      <c r="AY5" s="12"/>
      <c r="AZ5" s="11" t="s">
        <v>13</v>
      </c>
      <c r="BA5" s="11"/>
      <c r="BB5" s="11"/>
      <c r="BC5" s="11"/>
      <c r="BD5" s="11"/>
      <c r="BE5" s="12"/>
      <c r="BF5" s="11" t="s">
        <v>13</v>
      </c>
      <c r="BG5" s="11"/>
      <c r="BH5" s="11"/>
      <c r="BI5" s="11"/>
      <c r="BJ5" s="11"/>
      <c r="BK5" s="13"/>
      <c r="BL5" s="11" t="s">
        <v>13</v>
      </c>
      <c r="BM5" s="11"/>
      <c r="BN5" s="11"/>
      <c r="BO5" s="11"/>
      <c r="BP5" s="11"/>
      <c r="BR5" s="11" t="s">
        <v>13</v>
      </c>
      <c r="BS5" s="11"/>
      <c r="BT5" s="11"/>
      <c r="BU5" s="11"/>
      <c r="BV5" s="11"/>
      <c r="BW5" s="12"/>
      <c r="BX5" s="11" t="s">
        <v>13</v>
      </c>
      <c r="BY5" s="11"/>
      <c r="BZ5" s="11"/>
      <c r="CA5" s="11"/>
      <c r="CB5" s="11"/>
      <c r="CC5" s="12"/>
      <c r="CD5" s="11" t="s">
        <v>13</v>
      </c>
      <c r="CE5" s="11"/>
      <c r="CF5" s="11"/>
      <c r="CG5" s="11"/>
      <c r="CH5" s="11"/>
      <c r="CI5" s="13"/>
      <c r="CJ5" s="11" t="s">
        <v>13</v>
      </c>
      <c r="CK5" s="11"/>
      <c r="CL5" s="11"/>
      <c r="CM5" s="11"/>
      <c r="CN5" s="11"/>
      <c r="CP5" s="937" t="s">
        <v>13</v>
      </c>
      <c r="CQ5" s="937"/>
      <c r="CR5" s="937"/>
      <c r="CS5" s="937"/>
      <c r="CT5" s="937"/>
      <c r="CU5" s="11"/>
      <c r="CV5" s="11" t="s">
        <v>13</v>
      </c>
      <c r="CW5" s="11"/>
      <c r="CX5" s="11"/>
      <c r="CY5" s="11"/>
      <c r="CZ5" s="11"/>
      <c r="DA5" s="12"/>
      <c r="DB5" s="11" t="s">
        <v>13</v>
      </c>
      <c r="DC5" s="11"/>
      <c r="DD5" s="11"/>
      <c r="DE5" s="11"/>
      <c r="DF5" s="11"/>
      <c r="DG5" s="12"/>
      <c r="DH5" s="11" t="s">
        <v>13</v>
      </c>
      <c r="DI5" s="11"/>
      <c r="DJ5" s="11"/>
      <c r="DK5" s="11"/>
      <c r="DL5" s="11"/>
      <c r="DM5" s="12"/>
      <c r="DN5" s="11" t="s">
        <v>13</v>
      </c>
      <c r="DO5" s="11"/>
      <c r="DP5" s="11"/>
      <c r="DQ5" s="11"/>
      <c r="DR5" s="11"/>
      <c r="DS5" s="12"/>
      <c r="DT5" s="11" t="s">
        <v>13</v>
      </c>
      <c r="DU5" s="11"/>
      <c r="DV5" s="11"/>
      <c r="DW5" s="11"/>
      <c r="DX5" s="11"/>
      <c r="DY5" s="12"/>
      <c r="DZ5" s="11" t="s">
        <v>13</v>
      </c>
      <c r="EA5" s="11"/>
      <c r="EB5" s="11"/>
      <c r="EC5" s="11"/>
      <c r="ED5" s="11"/>
      <c r="EE5" s="11"/>
      <c r="EF5" s="11" t="s">
        <v>13</v>
      </c>
      <c r="EG5" s="11"/>
      <c r="EH5" s="11"/>
      <c r="EI5" s="11"/>
      <c r="EJ5" s="11"/>
      <c r="EK5" s="10"/>
      <c r="EL5" s="11" t="s">
        <v>13</v>
      </c>
      <c r="EM5" s="11"/>
      <c r="EN5" s="11"/>
      <c r="EO5" s="11"/>
      <c r="EP5" s="11"/>
      <c r="ER5" s="937" t="s">
        <v>13</v>
      </c>
      <c r="ES5" s="937"/>
      <c r="ET5" s="937"/>
      <c r="EU5" s="937"/>
      <c r="EV5" s="937"/>
      <c r="EW5" s="23"/>
      <c r="EX5" s="937" t="s">
        <v>13</v>
      </c>
      <c r="EY5" s="937"/>
      <c r="EZ5" s="937"/>
      <c r="FA5" s="937"/>
      <c r="FB5" s="937"/>
      <c r="FD5" s="487" t="s">
        <v>15</v>
      </c>
      <c r="FE5" s="487"/>
      <c r="FF5" s="487"/>
      <c r="FG5" s="487"/>
      <c r="FH5" s="487"/>
      <c r="FI5" s="413"/>
      <c r="FJ5" s="426" t="s">
        <v>15</v>
      </c>
      <c r="FK5" s="426"/>
      <c r="FL5" s="426"/>
      <c r="FM5" s="426"/>
      <c r="FN5" s="426"/>
      <c r="FO5" s="413"/>
      <c r="FP5" s="426" t="s">
        <v>15</v>
      </c>
      <c r="FQ5" s="426"/>
      <c r="FR5" s="426"/>
      <c r="FS5" s="426"/>
      <c r="FT5" s="426"/>
      <c r="FV5" s="10" t="s">
        <v>15</v>
      </c>
      <c r="FW5" s="10"/>
      <c r="FX5" s="10"/>
      <c r="FY5" s="10"/>
      <c r="FZ5" s="10"/>
      <c r="GB5" s="10" t="s">
        <v>15</v>
      </c>
      <c r="GC5" s="10"/>
      <c r="GD5" s="10"/>
      <c r="GE5" s="10"/>
      <c r="GF5" s="10"/>
      <c r="GH5" s="10" t="s">
        <v>15</v>
      </c>
      <c r="GI5" s="10"/>
      <c r="GJ5" s="10"/>
      <c r="GK5" s="10"/>
      <c r="GL5" s="10"/>
      <c r="GN5" s="10" t="s">
        <v>15</v>
      </c>
      <c r="GO5" s="10"/>
      <c r="GP5" s="10"/>
      <c r="GQ5" s="10"/>
      <c r="GR5" s="10"/>
      <c r="GT5" s="10" t="s">
        <v>15</v>
      </c>
      <c r="GU5" s="10"/>
      <c r="GV5" s="10"/>
      <c r="GW5" s="10"/>
      <c r="GX5" s="10"/>
      <c r="GZ5" s="937" t="s">
        <v>15</v>
      </c>
      <c r="HA5" s="937"/>
      <c r="HB5" s="937"/>
      <c r="HC5" s="937"/>
      <c r="HD5" s="937"/>
      <c r="HF5" s="937" t="s">
        <v>15</v>
      </c>
      <c r="HG5" s="937"/>
      <c r="HH5" s="937"/>
      <c r="HI5" s="937"/>
      <c r="HJ5" s="937"/>
      <c r="HK5" s="520"/>
      <c r="HL5" s="520"/>
      <c r="HM5" s="520"/>
      <c r="HN5" s="520"/>
      <c r="HO5" s="520"/>
    </row>
    <row r="6" spans="2:223" s="13" customFormat="1">
      <c r="D6" s="14">
        <v>2000</v>
      </c>
      <c r="E6" s="14"/>
      <c r="F6" s="14"/>
      <c r="G6" s="14"/>
      <c r="H6" s="14"/>
      <c r="J6" s="14">
        <v>2001</v>
      </c>
      <c r="K6" s="14"/>
      <c r="L6" s="14"/>
      <c r="M6" s="14"/>
      <c r="N6" s="14"/>
      <c r="P6" s="14">
        <v>2002</v>
      </c>
      <c r="Q6" s="14"/>
      <c r="R6" s="14"/>
      <c r="S6" s="14"/>
      <c r="T6" s="14"/>
      <c r="V6" s="14">
        <v>2003</v>
      </c>
      <c r="W6" s="14"/>
      <c r="X6" s="14"/>
      <c r="Y6" s="14"/>
      <c r="Z6" s="14"/>
      <c r="AB6" s="14">
        <v>2004</v>
      </c>
      <c r="AC6" s="14"/>
      <c r="AD6" s="14"/>
      <c r="AE6" s="14"/>
      <c r="AF6" s="14"/>
      <c r="AH6" s="14">
        <v>2005</v>
      </c>
      <c r="AI6" s="14"/>
      <c r="AJ6" s="14"/>
      <c r="AK6" s="14"/>
      <c r="AL6" s="14"/>
      <c r="AN6" s="938">
        <v>2006</v>
      </c>
      <c r="AO6" s="938"/>
      <c r="AP6" s="938"/>
      <c r="AQ6" s="938"/>
      <c r="AR6" s="938"/>
      <c r="AT6" s="938">
        <v>2007</v>
      </c>
      <c r="AU6" s="938"/>
      <c r="AV6" s="938"/>
      <c r="AW6" s="938"/>
      <c r="AX6" s="938"/>
      <c r="AZ6" s="938">
        <v>2008</v>
      </c>
      <c r="BA6" s="938"/>
      <c r="BB6" s="938"/>
      <c r="BC6" s="938"/>
      <c r="BD6" s="938"/>
      <c r="BF6" s="938">
        <v>2009</v>
      </c>
      <c r="BG6" s="938"/>
      <c r="BH6" s="938"/>
      <c r="BI6" s="938"/>
      <c r="BJ6" s="938"/>
      <c r="BL6" s="938">
        <v>2010</v>
      </c>
      <c r="BM6" s="938"/>
      <c r="BN6" s="938"/>
      <c r="BO6" s="938"/>
      <c r="BP6" s="938"/>
      <c r="BR6" s="14">
        <v>2011</v>
      </c>
      <c r="BS6" s="14"/>
      <c r="BT6" s="14"/>
      <c r="BU6" s="14"/>
      <c r="BV6" s="14"/>
      <c r="BX6" s="14">
        <v>2012</v>
      </c>
      <c r="BY6" s="14"/>
      <c r="BZ6" s="14"/>
      <c r="CA6" s="14"/>
      <c r="CB6" s="14"/>
      <c r="CD6" s="14">
        <v>2013</v>
      </c>
      <c r="CE6" s="14"/>
      <c r="CF6" s="14"/>
      <c r="CG6" s="14"/>
      <c r="CH6" s="14"/>
      <c r="CJ6" s="938">
        <v>2014</v>
      </c>
      <c r="CK6" s="938"/>
      <c r="CL6" s="938"/>
      <c r="CM6" s="938"/>
      <c r="CN6" s="938"/>
      <c r="CP6" s="938">
        <v>2015</v>
      </c>
      <c r="CQ6" s="938"/>
      <c r="CR6" s="938"/>
      <c r="CS6" s="938"/>
      <c r="CT6" s="938"/>
      <c r="CV6" s="938">
        <v>2016</v>
      </c>
      <c r="CW6" s="938"/>
      <c r="CX6" s="938"/>
      <c r="CY6" s="938"/>
      <c r="CZ6" s="938"/>
      <c r="DB6" s="938">
        <v>2017</v>
      </c>
      <c r="DC6" s="938"/>
      <c r="DD6" s="938"/>
      <c r="DE6" s="938"/>
      <c r="DF6" s="938"/>
      <c r="DH6" s="938">
        <v>2018</v>
      </c>
      <c r="DI6" s="938"/>
      <c r="DJ6" s="938"/>
      <c r="DK6" s="938"/>
      <c r="DL6" s="938"/>
      <c r="DN6" s="938">
        <v>2019</v>
      </c>
      <c r="DO6" s="938"/>
      <c r="DP6" s="938"/>
      <c r="DQ6" s="938"/>
      <c r="DR6" s="938"/>
      <c r="DT6" s="938">
        <v>2020</v>
      </c>
      <c r="DU6" s="938"/>
      <c r="DV6" s="938"/>
      <c r="DW6" s="938"/>
      <c r="DX6" s="938"/>
      <c r="DZ6" s="938">
        <v>2021</v>
      </c>
      <c r="EA6" s="938"/>
      <c r="EB6" s="938"/>
      <c r="EC6" s="938"/>
      <c r="ED6" s="938"/>
      <c r="EF6" s="938">
        <v>2022</v>
      </c>
      <c r="EG6" s="938"/>
      <c r="EH6" s="938"/>
      <c r="EI6" s="938"/>
      <c r="EJ6" s="938"/>
      <c r="EL6" s="941">
        <v>2023</v>
      </c>
      <c r="EM6" s="941"/>
      <c r="EN6" s="941"/>
      <c r="EO6" s="941"/>
      <c r="EP6" s="941"/>
      <c r="ER6" s="940">
        <f>EL6+1</f>
        <v>2024</v>
      </c>
      <c r="ES6" s="940"/>
      <c r="ET6" s="940"/>
      <c r="EU6" s="940"/>
      <c r="EV6" s="940"/>
      <c r="EX6" s="940">
        <f>ER6+1</f>
        <v>2025</v>
      </c>
      <c r="EY6" s="940"/>
      <c r="EZ6" s="940"/>
      <c r="FA6" s="940"/>
      <c r="FB6" s="940"/>
      <c r="FD6" s="940">
        <f>EX6+1</f>
        <v>2026</v>
      </c>
      <c r="FE6" s="940"/>
      <c r="FF6" s="940"/>
      <c r="FG6" s="940"/>
      <c r="FH6" s="940"/>
      <c r="FI6" s="427"/>
      <c r="FJ6" s="939">
        <f>FD6+1</f>
        <v>2027</v>
      </c>
      <c r="FK6" s="939"/>
      <c r="FL6" s="939"/>
      <c r="FM6" s="939"/>
      <c r="FN6" s="939"/>
      <c r="FO6" s="427"/>
      <c r="FP6" s="939">
        <f>FJ6+1</f>
        <v>2028</v>
      </c>
      <c r="FQ6" s="939"/>
      <c r="FR6" s="939"/>
      <c r="FS6" s="939"/>
      <c r="FT6" s="939"/>
      <c r="FV6" s="939">
        <f>FP6+1</f>
        <v>2029</v>
      </c>
      <c r="FW6" s="939"/>
      <c r="FX6" s="939"/>
      <c r="FY6" s="939"/>
      <c r="FZ6" s="939"/>
      <c r="GB6" s="939">
        <f>FV6+1</f>
        <v>2030</v>
      </c>
      <c r="GC6" s="939"/>
      <c r="GD6" s="939"/>
      <c r="GE6" s="939"/>
      <c r="GF6" s="939"/>
      <c r="GH6" s="939">
        <f>GB6+1</f>
        <v>2031</v>
      </c>
      <c r="GI6" s="939"/>
      <c r="GJ6" s="939"/>
      <c r="GK6" s="939"/>
      <c r="GL6" s="939"/>
      <c r="GN6" s="939">
        <f>GH6+1</f>
        <v>2032</v>
      </c>
      <c r="GO6" s="939"/>
      <c r="GP6" s="939"/>
      <c r="GQ6" s="939"/>
      <c r="GR6" s="939"/>
      <c r="GT6" s="939">
        <f>GN6+1</f>
        <v>2033</v>
      </c>
      <c r="GU6" s="939"/>
      <c r="GV6" s="939"/>
      <c r="GW6" s="939"/>
      <c r="GX6" s="939"/>
      <c r="GZ6" s="939">
        <f>GT6+1</f>
        <v>2034</v>
      </c>
      <c r="HA6" s="939"/>
      <c r="HB6" s="939"/>
      <c r="HC6" s="939"/>
      <c r="HD6" s="939"/>
      <c r="HF6" s="939">
        <f>GZ6+1</f>
        <v>2035</v>
      </c>
      <c r="HG6" s="939"/>
      <c r="HH6" s="939"/>
      <c r="HI6" s="939"/>
      <c r="HJ6" s="939"/>
      <c r="HK6" s="520"/>
      <c r="HL6" s="520"/>
      <c r="HM6" s="520"/>
      <c r="HN6" s="520"/>
      <c r="HO6" s="520"/>
    </row>
    <row r="7" spans="2:223" s="16" customFormat="1">
      <c r="D7" s="16">
        <v>36616</v>
      </c>
      <c r="E7" s="16">
        <v>36707</v>
      </c>
      <c r="F7" s="16">
        <v>36799</v>
      </c>
      <c r="G7" s="16">
        <v>36891</v>
      </c>
      <c r="H7" s="16" t="s">
        <v>16</v>
      </c>
      <c r="J7" s="16">
        <v>36981</v>
      </c>
      <c r="K7" s="16">
        <v>37072</v>
      </c>
      <c r="L7" s="16">
        <v>37164</v>
      </c>
      <c r="M7" s="16">
        <v>37256</v>
      </c>
      <c r="N7" s="16" t="s">
        <v>16</v>
      </c>
      <c r="P7" s="16">
        <v>37346</v>
      </c>
      <c r="Q7" s="16">
        <v>37437</v>
      </c>
      <c r="R7" s="16">
        <v>37529</v>
      </c>
      <c r="S7" s="16">
        <v>37621</v>
      </c>
      <c r="T7" s="16" t="s">
        <v>17</v>
      </c>
      <c r="V7" s="16">
        <v>37711</v>
      </c>
      <c r="W7" s="16">
        <v>37802</v>
      </c>
      <c r="X7" s="16">
        <v>37894</v>
      </c>
      <c r="Y7" s="16">
        <v>37986</v>
      </c>
      <c r="Z7" s="16" t="s">
        <v>17</v>
      </c>
      <c r="AB7" s="16">
        <v>38077</v>
      </c>
      <c r="AC7" s="16">
        <v>38168</v>
      </c>
      <c r="AD7" s="16">
        <v>38260</v>
      </c>
      <c r="AE7" s="16">
        <v>38352</v>
      </c>
      <c r="AF7" s="16" t="s">
        <v>17</v>
      </c>
      <c r="AH7" s="16">
        <v>38442</v>
      </c>
      <c r="AI7" s="16">
        <v>38533</v>
      </c>
      <c r="AJ7" s="16">
        <v>38625</v>
      </c>
      <c r="AK7" s="16">
        <v>38717</v>
      </c>
      <c r="AL7" s="16" t="s">
        <v>17</v>
      </c>
      <c r="AN7" s="16">
        <f>AH7+365</f>
        <v>38807</v>
      </c>
      <c r="AO7" s="16">
        <f>AI7+365</f>
        <v>38898</v>
      </c>
      <c r="AP7" s="16">
        <f>AJ7+365</f>
        <v>38990</v>
      </c>
      <c r="AQ7" s="16">
        <f>AK7+365</f>
        <v>39082</v>
      </c>
      <c r="AR7" s="16" t="s">
        <v>17</v>
      </c>
      <c r="AT7" s="16">
        <f>AN7+365</f>
        <v>39172</v>
      </c>
      <c r="AU7" s="16">
        <f>AO7+365</f>
        <v>39263</v>
      </c>
      <c r="AV7" s="16">
        <f>AP7+365</f>
        <v>39355</v>
      </c>
      <c r="AW7" s="16">
        <f>AQ7+365</f>
        <v>39447</v>
      </c>
      <c r="AX7" s="16" t="s">
        <v>17</v>
      </c>
      <c r="AZ7" s="16">
        <f>AT7+365</f>
        <v>39537</v>
      </c>
      <c r="BA7" s="16">
        <f>AU7+365</f>
        <v>39628</v>
      </c>
      <c r="BB7" s="16">
        <f>AV7+365</f>
        <v>39720</v>
      </c>
      <c r="BC7" s="16">
        <f>AW7+365</f>
        <v>39812</v>
      </c>
      <c r="BD7" s="16" t="s">
        <v>17</v>
      </c>
      <c r="BF7" s="16">
        <f>AZ7+365</f>
        <v>39902</v>
      </c>
      <c r="BG7" s="16">
        <f>BA7+365</f>
        <v>39993</v>
      </c>
      <c r="BH7" s="16">
        <f>BB7+365</f>
        <v>40085</v>
      </c>
      <c r="BI7" s="16">
        <f>BC7+365</f>
        <v>40177</v>
      </c>
      <c r="BJ7" s="16" t="s">
        <v>17</v>
      </c>
      <c r="BL7" s="16">
        <f>BF7+365</f>
        <v>40267</v>
      </c>
      <c r="BM7" s="16">
        <f>BG7+365</f>
        <v>40358</v>
      </c>
      <c r="BN7" s="16">
        <f>BH7+365</f>
        <v>40450</v>
      </c>
      <c r="BO7" s="16">
        <f>BI7+365</f>
        <v>40542</v>
      </c>
      <c r="BP7" s="16" t="s">
        <v>17</v>
      </c>
      <c r="BR7" s="16">
        <f>BL7+365</f>
        <v>40632</v>
      </c>
      <c r="BS7" s="16">
        <f>BM7+365</f>
        <v>40723</v>
      </c>
      <c r="BT7" s="16">
        <f>BN7+365</f>
        <v>40815</v>
      </c>
      <c r="BU7" s="16">
        <f>BO7+365</f>
        <v>40907</v>
      </c>
      <c r="BV7" s="16" t="s">
        <v>17</v>
      </c>
      <c r="BX7" s="16">
        <f>BR7+365</f>
        <v>40997</v>
      </c>
      <c r="BY7" s="127">
        <f>BS7+365</f>
        <v>41088</v>
      </c>
      <c r="BZ7" s="16">
        <f>BT7+365</f>
        <v>41180</v>
      </c>
      <c r="CA7" s="16">
        <f>BU7+365</f>
        <v>41272</v>
      </c>
      <c r="CB7" s="16" t="s">
        <v>17</v>
      </c>
      <c r="CD7" s="16">
        <f>BX7+365</f>
        <v>41362</v>
      </c>
      <c r="CE7" s="16">
        <f>BY7+365</f>
        <v>41453</v>
      </c>
      <c r="CF7" s="16">
        <f>BZ7+365</f>
        <v>41545</v>
      </c>
      <c r="CG7" s="16">
        <f>CA7+365</f>
        <v>41637</v>
      </c>
      <c r="CH7" s="16" t="s">
        <v>17</v>
      </c>
      <c r="CJ7" s="16">
        <f>CD7+365</f>
        <v>41727</v>
      </c>
      <c r="CK7" s="16">
        <f>CE7+365</f>
        <v>41818</v>
      </c>
      <c r="CL7" s="16">
        <f>CF7+365</f>
        <v>41910</v>
      </c>
      <c r="CM7" s="16">
        <f>CG7+365</f>
        <v>42002</v>
      </c>
      <c r="CN7" s="16" t="s">
        <v>17</v>
      </c>
      <c r="CP7" s="16">
        <f>CJ7+365</f>
        <v>42092</v>
      </c>
      <c r="CQ7" s="16">
        <f>CK7+365</f>
        <v>42183</v>
      </c>
      <c r="CR7" s="16">
        <f>CL7+365</f>
        <v>42275</v>
      </c>
      <c r="CS7" s="16">
        <f>CM7+365</f>
        <v>42367</v>
      </c>
      <c r="CT7" s="16" t="s">
        <v>17</v>
      </c>
      <c r="CV7" s="16">
        <f>CP7+365</f>
        <v>42457</v>
      </c>
      <c r="CW7" s="16">
        <f>CQ7+365</f>
        <v>42548</v>
      </c>
      <c r="CX7" s="16">
        <f>CR7+365</f>
        <v>42640</v>
      </c>
      <c r="CY7" s="16">
        <f>CS7+365</f>
        <v>42732</v>
      </c>
      <c r="CZ7" s="16" t="s">
        <v>17</v>
      </c>
      <c r="DB7" s="16">
        <f>CV7+365</f>
        <v>42822</v>
      </c>
      <c r="DC7" s="16">
        <f>CW7+365</f>
        <v>42913</v>
      </c>
      <c r="DD7" s="16">
        <f>CX7+365</f>
        <v>43005</v>
      </c>
      <c r="DE7" s="16">
        <f>CY7+365</f>
        <v>43097</v>
      </c>
      <c r="DF7" s="16" t="s">
        <v>17</v>
      </c>
      <c r="DH7" s="16">
        <v>43190</v>
      </c>
      <c r="DI7" s="16">
        <v>43281</v>
      </c>
      <c r="DJ7" s="16">
        <v>43373</v>
      </c>
      <c r="DK7" s="16">
        <v>43465</v>
      </c>
      <c r="DL7" s="16" t="s">
        <v>17</v>
      </c>
      <c r="DN7" s="16">
        <f>DH7+365</f>
        <v>43555</v>
      </c>
      <c r="DO7" s="16">
        <f>DI7+365</f>
        <v>43646</v>
      </c>
      <c r="DP7" s="16">
        <f>DJ7+365</f>
        <v>43738</v>
      </c>
      <c r="DQ7" s="16">
        <f>DK7+365</f>
        <v>43830</v>
      </c>
      <c r="DR7" s="16" t="s">
        <v>17</v>
      </c>
      <c r="DT7" s="16">
        <f>DN7+365</f>
        <v>43920</v>
      </c>
      <c r="DU7" s="16">
        <f>DO7+365</f>
        <v>44011</v>
      </c>
      <c r="DV7" s="16">
        <f>DP7+365</f>
        <v>44103</v>
      </c>
      <c r="DW7" s="16">
        <f>DQ7+365</f>
        <v>44195</v>
      </c>
      <c r="DX7" s="16" t="s">
        <v>17</v>
      </c>
      <c r="DZ7" s="16">
        <f>DT7+365</f>
        <v>44285</v>
      </c>
      <c r="EA7" s="16">
        <f>DU7+365</f>
        <v>44376</v>
      </c>
      <c r="EB7" s="16">
        <f>DV7+365</f>
        <v>44468</v>
      </c>
      <c r="EC7" s="16">
        <f>DW7+365</f>
        <v>44560</v>
      </c>
      <c r="ED7" s="16" t="s">
        <v>17</v>
      </c>
      <c r="EF7" s="16">
        <f>DZ7+365</f>
        <v>44650</v>
      </c>
      <c r="EG7" s="16">
        <f>EA7+365</f>
        <v>44741</v>
      </c>
      <c r="EH7" s="16">
        <f>EB7+365</f>
        <v>44833</v>
      </c>
      <c r="EI7" s="16">
        <f>EC7+365</f>
        <v>44925</v>
      </c>
      <c r="EJ7" s="16" t="s">
        <v>17</v>
      </c>
      <c r="EL7" s="16">
        <f>EF7+365</f>
        <v>45015</v>
      </c>
      <c r="EM7" s="16">
        <f>EG7+365</f>
        <v>45106</v>
      </c>
      <c r="EN7" s="16">
        <f>EH7+365</f>
        <v>45198</v>
      </c>
      <c r="EO7" s="16">
        <f>EI7+365</f>
        <v>45290</v>
      </c>
      <c r="EP7" s="16" t="s">
        <v>17</v>
      </c>
      <c r="ER7" s="16">
        <f>EOMONTH(EL7+365,0)</f>
        <v>45382</v>
      </c>
      <c r="ES7" s="16">
        <f>EOMONTH(EM7+365,0)</f>
        <v>45473</v>
      </c>
      <c r="ET7" s="16">
        <f>EOMONTH(EN7+365,0)</f>
        <v>45565</v>
      </c>
      <c r="EU7" s="16">
        <f>EOMONTH(EO7+365,0)</f>
        <v>45657</v>
      </c>
      <c r="EV7" s="16" t="s">
        <v>17</v>
      </c>
      <c r="EX7" s="16">
        <f>EOMONTH(ER7+365,0)</f>
        <v>45747</v>
      </c>
      <c r="EY7" s="16">
        <f>EOMONTH(ES7+365,0)</f>
        <v>45838</v>
      </c>
      <c r="EZ7" s="16">
        <f>EOMONTH(ET7+365,0)</f>
        <v>45930</v>
      </c>
      <c r="FA7" s="16">
        <f>EOMONTH(EU7+365,0)</f>
        <v>46022</v>
      </c>
      <c r="FB7" s="16" t="s">
        <v>17</v>
      </c>
      <c r="FD7" s="546">
        <f>EOMONTH(EX7+365,0)</f>
        <v>46112</v>
      </c>
      <c r="FE7" s="16">
        <f>EOMONTH(EY7+365,0)</f>
        <v>46203</v>
      </c>
      <c r="FF7" s="16">
        <f>EOMONTH(EZ7+365,0)</f>
        <v>46295</v>
      </c>
      <c r="FG7" s="16">
        <f>EOMONTH(FA7+365,0)</f>
        <v>46387</v>
      </c>
      <c r="FH7" s="16" t="s">
        <v>17</v>
      </c>
      <c r="FI7" s="428"/>
      <c r="FJ7" s="16">
        <f>EOMONTH(FD7+365,0)</f>
        <v>46477</v>
      </c>
      <c r="FK7" s="16">
        <f>EOMONTH(FE7+365,0)</f>
        <v>46568</v>
      </c>
      <c r="FL7" s="16">
        <f>EOMONTH(FF7+365,0)</f>
        <v>46660</v>
      </c>
      <c r="FM7" s="16">
        <f>EOMONTH(FG7+365,0)</f>
        <v>46752</v>
      </c>
      <c r="FN7" s="16" t="s">
        <v>17</v>
      </c>
      <c r="FO7" s="428"/>
      <c r="FP7" s="16">
        <f>EOMONTH(FJ7+365,0)</f>
        <v>46843</v>
      </c>
      <c r="FQ7" s="16">
        <f>EOMONTH(FK7+365,0)</f>
        <v>46934</v>
      </c>
      <c r="FR7" s="16">
        <f>EOMONTH(FL7+365,0)</f>
        <v>47026</v>
      </c>
      <c r="FS7" s="16">
        <f>EOMONTH(FM7+365,0)</f>
        <v>47118</v>
      </c>
      <c r="FT7" s="16" t="s">
        <v>17</v>
      </c>
      <c r="FV7" s="16">
        <f>EOMONTH(FP7+365,0)</f>
        <v>47208</v>
      </c>
      <c r="FW7" s="16">
        <f>EOMONTH(FQ7+365,0)</f>
        <v>47299</v>
      </c>
      <c r="FX7" s="16">
        <f>EOMONTH(FR7+365,0)</f>
        <v>47391</v>
      </c>
      <c r="FY7" s="16">
        <f>EOMONTH(FS7+365,0)</f>
        <v>47483</v>
      </c>
      <c r="FZ7" s="16" t="s">
        <v>17</v>
      </c>
      <c r="GB7" s="16">
        <f>EOMONTH(FV7+365,0)</f>
        <v>47573</v>
      </c>
      <c r="GC7" s="16">
        <f>EOMONTH(FW7+365,0)</f>
        <v>47664</v>
      </c>
      <c r="GD7" s="16">
        <f>EOMONTH(FX7+365,0)</f>
        <v>47756</v>
      </c>
      <c r="GE7" s="16">
        <f>EOMONTH(FY7+365,0)</f>
        <v>47848</v>
      </c>
      <c r="GF7" s="16" t="s">
        <v>17</v>
      </c>
      <c r="GH7" s="16">
        <f>EOMONTH(GB7+365,0)</f>
        <v>47938</v>
      </c>
      <c r="GI7" s="16">
        <f>EOMONTH(GC7+365,0)</f>
        <v>48029</v>
      </c>
      <c r="GJ7" s="16">
        <f>EOMONTH(GD7+365,0)</f>
        <v>48121</v>
      </c>
      <c r="GK7" s="16">
        <f>EOMONTH(GE7+365,0)</f>
        <v>48213</v>
      </c>
      <c r="GL7" s="16" t="s">
        <v>17</v>
      </c>
      <c r="GN7" s="16">
        <f>EOMONTH(GH7+365,0)</f>
        <v>48304</v>
      </c>
      <c r="GO7" s="16">
        <f>EOMONTH(GI7+365,0)</f>
        <v>48395</v>
      </c>
      <c r="GP7" s="16">
        <f>EOMONTH(GJ7+365,0)</f>
        <v>48487</v>
      </c>
      <c r="GQ7" s="16">
        <f>EOMONTH(GK7+365,0)</f>
        <v>48579</v>
      </c>
      <c r="GR7" s="16" t="s">
        <v>17</v>
      </c>
      <c r="GT7" s="16">
        <f>EOMONTH(GN7+365,0)</f>
        <v>48669</v>
      </c>
      <c r="GU7" s="16">
        <f>EOMONTH(GO7+365,0)</f>
        <v>48760</v>
      </c>
      <c r="GV7" s="16">
        <f>EOMONTH(GP7+365,0)</f>
        <v>48852</v>
      </c>
      <c r="GW7" s="16">
        <f>EOMONTH(GQ7+365,0)</f>
        <v>48944</v>
      </c>
      <c r="GX7" s="16" t="s">
        <v>17</v>
      </c>
      <c r="GZ7" s="16">
        <f>EOMONTH(GT7+365,0)</f>
        <v>49034</v>
      </c>
      <c r="HA7" s="16">
        <f>EOMONTH(GU7+365,0)</f>
        <v>49125</v>
      </c>
      <c r="HB7" s="16">
        <f>EOMONTH(GV7+365,0)</f>
        <v>49217</v>
      </c>
      <c r="HC7" s="16">
        <f>EOMONTH(GW7+365,0)</f>
        <v>49309</v>
      </c>
      <c r="HD7" s="16" t="s">
        <v>17</v>
      </c>
      <c r="HF7" s="16">
        <f>EOMONTH(GZ7+365,0)</f>
        <v>49399</v>
      </c>
      <c r="HG7" s="16">
        <f>EOMONTH(HA7+365,0)</f>
        <v>49490</v>
      </c>
      <c r="HH7" s="16">
        <f>EOMONTH(HB7+365,0)</f>
        <v>49582</v>
      </c>
      <c r="HI7" s="16">
        <f>EOMONTH(HC7+365,0)</f>
        <v>49674</v>
      </c>
      <c r="HJ7" s="16" t="s">
        <v>17</v>
      </c>
      <c r="HK7" s="514"/>
      <c r="HL7" s="514"/>
      <c r="HM7" s="514"/>
      <c r="HN7" s="514"/>
      <c r="HO7" s="514"/>
    </row>
    <row r="8" spans="2:223" s="15" customFormat="1" ht="9" customHeight="1">
      <c r="B8" s="32"/>
      <c r="BD8" s="17"/>
      <c r="BP8" s="33"/>
      <c r="BX8" s="17"/>
      <c r="BY8" s="128"/>
      <c r="CP8" s="16"/>
      <c r="DQ8" s="353"/>
      <c r="DZ8" s="16"/>
      <c r="EU8" s="340"/>
      <c r="FD8" s="542"/>
      <c r="FI8" s="429"/>
      <c r="FO8" s="429"/>
      <c r="HH8" s="513"/>
      <c r="HI8" s="513"/>
      <c r="HJ8" s="513"/>
      <c r="HK8" s="513"/>
      <c r="HL8" s="513"/>
      <c r="HM8" s="513"/>
      <c r="HN8" s="513"/>
      <c r="HO8" s="513"/>
    </row>
    <row r="9" spans="2:223" hidden="1" outlineLevel="1">
      <c r="B9" s="8" t="s">
        <v>18</v>
      </c>
      <c r="D9" s="17"/>
      <c r="E9" s="17"/>
      <c r="F9" s="17"/>
      <c r="G9" s="17"/>
      <c r="H9" s="17"/>
      <c r="J9" s="17"/>
      <c r="K9" s="17"/>
      <c r="L9" s="17"/>
      <c r="M9" s="17"/>
      <c r="N9" s="17"/>
      <c r="P9" s="17"/>
      <c r="Q9" s="17"/>
      <c r="R9" s="17"/>
      <c r="S9" s="17"/>
      <c r="T9" s="17"/>
      <c r="V9" s="17"/>
      <c r="W9" s="17"/>
      <c r="X9" s="17"/>
      <c r="Y9" s="17"/>
      <c r="Z9" s="17"/>
      <c r="AB9" s="17"/>
      <c r="AC9" s="17"/>
      <c r="AD9" s="17"/>
      <c r="AE9" s="17"/>
      <c r="AF9" s="17"/>
      <c r="AH9" s="17"/>
      <c r="AI9" s="17"/>
      <c r="AJ9" s="17"/>
      <c r="AK9" s="17"/>
      <c r="AL9" s="17"/>
      <c r="AN9" s="17"/>
      <c r="AO9" s="17"/>
      <c r="AP9" s="17"/>
      <c r="AQ9" s="17"/>
      <c r="AR9" s="17"/>
      <c r="AT9" s="17"/>
      <c r="AU9" s="17"/>
      <c r="AV9" s="17"/>
      <c r="AW9" s="17"/>
      <c r="AX9" s="17"/>
      <c r="AZ9" s="17"/>
      <c r="BA9" s="17"/>
      <c r="BB9" s="17"/>
      <c r="BC9" s="17"/>
      <c r="BD9" s="17"/>
      <c r="BF9" s="17"/>
      <c r="BG9" s="17"/>
      <c r="BH9" s="17"/>
      <c r="BI9" s="17"/>
      <c r="BJ9" s="17"/>
      <c r="BL9" s="17"/>
      <c r="BM9" s="17"/>
      <c r="BN9" s="17"/>
      <c r="BO9" s="17"/>
      <c r="BP9" s="17"/>
      <c r="BR9" s="17"/>
      <c r="BS9" s="17"/>
      <c r="BT9" s="17"/>
      <c r="BU9" s="17"/>
      <c r="BV9" s="17"/>
      <c r="BX9" s="17"/>
      <c r="BY9" s="129"/>
      <c r="BZ9" s="17"/>
      <c r="CA9" s="17"/>
      <c r="CB9" s="17"/>
      <c r="CD9" s="17"/>
      <c r="CE9" s="17"/>
      <c r="CF9" s="17"/>
      <c r="CG9" s="17"/>
      <c r="CH9" s="17"/>
      <c r="CJ9" s="17"/>
      <c r="CK9" s="17"/>
      <c r="CL9" s="17"/>
      <c r="CM9" s="17"/>
      <c r="CN9" s="17"/>
      <c r="CP9" s="17"/>
      <c r="CQ9" s="17"/>
      <c r="CR9" s="17"/>
      <c r="CS9" s="17"/>
      <c r="CT9" s="17"/>
      <c r="CV9" s="109"/>
      <c r="CW9" s="109"/>
      <c r="CX9" s="109"/>
      <c r="CY9" s="109"/>
      <c r="CZ9" s="17"/>
      <c r="DB9" s="109"/>
      <c r="DC9" s="109"/>
      <c r="DD9" s="109"/>
      <c r="DE9" s="109"/>
      <c r="DF9" s="17"/>
      <c r="DH9" s="633">
        <v>63.423000000000002</v>
      </c>
      <c r="DI9" s="633">
        <v>67.745999999999995</v>
      </c>
      <c r="DJ9" s="633">
        <v>69.096000000000004</v>
      </c>
      <c r="DK9" s="633">
        <v>76.474999999999994</v>
      </c>
      <c r="DL9" s="354">
        <f>SUM(DH9:DK9)</f>
        <v>276.74</v>
      </c>
      <c r="DM9" s="354"/>
      <c r="DN9" s="633">
        <v>95.576999999999998</v>
      </c>
      <c r="DO9" s="633">
        <v>101.71299999999999</v>
      </c>
      <c r="DP9" s="633">
        <v>104.672</v>
      </c>
      <c r="DQ9" s="633">
        <v>106.86799999999999</v>
      </c>
      <c r="DR9" s="354">
        <f>SUM(DN9:DQ9)</f>
        <v>408.83</v>
      </c>
      <c r="DS9" s="354"/>
      <c r="DT9" s="633">
        <v>106.03</v>
      </c>
      <c r="DU9" s="633">
        <v>86.977000000000004</v>
      </c>
      <c r="DV9" s="633">
        <v>125.444</v>
      </c>
      <c r="DW9" s="633">
        <v>125.997</v>
      </c>
      <c r="DX9" s="354">
        <f>SUM(DT9:DW9)</f>
        <v>444.44800000000004</v>
      </c>
      <c r="DY9" s="354"/>
      <c r="DZ9" s="633">
        <v>115.533</v>
      </c>
      <c r="EA9" s="633">
        <v>121.724</v>
      </c>
      <c r="EB9" s="633">
        <v>121.34</v>
      </c>
      <c r="EC9" s="633">
        <v>125.732</v>
      </c>
      <c r="ED9" s="354">
        <f>SUM(DZ9:EC9)</f>
        <v>484.32899999999995</v>
      </c>
      <c r="EE9" s="354"/>
      <c r="EF9" s="633">
        <v>117.169</v>
      </c>
      <c r="EG9" s="633">
        <v>125.072</v>
      </c>
      <c r="EH9" s="633">
        <v>128.78200000000001</v>
      </c>
      <c r="EI9" s="633">
        <v>138.70500000000001</v>
      </c>
      <c r="EJ9" s="354">
        <f>SUM(EF9:EI9)</f>
        <v>509.72800000000007</v>
      </c>
      <c r="EK9" s="354"/>
      <c r="EL9" s="633">
        <v>137.22</v>
      </c>
      <c r="EM9" s="633">
        <v>146.917</v>
      </c>
      <c r="EN9" s="633">
        <v>151.95400000000001</v>
      </c>
      <c r="EO9" s="633">
        <v>155.55199999999999</v>
      </c>
      <c r="EP9" s="354">
        <f>SUM(EL9:EO9)</f>
        <v>591.64300000000003</v>
      </c>
      <c r="EQ9" s="354"/>
      <c r="ER9" s="633">
        <v>156.24</v>
      </c>
      <c r="ES9" s="633">
        <v>164.50200000000001</v>
      </c>
      <c r="ET9" s="633">
        <v>167.82400000000001</v>
      </c>
      <c r="EU9" s="633">
        <v>172</v>
      </c>
      <c r="EV9" s="456">
        <f t="shared" ref="EV9:EV21" si="0">SUM(ER9:EU9)</f>
        <v>660.56600000000003</v>
      </c>
      <c r="EW9" s="17"/>
      <c r="EX9" s="109">
        <v>168.035</v>
      </c>
      <c r="EY9" s="109">
        <v>181.33</v>
      </c>
      <c r="EZ9" s="109">
        <v>187.797</v>
      </c>
      <c r="FA9" s="109">
        <v>190.17</v>
      </c>
      <c r="FB9" s="456">
        <f t="shared" ref="FB9:FB10" si="1">SUM(EX9:FA9)</f>
        <v>727.33199999999999</v>
      </c>
      <c r="FC9" s="17"/>
      <c r="FD9" s="547"/>
      <c r="FE9" s="354"/>
      <c r="FF9" s="354"/>
      <c r="FG9" s="354"/>
      <c r="FH9" s="354"/>
      <c r="FI9" s="456"/>
      <c r="FJ9" s="354"/>
      <c r="FK9" s="354"/>
      <c r="FL9" s="354"/>
      <c r="FM9" s="354"/>
      <c r="FN9" s="354"/>
      <c r="FO9" s="456"/>
      <c r="FP9" s="354"/>
      <c r="FQ9" s="354"/>
      <c r="FR9" s="354"/>
      <c r="FS9" s="354"/>
      <c r="FT9" s="354"/>
      <c r="FU9" s="17"/>
      <c r="FV9" s="354"/>
      <c r="FW9" s="354"/>
      <c r="FX9" s="354"/>
      <c r="FY9" s="354"/>
      <c r="FZ9" s="354"/>
      <c r="GA9" s="17"/>
      <c r="GB9" s="354"/>
      <c r="GC9" s="354"/>
      <c r="GD9" s="354"/>
      <c r="GE9" s="354"/>
      <c r="GF9" s="354"/>
      <c r="GG9" s="17"/>
      <c r="GH9" s="354"/>
      <c r="GI9" s="354"/>
      <c r="GJ9" s="354"/>
      <c r="GK9" s="354"/>
      <c r="GL9" s="354"/>
      <c r="GM9" s="17"/>
      <c r="GN9" s="354"/>
      <c r="GO9" s="354"/>
      <c r="GP9" s="354"/>
      <c r="GQ9" s="354"/>
      <c r="GR9" s="354"/>
      <c r="GS9" s="17"/>
      <c r="GT9" s="354"/>
      <c r="GU9" s="354"/>
      <c r="GV9" s="354"/>
      <c r="GW9" s="354"/>
      <c r="GX9" s="354"/>
      <c r="GZ9" s="354"/>
      <c r="HA9" s="354"/>
      <c r="HB9" s="354"/>
      <c r="HC9" s="354"/>
      <c r="HD9" s="354"/>
      <c r="HH9" s="513"/>
      <c r="HI9" s="513"/>
      <c r="HJ9" s="513"/>
      <c r="HK9" s="513"/>
      <c r="HL9" s="513"/>
      <c r="HM9" s="513"/>
      <c r="HN9" s="513"/>
      <c r="HO9" s="513"/>
    </row>
    <row r="10" spans="2:223" s="19" customFormat="1" hidden="1" outlineLevel="1">
      <c r="C10" s="8" t="s">
        <v>19</v>
      </c>
      <c r="D10" s="18"/>
      <c r="E10" s="18"/>
      <c r="F10" s="18"/>
      <c r="G10" s="18"/>
      <c r="H10" s="18"/>
      <c r="J10" s="18"/>
      <c r="K10" s="18"/>
      <c r="L10" s="18"/>
      <c r="M10" s="18"/>
      <c r="N10" s="18"/>
      <c r="P10" s="18"/>
      <c r="Q10" s="18"/>
      <c r="R10" s="18"/>
      <c r="S10" s="18"/>
      <c r="T10" s="18"/>
      <c r="V10" s="18"/>
      <c r="W10" s="18"/>
      <c r="X10" s="18"/>
      <c r="Y10" s="18"/>
      <c r="Z10" s="18"/>
      <c r="AB10" s="18"/>
      <c r="AC10" s="18"/>
      <c r="AD10" s="18"/>
      <c r="AE10" s="18"/>
      <c r="AF10" s="18"/>
      <c r="AH10" s="18"/>
      <c r="AI10" s="18"/>
      <c r="AJ10" s="18"/>
      <c r="AK10" s="18"/>
      <c r="AL10" s="18"/>
      <c r="AN10" s="18"/>
      <c r="AO10" s="18"/>
      <c r="AP10" s="18"/>
      <c r="AQ10" s="18"/>
      <c r="AR10" s="18"/>
      <c r="AT10" s="18"/>
      <c r="AU10" s="18"/>
      <c r="AV10" s="18"/>
      <c r="AW10" s="18"/>
      <c r="AX10" s="18"/>
      <c r="AZ10" s="18"/>
      <c r="BA10" s="18"/>
      <c r="BB10" s="18"/>
      <c r="BC10" s="18"/>
      <c r="BD10" s="18"/>
      <c r="BF10" s="18"/>
      <c r="BG10" s="18"/>
      <c r="BH10" s="18"/>
      <c r="BI10" s="18"/>
      <c r="BJ10" s="18"/>
      <c r="BL10" s="18"/>
      <c r="BM10" s="18"/>
      <c r="BN10" s="18"/>
      <c r="BO10" s="18"/>
      <c r="BP10" s="18"/>
      <c r="BR10" s="18"/>
      <c r="BS10" s="18"/>
      <c r="BT10" s="18"/>
      <c r="BU10" s="18"/>
      <c r="BV10" s="18"/>
      <c r="BX10" s="18"/>
      <c r="BY10" s="117"/>
      <c r="BZ10" s="18"/>
      <c r="CA10" s="18"/>
      <c r="CB10" s="18"/>
      <c r="CD10" s="18"/>
      <c r="CE10" s="18"/>
      <c r="CF10" s="18"/>
      <c r="CG10" s="18"/>
      <c r="CH10" s="18"/>
      <c r="CJ10" s="18"/>
      <c r="CK10" s="18"/>
      <c r="CL10" s="18"/>
      <c r="CM10" s="18"/>
      <c r="CN10" s="18"/>
      <c r="CP10" s="18"/>
      <c r="CQ10" s="18"/>
      <c r="CR10" s="18"/>
      <c r="CS10" s="18"/>
      <c r="CT10" s="18"/>
      <c r="CV10" s="114"/>
      <c r="CW10" s="114"/>
      <c r="CX10" s="114"/>
      <c r="CY10" s="114"/>
      <c r="CZ10" s="18"/>
      <c r="DB10" s="114"/>
      <c r="DC10" s="114"/>
      <c r="DD10" s="114"/>
      <c r="DE10" s="114"/>
      <c r="DF10" s="18"/>
      <c r="DH10" s="663">
        <v>36.119999999999997</v>
      </c>
      <c r="DI10" s="663">
        <v>37.216000000000001</v>
      </c>
      <c r="DJ10" s="663">
        <v>36.774999999999999</v>
      </c>
      <c r="DK10" s="663">
        <v>39.363999999999997</v>
      </c>
      <c r="DL10" s="432">
        <f>DL9-DL11</f>
        <v>149.47500000000002</v>
      </c>
      <c r="DM10" s="432"/>
      <c r="DN10" s="663">
        <v>48.462000000000003</v>
      </c>
      <c r="DO10" s="663">
        <v>52.747</v>
      </c>
      <c r="DP10" s="663">
        <v>53.84</v>
      </c>
      <c r="DQ10" s="663">
        <v>56.945</v>
      </c>
      <c r="DR10" s="432">
        <f>DR9-DR11</f>
        <v>211.994</v>
      </c>
      <c r="DS10" s="432"/>
      <c r="DT10" s="663">
        <v>59.661000000000001</v>
      </c>
      <c r="DU10" s="663">
        <v>58.970999999999997</v>
      </c>
      <c r="DV10" s="663">
        <v>71.379000000000005</v>
      </c>
      <c r="DW10" s="663">
        <v>68.543999999999997</v>
      </c>
      <c r="DX10" s="432">
        <f>DX9-DX11</f>
        <v>258.55500000000006</v>
      </c>
      <c r="DY10" s="432"/>
      <c r="DZ10" s="663">
        <v>73.959000000000003</v>
      </c>
      <c r="EA10" s="663">
        <v>68.733999999999995</v>
      </c>
      <c r="EB10" s="663">
        <v>74.100999999999999</v>
      </c>
      <c r="EC10" s="663">
        <v>80.474999999999994</v>
      </c>
      <c r="ED10" s="432">
        <f>ED9-ED11</f>
        <v>297.26899999999995</v>
      </c>
      <c r="EE10" s="432"/>
      <c r="EF10" s="663">
        <v>78.936999999999998</v>
      </c>
      <c r="EG10" s="663">
        <v>81.126000000000005</v>
      </c>
      <c r="EH10" s="663">
        <v>79.888999999999996</v>
      </c>
      <c r="EI10" s="663">
        <v>81.88</v>
      </c>
      <c r="EJ10" s="432">
        <f>EJ9-EJ11</f>
        <v>321.83199999999999</v>
      </c>
      <c r="EK10" s="432"/>
      <c r="EL10" s="663">
        <v>82.406000000000006</v>
      </c>
      <c r="EM10" s="663">
        <v>87.025999999999996</v>
      </c>
      <c r="EN10" s="663">
        <v>89.643000000000001</v>
      </c>
      <c r="EO10" s="663">
        <v>87.963999999999999</v>
      </c>
      <c r="EP10" s="432">
        <f>EP9-EP11</f>
        <v>347.03899999999999</v>
      </c>
      <c r="EQ10" s="432"/>
      <c r="ER10" s="663">
        <v>90.771000000000001</v>
      </c>
      <c r="ES10" s="663">
        <v>92.007999999999996</v>
      </c>
      <c r="ET10" s="663">
        <v>92.944000000000003</v>
      </c>
      <c r="EU10" s="663">
        <v>94.742999999999995</v>
      </c>
      <c r="EV10" s="18">
        <f t="shared" si="0"/>
        <v>370.46600000000001</v>
      </c>
      <c r="EW10" s="36"/>
      <c r="EX10" s="671">
        <v>94.789000000000001</v>
      </c>
      <c r="EY10" s="671">
        <v>104.072</v>
      </c>
      <c r="EZ10" s="671">
        <v>107.351</v>
      </c>
      <c r="FA10" s="671">
        <v>106.827</v>
      </c>
      <c r="FB10" s="18">
        <f t="shared" si="1"/>
        <v>413.03899999999999</v>
      </c>
      <c r="FC10" s="36"/>
      <c r="FD10" s="545"/>
      <c r="FE10" s="432"/>
      <c r="FF10" s="432"/>
      <c r="FG10" s="432"/>
      <c r="FH10" s="432"/>
      <c r="FI10" s="36"/>
      <c r="FJ10" s="432"/>
      <c r="FK10" s="432"/>
      <c r="FL10" s="432"/>
      <c r="FM10" s="432"/>
      <c r="FN10" s="432"/>
      <c r="FO10" s="36"/>
      <c r="FP10" s="432"/>
      <c r="FQ10" s="432"/>
      <c r="FR10" s="432"/>
      <c r="FS10" s="432"/>
      <c r="FT10" s="432"/>
      <c r="FU10" s="36"/>
      <c r="FV10" s="432"/>
      <c r="FW10" s="432"/>
      <c r="FX10" s="432"/>
      <c r="FY10" s="432"/>
      <c r="FZ10" s="432"/>
      <c r="GA10" s="36"/>
      <c r="GB10" s="432"/>
      <c r="GC10" s="432"/>
      <c r="GD10" s="432"/>
      <c r="GE10" s="432"/>
      <c r="GF10" s="432"/>
      <c r="GG10" s="36"/>
      <c r="GH10" s="432"/>
      <c r="GI10" s="432"/>
      <c r="GJ10" s="432"/>
      <c r="GK10" s="432"/>
      <c r="GL10" s="432"/>
      <c r="GM10" s="36"/>
      <c r="GN10" s="432"/>
      <c r="GO10" s="432"/>
      <c r="GP10" s="432"/>
      <c r="GQ10" s="432"/>
      <c r="GR10" s="432"/>
      <c r="GS10" s="36"/>
      <c r="GT10" s="432"/>
      <c r="GU10" s="432"/>
      <c r="GV10" s="432"/>
      <c r="GW10" s="432"/>
      <c r="GX10" s="432"/>
      <c r="GY10" s="36"/>
      <c r="GZ10" s="432"/>
      <c r="HA10" s="432"/>
      <c r="HB10" s="432"/>
      <c r="HC10" s="432"/>
      <c r="HD10" s="432"/>
      <c r="HE10" s="36"/>
      <c r="HH10" s="521"/>
      <c r="HI10" s="521"/>
      <c r="HJ10" s="521"/>
      <c r="HK10" s="521"/>
      <c r="HL10" s="521"/>
      <c r="HM10" s="521"/>
      <c r="HN10" s="521"/>
      <c r="HO10" s="521"/>
    </row>
    <row r="11" spans="2:223" hidden="1" outlineLevel="1">
      <c r="B11" s="8" t="s">
        <v>20</v>
      </c>
      <c r="D11" s="17"/>
      <c r="E11" s="17"/>
      <c r="F11" s="17"/>
      <c r="G11" s="17"/>
      <c r="H11" s="17"/>
      <c r="J11" s="17"/>
      <c r="K11" s="17"/>
      <c r="L11" s="17"/>
      <c r="M11" s="17"/>
      <c r="N11" s="17"/>
      <c r="P11" s="17"/>
      <c r="Q11" s="17"/>
      <c r="R11" s="17"/>
      <c r="S11" s="17"/>
      <c r="T11" s="17"/>
      <c r="V11" s="17"/>
      <c r="W11" s="17"/>
      <c r="X11" s="17"/>
      <c r="Y11" s="17"/>
      <c r="Z11" s="17"/>
      <c r="AB11" s="17"/>
      <c r="AC11" s="17"/>
      <c r="AD11" s="17"/>
      <c r="AE11" s="17"/>
      <c r="AF11" s="17"/>
      <c r="AH11" s="17"/>
      <c r="AI11" s="17"/>
      <c r="AJ11" s="17"/>
      <c r="AK11" s="17"/>
      <c r="AL11" s="17"/>
      <c r="AN11" s="17"/>
      <c r="AO11" s="17"/>
      <c r="AP11" s="17"/>
      <c r="AQ11" s="17"/>
      <c r="AR11" s="17"/>
      <c r="AT11" s="17"/>
      <c r="AU11" s="17"/>
      <c r="AV11" s="17"/>
      <c r="AW11" s="17"/>
      <c r="AX11" s="17"/>
      <c r="AZ11" s="17"/>
      <c r="BA11" s="17"/>
      <c r="BB11" s="17"/>
      <c r="BC11" s="17"/>
      <c r="BD11" s="17"/>
      <c r="BF11" s="17"/>
      <c r="BG11" s="17"/>
      <c r="BH11" s="17"/>
      <c r="BI11" s="17"/>
      <c r="BJ11" s="17"/>
      <c r="BL11" s="17"/>
      <c r="BM11" s="17"/>
      <c r="BN11" s="17"/>
      <c r="BO11" s="17"/>
      <c r="BP11" s="17"/>
      <c r="BR11" s="17"/>
      <c r="BS11" s="17"/>
      <c r="BT11" s="17"/>
      <c r="BU11" s="17"/>
      <c r="BV11" s="17"/>
      <c r="BX11" s="17"/>
      <c r="BY11" s="129"/>
      <c r="BZ11" s="17"/>
      <c r="CA11" s="17"/>
      <c r="CB11" s="17"/>
      <c r="CD11" s="17"/>
      <c r="CE11" s="17"/>
      <c r="CF11" s="17"/>
      <c r="CG11" s="17"/>
      <c r="CH11" s="17"/>
      <c r="CJ11" s="17"/>
      <c r="CK11" s="17"/>
      <c r="CL11" s="17"/>
      <c r="CM11" s="17"/>
      <c r="CN11" s="17"/>
      <c r="CP11" s="17"/>
      <c r="CQ11" s="17"/>
      <c r="CR11" s="17"/>
      <c r="CS11" s="17"/>
      <c r="CT11" s="17"/>
      <c r="CV11" s="17"/>
      <c r="CW11" s="17"/>
      <c r="CX11" s="17"/>
      <c r="CY11" s="17"/>
      <c r="CZ11" s="17"/>
      <c r="DB11" s="17"/>
      <c r="DC11" s="17"/>
      <c r="DD11" s="17"/>
      <c r="DE11" s="17"/>
      <c r="DF11" s="17"/>
      <c r="DH11" s="354">
        <f>DH9-DH10</f>
        <v>27.303000000000004</v>
      </c>
      <c r="DI11" s="354">
        <f>DI9-DI10</f>
        <v>30.529999999999994</v>
      </c>
      <c r="DJ11" s="354">
        <f>DJ9-DJ10</f>
        <v>32.321000000000005</v>
      </c>
      <c r="DK11" s="354">
        <f>DK9-DK10</f>
        <v>37.110999999999997</v>
      </c>
      <c r="DL11" s="354">
        <f>SUM(DH11:DK11)</f>
        <v>127.26499999999999</v>
      </c>
      <c r="DM11" s="354"/>
      <c r="DN11" s="354">
        <f>DN9-DN10</f>
        <v>47.114999999999995</v>
      </c>
      <c r="DO11" s="354">
        <f>DO9-DO10</f>
        <v>48.965999999999994</v>
      </c>
      <c r="DP11" s="354">
        <f>DP9-DP10</f>
        <v>50.831999999999994</v>
      </c>
      <c r="DQ11" s="354">
        <f>DQ9-DQ10</f>
        <v>49.922999999999995</v>
      </c>
      <c r="DR11" s="354">
        <f>SUM(DN11:DQ11)</f>
        <v>196.83599999999998</v>
      </c>
      <c r="DS11" s="354"/>
      <c r="DT11" s="354">
        <f>DT9-DT10</f>
        <v>46.369</v>
      </c>
      <c r="DU11" s="354">
        <f>DU9-DU10</f>
        <v>28.006000000000007</v>
      </c>
      <c r="DV11" s="354">
        <f>DV9-DV10</f>
        <v>54.064999999999998</v>
      </c>
      <c r="DW11" s="354">
        <f>DW9-DW10</f>
        <v>57.453000000000003</v>
      </c>
      <c r="DX11" s="354">
        <f>SUM(DT11:DW11)</f>
        <v>185.893</v>
      </c>
      <c r="DY11" s="354"/>
      <c r="DZ11" s="354">
        <f>DZ9-DZ10</f>
        <v>41.573999999999998</v>
      </c>
      <c r="EA11" s="354">
        <f>EA9-EA10</f>
        <v>52.990000000000009</v>
      </c>
      <c r="EB11" s="354">
        <f>EB9-EB10</f>
        <v>47.239000000000004</v>
      </c>
      <c r="EC11" s="354">
        <f>EC9-EC10</f>
        <v>45.257000000000005</v>
      </c>
      <c r="ED11" s="354">
        <f>SUM(DZ11:EC11)</f>
        <v>187.06</v>
      </c>
      <c r="EE11" s="354"/>
      <c r="EF11" s="354">
        <f>EF9-EF10</f>
        <v>38.231999999999999</v>
      </c>
      <c r="EG11" s="354">
        <f>EG9-EG10</f>
        <v>43.945999999999998</v>
      </c>
      <c r="EH11" s="354">
        <f>EH9-EH10</f>
        <v>48.893000000000015</v>
      </c>
      <c r="EI11" s="354">
        <f>EI9-EI10</f>
        <v>56.825000000000017</v>
      </c>
      <c r="EJ11" s="354">
        <f>SUM(EF11:EI11)</f>
        <v>187.89600000000004</v>
      </c>
      <c r="EK11" s="354"/>
      <c r="EL11" s="354">
        <f>EL9-EL10</f>
        <v>54.813999999999993</v>
      </c>
      <c r="EM11" s="354">
        <f>EM9-EM10</f>
        <v>59.891000000000005</v>
      </c>
      <c r="EN11" s="354">
        <f>EN9-EN10</f>
        <v>62.311000000000007</v>
      </c>
      <c r="EO11" s="354">
        <f>EO9-EO10</f>
        <v>67.587999999999994</v>
      </c>
      <c r="EP11" s="354">
        <f>SUM(EL11:EO11)</f>
        <v>244.60400000000001</v>
      </c>
      <c r="EQ11" s="486"/>
      <c r="ER11" s="354">
        <f>ER9-ER10</f>
        <v>65.469000000000008</v>
      </c>
      <c r="ES11" s="354">
        <f>ES9-ES10</f>
        <v>72.494000000000014</v>
      </c>
      <c r="ET11" s="354">
        <f t="shared" ref="ET11:EU11" si="2">ET9-ET10</f>
        <v>74.88000000000001</v>
      </c>
      <c r="EU11" s="354">
        <f t="shared" si="2"/>
        <v>77.257000000000005</v>
      </c>
      <c r="EV11" s="456">
        <f>EV9-EV10</f>
        <v>290.10000000000002</v>
      </c>
      <c r="EW11" s="158"/>
      <c r="EX11" s="17">
        <f>EX9-EX10</f>
        <v>73.245999999999995</v>
      </c>
      <c r="EY11" s="17">
        <f>EY9-EY10</f>
        <v>77.25800000000001</v>
      </c>
      <c r="EZ11" s="17">
        <f>EZ9-EZ10</f>
        <v>80.445999999999998</v>
      </c>
      <c r="FA11" s="17">
        <f>FA9-FA10</f>
        <v>83.342999999999989</v>
      </c>
      <c r="FB11" s="456">
        <f>FB9-FB10</f>
        <v>314.29300000000001</v>
      </c>
      <c r="FC11" s="158"/>
      <c r="FD11" s="547"/>
      <c r="FE11" s="354"/>
      <c r="FF11" s="354"/>
      <c r="FG11" s="354"/>
      <c r="FH11" s="486"/>
      <c r="FI11" s="158"/>
      <c r="FJ11" s="354"/>
      <c r="FK11" s="354"/>
      <c r="FL11" s="354"/>
      <c r="FM11" s="354"/>
      <c r="FN11" s="486"/>
      <c r="FO11" s="158"/>
      <c r="FP11" s="354"/>
      <c r="FQ11" s="354"/>
      <c r="FR11" s="354"/>
      <c r="FS11" s="354"/>
      <c r="FT11" s="486"/>
      <c r="FU11" s="158"/>
      <c r="FV11" s="354"/>
      <c r="FW11" s="354"/>
      <c r="FX11" s="354"/>
      <c r="FY11" s="354"/>
      <c r="FZ11" s="486"/>
      <c r="GA11" s="158"/>
      <c r="GB11" s="354"/>
      <c r="GC11" s="354"/>
      <c r="GD11" s="354"/>
      <c r="GE11" s="354"/>
      <c r="GF11" s="486"/>
      <c r="GG11" s="158"/>
      <c r="GH11" s="354"/>
      <c r="GI11" s="354"/>
      <c r="GJ11" s="354"/>
      <c r="GK11" s="354"/>
      <c r="GL11" s="486"/>
      <c r="GM11" s="158"/>
      <c r="GN11" s="354"/>
      <c r="GO11" s="354"/>
      <c r="GP11" s="354"/>
      <c r="GQ11" s="354"/>
      <c r="GR11" s="486"/>
      <c r="GS11" s="158"/>
      <c r="GT11" s="354"/>
      <c r="GU11" s="354"/>
      <c r="GV11" s="354"/>
      <c r="GW11" s="354"/>
      <c r="GX11" s="486"/>
      <c r="GY11" s="156"/>
      <c r="GZ11" s="354"/>
      <c r="HA11" s="354"/>
      <c r="HB11" s="354"/>
      <c r="HC11" s="354"/>
      <c r="HD11" s="486"/>
      <c r="HE11" s="156"/>
      <c r="HH11" s="513"/>
      <c r="HI11" s="513"/>
      <c r="HJ11" s="513"/>
      <c r="HK11" s="513"/>
      <c r="HL11" s="513"/>
      <c r="HM11" s="513"/>
      <c r="HN11" s="513"/>
      <c r="HO11" s="513"/>
    </row>
    <row r="12" spans="2:223" hidden="1" outlineLevel="1">
      <c r="C12" s="8" t="s">
        <v>523</v>
      </c>
      <c r="D12" s="17"/>
      <c r="E12" s="17"/>
      <c r="F12" s="17"/>
      <c r="G12" s="17"/>
      <c r="H12" s="17"/>
      <c r="J12" s="17"/>
      <c r="K12" s="17"/>
      <c r="L12" s="17"/>
      <c r="M12" s="17"/>
      <c r="N12" s="17"/>
      <c r="P12" s="17"/>
      <c r="Q12" s="17"/>
      <c r="R12" s="17"/>
      <c r="S12" s="17"/>
      <c r="T12" s="17"/>
      <c r="U12" s="17"/>
      <c r="V12" s="17"/>
      <c r="W12" s="17"/>
      <c r="X12" s="17"/>
      <c r="Y12" s="17"/>
      <c r="Z12" s="17"/>
      <c r="AB12" s="17"/>
      <c r="AC12" s="17"/>
      <c r="AD12" s="17"/>
      <c r="AE12" s="17"/>
      <c r="AF12" s="17"/>
      <c r="AH12" s="17"/>
      <c r="AI12" s="17"/>
      <c r="AJ12" s="17"/>
      <c r="AK12" s="17"/>
      <c r="AL12" s="17"/>
      <c r="AN12" s="17"/>
      <c r="AO12" s="17"/>
      <c r="AP12" s="17"/>
      <c r="AQ12" s="17"/>
      <c r="AR12" s="17"/>
      <c r="AT12" s="17"/>
      <c r="AU12" s="17"/>
      <c r="AV12" s="17"/>
      <c r="AW12" s="17"/>
      <c r="AX12" s="17"/>
      <c r="AZ12" s="17"/>
      <c r="BA12" s="17"/>
      <c r="BB12" s="17"/>
      <c r="BC12" s="17"/>
      <c r="BD12" s="17"/>
      <c r="BF12" s="17"/>
      <c r="BG12" s="17"/>
      <c r="BH12" s="17"/>
      <c r="BI12" s="17"/>
      <c r="BJ12" s="17"/>
      <c r="BL12" s="17"/>
      <c r="BM12" s="17"/>
      <c r="BN12" s="17"/>
      <c r="BO12" s="17"/>
      <c r="BP12" s="17"/>
      <c r="BR12" s="17"/>
      <c r="BS12" s="17"/>
      <c r="BT12" s="17"/>
      <c r="BU12" s="17"/>
      <c r="BV12" s="17"/>
      <c r="BX12" s="17"/>
      <c r="BY12" s="129"/>
      <c r="BZ12" s="129"/>
      <c r="CA12" s="129"/>
      <c r="CB12" s="17"/>
      <c r="CD12" s="17"/>
      <c r="CE12" s="17"/>
      <c r="CF12" s="17"/>
      <c r="CG12" s="17"/>
      <c r="CH12" s="17"/>
      <c r="CJ12" s="17"/>
      <c r="CK12" s="17"/>
      <c r="CL12" s="17"/>
      <c r="CM12" s="17"/>
      <c r="CN12" s="17"/>
      <c r="CP12" s="17"/>
      <c r="CQ12" s="17"/>
      <c r="CR12" s="17"/>
      <c r="CS12" s="17"/>
      <c r="CT12" s="17"/>
      <c r="CV12" s="109"/>
      <c r="CW12" s="109"/>
      <c r="CX12" s="109"/>
      <c r="CY12" s="109"/>
      <c r="CZ12" s="17"/>
      <c r="DB12" s="109"/>
      <c r="DC12" s="109"/>
      <c r="DD12" s="109"/>
      <c r="DE12" s="109"/>
      <c r="DF12" s="17"/>
      <c r="DH12" s="633">
        <v>17.067</v>
      </c>
      <c r="DI12" s="633">
        <v>20.983000000000001</v>
      </c>
      <c r="DJ12" s="633">
        <v>21.055</v>
      </c>
      <c r="DK12" s="633">
        <v>25.716999999999999</v>
      </c>
      <c r="DL12" s="354">
        <f>SUM(DH12:DK12)</f>
        <v>84.822000000000003</v>
      </c>
      <c r="DM12" s="354"/>
      <c r="DN12" s="633">
        <v>32.142000000000003</v>
      </c>
      <c r="DO12" s="633">
        <v>29.577000000000002</v>
      </c>
      <c r="DP12" s="633">
        <v>33.054000000000002</v>
      </c>
      <c r="DQ12" s="633">
        <v>33.22</v>
      </c>
      <c r="DR12" s="354">
        <f>SUM(DN12:DQ12)</f>
        <v>127.99300000000001</v>
      </c>
      <c r="DS12" s="354"/>
      <c r="DT12" s="633">
        <v>36.344000000000001</v>
      </c>
      <c r="DU12" s="633">
        <v>34.613</v>
      </c>
      <c r="DV12" s="633">
        <v>36.128</v>
      </c>
      <c r="DW12" s="633">
        <v>36.709000000000003</v>
      </c>
      <c r="DX12" s="354">
        <f>SUM(DT12:DW12)</f>
        <v>143.79399999999998</v>
      </c>
      <c r="DY12" s="354"/>
      <c r="DZ12" s="633">
        <v>40.475999999999999</v>
      </c>
      <c r="EA12" s="633">
        <v>54.637999999999998</v>
      </c>
      <c r="EB12" s="633">
        <v>63.838999999999999</v>
      </c>
      <c r="EC12" s="633">
        <v>62.393999999999998</v>
      </c>
      <c r="ED12" s="354">
        <f>SUM(DZ12:EC12)</f>
        <v>221.34700000000001</v>
      </c>
      <c r="EE12" s="354"/>
      <c r="EF12" s="633">
        <v>66.248000000000005</v>
      </c>
      <c r="EG12" s="633">
        <v>57.951000000000001</v>
      </c>
      <c r="EH12" s="633">
        <v>64.281999999999996</v>
      </c>
      <c r="EI12" s="633">
        <v>57.854999999999997</v>
      </c>
      <c r="EJ12" s="354">
        <f>SUM(EF12:EI12)</f>
        <v>246.33599999999998</v>
      </c>
      <c r="EK12" s="354"/>
      <c r="EL12" s="633">
        <v>61.548999999999999</v>
      </c>
      <c r="EM12" s="633">
        <v>60.308</v>
      </c>
      <c r="EN12" s="633">
        <v>61.485999999999997</v>
      </c>
      <c r="EO12" s="633">
        <v>59.758000000000003</v>
      </c>
      <c r="EP12" s="354">
        <f>SUM(EL12:EO12)</f>
        <v>243.101</v>
      </c>
      <c r="EQ12" s="486"/>
      <c r="ER12" s="633">
        <v>65.796999999999997</v>
      </c>
      <c r="ES12" s="633">
        <v>63.328000000000003</v>
      </c>
      <c r="ET12" s="633">
        <v>66.968999999999994</v>
      </c>
      <c r="EU12" s="633">
        <v>63.643000000000001</v>
      </c>
      <c r="EV12" s="456">
        <f t="shared" si="0"/>
        <v>259.73699999999997</v>
      </c>
      <c r="EW12" s="158"/>
      <c r="EX12" s="109">
        <v>68.206999999999994</v>
      </c>
      <c r="EY12" s="109">
        <v>71.747</v>
      </c>
      <c r="EZ12" s="109">
        <v>69.873999999999995</v>
      </c>
      <c r="FA12" s="109">
        <v>63.509</v>
      </c>
      <c r="FB12" s="456">
        <f t="shared" ref="FB12:FB15" si="3">SUM(EX12:FA12)</f>
        <v>273.33699999999999</v>
      </c>
      <c r="FC12" s="158"/>
      <c r="FD12" s="664"/>
      <c r="FE12" s="486"/>
      <c r="FF12" s="486"/>
      <c r="FG12" s="486"/>
      <c r="FH12" s="486"/>
      <c r="FI12" s="158"/>
      <c r="FJ12" s="486"/>
      <c r="FK12" s="486"/>
      <c r="FL12" s="486"/>
      <c r="FM12" s="486"/>
      <c r="FN12" s="486"/>
      <c r="FO12" s="158"/>
      <c r="FP12" s="486"/>
      <c r="FQ12" s="486"/>
      <c r="FR12" s="486"/>
      <c r="FS12" s="486"/>
      <c r="FT12" s="486"/>
      <c r="FU12" s="158"/>
      <c r="FV12" s="486"/>
      <c r="FW12" s="486"/>
      <c r="FX12" s="486"/>
      <c r="FY12" s="486"/>
      <c r="FZ12" s="486"/>
      <c r="GA12" s="158"/>
      <c r="GB12" s="486"/>
      <c r="GC12" s="486"/>
      <c r="GD12" s="486"/>
      <c r="GE12" s="486"/>
      <c r="GF12" s="486"/>
      <c r="GG12" s="158"/>
      <c r="GH12" s="486"/>
      <c r="GI12" s="486"/>
      <c r="GJ12" s="486"/>
      <c r="GK12" s="486"/>
      <c r="GL12" s="486"/>
      <c r="GM12" s="158"/>
      <c r="GN12" s="486"/>
      <c r="GO12" s="486"/>
      <c r="GP12" s="486"/>
      <c r="GQ12" s="486"/>
      <c r="GR12" s="486"/>
      <c r="GS12" s="158"/>
      <c r="GT12" s="486"/>
      <c r="GU12" s="486"/>
      <c r="GV12" s="486"/>
      <c r="GW12" s="486"/>
      <c r="GX12" s="486"/>
      <c r="GY12" s="156"/>
      <c r="GZ12" s="486"/>
      <c r="HA12" s="486"/>
      <c r="HB12" s="486"/>
      <c r="HC12" s="486"/>
      <c r="HD12" s="486"/>
      <c r="HE12" s="156"/>
      <c r="HH12" s="513"/>
      <c r="HI12" s="513"/>
      <c r="HJ12" s="513"/>
      <c r="HK12" s="513"/>
      <c r="HL12" s="513"/>
      <c r="HM12" s="513"/>
      <c r="HN12" s="513"/>
      <c r="HO12" s="513"/>
    </row>
    <row r="13" spans="2:223" hidden="1" outlineLevel="1">
      <c r="C13" s="8" t="s">
        <v>524</v>
      </c>
      <c r="D13" s="17"/>
      <c r="E13" s="17"/>
      <c r="F13" s="17"/>
      <c r="G13" s="17"/>
      <c r="H13" s="17"/>
      <c r="J13" s="17"/>
      <c r="K13" s="17"/>
      <c r="L13" s="17"/>
      <c r="M13" s="17"/>
      <c r="N13" s="17"/>
      <c r="P13" s="17"/>
      <c r="Q13" s="17"/>
      <c r="R13" s="17"/>
      <c r="S13" s="17"/>
      <c r="T13" s="17"/>
      <c r="U13" s="17"/>
      <c r="V13" s="17"/>
      <c r="W13" s="17"/>
      <c r="X13" s="17"/>
      <c r="Y13" s="17"/>
      <c r="Z13" s="17"/>
      <c r="AB13" s="17"/>
      <c r="AC13" s="17"/>
      <c r="AD13" s="17"/>
      <c r="AE13" s="17"/>
      <c r="AF13" s="17"/>
      <c r="AH13" s="17"/>
      <c r="AI13" s="17"/>
      <c r="AJ13" s="17"/>
      <c r="AK13" s="17"/>
      <c r="AL13" s="17"/>
      <c r="AN13" s="17"/>
      <c r="AO13" s="17"/>
      <c r="AP13" s="17"/>
      <c r="AQ13" s="17"/>
      <c r="AR13" s="17"/>
      <c r="AT13" s="17"/>
      <c r="AU13" s="17"/>
      <c r="AV13" s="17"/>
      <c r="AW13" s="17"/>
      <c r="AX13" s="17"/>
      <c r="AZ13" s="17"/>
      <c r="BA13" s="17"/>
      <c r="BB13" s="17"/>
      <c r="BC13" s="17"/>
      <c r="BD13" s="17"/>
      <c r="BF13" s="17"/>
      <c r="BG13" s="17"/>
      <c r="BH13" s="17"/>
      <c r="BI13" s="17"/>
      <c r="BJ13" s="17"/>
      <c r="BL13" s="17"/>
      <c r="BM13" s="17"/>
      <c r="BN13" s="17"/>
      <c r="BO13" s="17"/>
      <c r="BP13" s="17"/>
      <c r="BR13" s="17"/>
      <c r="BS13" s="17"/>
      <c r="BT13" s="17"/>
      <c r="BU13" s="17"/>
      <c r="BV13" s="17"/>
      <c r="BX13" s="17"/>
      <c r="BY13" s="129"/>
      <c r="BZ13" s="129"/>
      <c r="CA13" s="129"/>
      <c r="CB13" s="17"/>
      <c r="CD13" s="17"/>
      <c r="CE13" s="17"/>
      <c r="CF13" s="17"/>
      <c r="CG13" s="17"/>
      <c r="CH13" s="17"/>
      <c r="CJ13" s="17"/>
      <c r="CK13" s="17"/>
      <c r="CL13" s="17"/>
      <c r="CM13" s="17"/>
      <c r="CN13" s="17"/>
      <c r="CP13" s="17"/>
      <c r="CQ13" s="17"/>
      <c r="CR13" s="17"/>
      <c r="CS13" s="17"/>
      <c r="CT13" s="17"/>
      <c r="CV13" s="109"/>
      <c r="CW13" s="109"/>
      <c r="CX13" s="109"/>
      <c r="CY13" s="109"/>
      <c r="CZ13" s="17"/>
      <c r="DB13" s="109"/>
      <c r="DC13" s="109"/>
      <c r="DD13" s="109"/>
      <c r="DE13" s="109"/>
      <c r="DF13" s="17"/>
      <c r="DH13" s="633">
        <v>6.7750000000000004</v>
      </c>
      <c r="DI13" s="633">
        <v>7.68</v>
      </c>
      <c r="DJ13" s="633">
        <v>6.9</v>
      </c>
      <c r="DK13" s="633">
        <v>8.0470000000000006</v>
      </c>
      <c r="DL13" s="354">
        <f>SUM(DH13:DK13)</f>
        <v>29.402000000000001</v>
      </c>
      <c r="DM13" s="354"/>
      <c r="DN13" s="633">
        <v>11.215999999999999</v>
      </c>
      <c r="DO13" s="633">
        <v>12.324</v>
      </c>
      <c r="DP13" s="633">
        <v>11.507999999999999</v>
      </c>
      <c r="DQ13" s="633">
        <v>12.302</v>
      </c>
      <c r="DR13" s="354">
        <f>SUM(DN13:DQ13)</f>
        <v>47.35</v>
      </c>
      <c r="DS13" s="354"/>
      <c r="DT13" s="633">
        <v>13.257999999999999</v>
      </c>
      <c r="DU13" s="633">
        <v>10.195</v>
      </c>
      <c r="DV13" s="633">
        <v>11.304</v>
      </c>
      <c r="DW13" s="633">
        <v>13.105</v>
      </c>
      <c r="DX13" s="354">
        <f>SUM(DT13:DW13)</f>
        <v>47.861999999999995</v>
      </c>
      <c r="DY13" s="354"/>
      <c r="DZ13" s="633">
        <v>13.749000000000001</v>
      </c>
      <c r="EA13" s="633">
        <v>17.224</v>
      </c>
      <c r="EB13" s="633">
        <v>15.704000000000001</v>
      </c>
      <c r="EC13" s="633">
        <v>15.917</v>
      </c>
      <c r="ED13" s="354">
        <f>SUM(DZ13:EC13)</f>
        <v>62.594000000000001</v>
      </c>
      <c r="EE13" s="354"/>
      <c r="EF13" s="633">
        <v>16.298999999999999</v>
      </c>
      <c r="EG13" s="633">
        <v>17.071000000000002</v>
      </c>
      <c r="EH13" s="633">
        <v>16.809000000000001</v>
      </c>
      <c r="EI13" s="633">
        <v>17.141999999999999</v>
      </c>
      <c r="EJ13" s="354">
        <f>SUM(EF13:EI13)</f>
        <v>67.320999999999998</v>
      </c>
      <c r="EK13" s="354"/>
      <c r="EL13" s="633">
        <v>16.259</v>
      </c>
      <c r="EM13" s="633">
        <v>18.901</v>
      </c>
      <c r="EN13" s="633">
        <v>17.61</v>
      </c>
      <c r="EO13" s="633">
        <v>18.071999999999999</v>
      </c>
      <c r="EP13" s="354">
        <f>SUM(EL13:EO13)</f>
        <v>70.841999999999999</v>
      </c>
      <c r="EQ13" s="486"/>
      <c r="ER13" s="633">
        <v>20.221</v>
      </c>
      <c r="ES13" s="633">
        <v>21.677</v>
      </c>
      <c r="ET13" s="633">
        <v>20.414999999999999</v>
      </c>
      <c r="EU13" s="633">
        <v>22.338999999999999</v>
      </c>
      <c r="EV13" s="456">
        <f t="shared" si="0"/>
        <v>84.651999999999987</v>
      </c>
      <c r="EW13" s="158"/>
      <c r="EX13" s="109">
        <v>22.683</v>
      </c>
      <c r="EY13" s="109">
        <v>24.074999999999999</v>
      </c>
      <c r="EZ13" s="109">
        <v>21.806000000000001</v>
      </c>
      <c r="FA13" s="109">
        <v>23.443000000000001</v>
      </c>
      <c r="FB13" s="456">
        <f t="shared" si="3"/>
        <v>92.006999999999991</v>
      </c>
      <c r="FC13" s="158"/>
      <c r="FD13" s="664"/>
      <c r="FE13" s="486"/>
      <c r="FF13" s="486"/>
      <c r="FG13" s="486"/>
      <c r="FH13" s="486"/>
      <c r="FI13" s="158"/>
      <c r="FJ13" s="486"/>
      <c r="FK13" s="486"/>
      <c r="FL13" s="486"/>
      <c r="FM13" s="486"/>
      <c r="FN13" s="486"/>
      <c r="FO13" s="158"/>
      <c r="FP13" s="486"/>
      <c r="FQ13" s="486"/>
      <c r="FR13" s="486"/>
      <c r="FS13" s="486"/>
      <c r="FT13" s="486"/>
      <c r="FU13" s="158"/>
      <c r="FV13" s="486"/>
      <c r="FW13" s="486"/>
      <c r="FX13" s="486"/>
      <c r="FY13" s="486"/>
      <c r="FZ13" s="486"/>
      <c r="GA13" s="158"/>
      <c r="GB13" s="486"/>
      <c r="GC13" s="486"/>
      <c r="GD13" s="486"/>
      <c r="GE13" s="486"/>
      <c r="GF13" s="486"/>
      <c r="GG13" s="158"/>
      <c r="GH13" s="486"/>
      <c r="GI13" s="486"/>
      <c r="GJ13" s="486"/>
      <c r="GK13" s="486"/>
      <c r="GL13" s="486"/>
      <c r="GM13" s="158"/>
      <c r="GN13" s="486"/>
      <c r="GO13" s="486"/>
      <c r="GP13" s="486"/>
      <c r="GQ13" s="486"/>
      <c r="GR13" s="486"/>
      <c r="GS13" s="158"/>
      <c r="GT13" s="486"/>
      <c r="GU13" s="486"/>
      <c r="GV13" s="486"/>
      <c r="GW13" s="486"/>
      <c r="GX13" s="486"/>
      <c r="GY13" s="156"/>
      <c r="GZ13" s="486"/>
      <c r="HA13" s="486"/>
      <c r="HB13" s="486"/>
      <c r="HC13" s="486"/>
      <c r="HD13" s="486"/>
      <c r="HE13" s="156"/>
      <c r="HH13" s="513"/>
      <c r="HI13" s="513"/>
      <c r="HJ13" s="513"/>
      <c r="HK13" s="513"/>
      <c r="HL13" s="513"/>
      <c r="HM13" s="513"/>
      <c r="HN13" s="513"/>
      <c r="HO13" s="513"/>
    </row>
    <row r="14" spans="2:223" hidden="1" outlineLevel="1">
      <c r="C14" s="8" t="s">
        <v>21</v>
      </c>
      <c r="D14" s="17"/>
      <c r="E14" s="17"/>
      <c r="F14" s="17"/>
      <c r="G14" s="17"/>
      <c r="H14" s="17"/>
      <c r="J14" s="17"/>
      <c r="K14" s="17"/>
      <c r="L14" s="17"/>
      <c r="M14" s="17"/>
      <c r="N14" s="17"/>
      <c r="P14" s="17"/>
      <c r="Q14" s="17"/>
      <c r="R14" s="17"/>
      <c r="S14" s="17"/>
      <c r="T14" s="17"/>
      <c r="V14" s="17"/>
      <c r="W14" s="17"/>
      <c r="X14" s="17"/>
      <c r="Y14" s="17"/>
      <c r="Z14" s="17"/>
      <c r="AB14" s="17"/>
      <c r="AC14" s="17"/>
      <c r="AD14" s="17"/>
      <c r="AE14" s="17"/>
      <c r="AF14" s="17"/>
      <c r="AH14" s="17"/>
      <c r="AI14" s="17"/>
      <c r="AJ14" s="17"/>
      <c r="AK14" s="17"/>
      <c r="AL14" s="17"/>
      <c r="AN14" s="17"/>
      <c r="AO14" s="17"/>
      <c r="AP14" s="17"/>
      <c r="AQ14" s="17"/>
      <c r="AR14" s="17"/>
      <c r="AT14" s="17"/>
      <c r="AU14" s="17"/>
      <c r="AV14" s="17"/>
      <c r="AW14" s="17"/>
      <c r="AX14" s="17"/>
      <c r="AZ14" s="17"/>
      <c r="BA14" s="17"/>
      <c r="BB14" s="17"/>
      <c r="BC14" s="17"/>
      <c r="BD14" s="17"/>
      <c r="BF14" s="17"/>
      <c r="BG14" s="17"/>
      <c r="BH14" s="17"/>
      <c r="BI14" s="17"/>
      <c r="BJ14" s="17"/>
      <c r="BL14" s="17"/>
      <c r="BM14" s="17"/>
      <c r="BN14" s="17"/>
      <c r="BO14" s="17"/>
      <c r="BP14" s="17"/>
      <c r="BR14" s="17"/>
      <c r="BS14" s="17"/>
      <c r="BT14" s="17"/>
      <c r="BU14" s="17"/>
      <c r="BV14" s="17"/>
      <c r="BX14" s="17"/>
      <c r="BY14" s="129"/>
      <c r="BZ14" s="129"/>
      <c r="CA14" s="129"/>
      <c r="CB14" s="17"/>
      <c r="CD14" s="17"/>
      <c r="CE14" s="17"/>
      <c r="CF14" s="17"/>
      <c r="CG14" s="17"/>
      <c r="CH14" s="17"/>
      <c r="CJ14" s="17"/>
      <c r="CK14" s="17"/>
      <c r="CL14" s="17"/>
      <c r="CM14" s="17"/>
      <c r="CN14" s="17"/>
      <c r="CP14" s="17"/>
      <c r="CQ14" s="17"/>
      <c r="CR14" s="17"/>
      <c r="CS14" s="17"/>
      <c r="CT14" s="17"/>
      <c r="CV14" s="109"/>
      <c r="CW14" s="109"/>
      <c r="CX14" s="109"/>
      <c r="CY14" s="109"/>
      <c r="CZ14" s="17"/>
      <c r="DB14" s="109"/>
      <c r="DC14" s="109"/>
      <c r="DD14" s="109"/>
      <c r="DE14" s="109"/>
      <c r="DF14" s="17"/>
      <c r="DH14" s="633">
        <v>0.95599999999999996</v>
      </c>
      <c r="DI14" s="633">
        <v>1.073</v>
      </c>
      <c r="DJ14" s="633">
        <v>0.44600000000000001</v>
      </c>
      <c r="DK14" s="633">
        <v>0.52600000000000002</v>
      </c>
      <c r="DL14" s="354">
        <f>SUM(DH14:DK14)</f>
        <v>3.0010000000000003</v>
      </c>
      <c r="DM14" s="354"/>
      <c r="DN14" s="633">
        <v>1.2090000000000001</v>
      </c>
      <c r="DO14" s="633">
        <v>2.5870000000000002</v>
      </c>
      <c r="DP14" s="633">
        <v>2.6110000000000002</v>
      </c>
      <c r="DQ14" s="633">
        <v>2.08</v>
      </c>
      <c r="DR14" s="354">
        <f>SUM(DN14:DQ14)</f>
        <v>8.4870000000000001</v>
      </c>
      <c r="DS14" s="354"/>
      <c r="DT14" s="633">
        <v>2.06</v>
      </c>
      <c r="DU14" s="633">
        <v>2.105</v>
      </c>
      <c r="DV14" s="633">
        <v>1.964</v>
      </c>
      <c r="DW14" s="633">
        <v>2.1</v>
      </c>
      <c r="DX14" s="354">
        <f>SUM(DT14:DW14)</f>
        <v>8.2289999999999992</v>
      </c>
      <c r="DY14" s="354"/>
      <c r="DZ14" s="633">
        <v>2.456</v>
      </c>
      <c r="EA14" s="633">
        <v>3.4950000000000001</v>
      </c>
      <c r="EB14" s="633">
        <v>7.4089999999999998</v>
      </c>
      <c r="EC14" s="633">
        <v>8.5129999999999999</v>
      </c>
      <c r="ED14" s="354">
        <f>SUM(DZ14:EC14)</f>
        <v>21.872999999999998</v>
      </c>
      <c r="EE14" s="354"/>
      <c r="EF14" s="633">
        <v>7.7130000000000001</v>
      </c>
      <c r="EG14" s="633">
        <v>8.6259999999999994</v>
      </c>
      <c r="EH14" s="633">
        <v>7.3120000000000003</v>
      </c>
      <c r="EI14" s="633">
        <v>6.6749999999999998</v>
      </c>
      <c r="EJ14" s="354">
        <f>SUM(EF14:EI14)</f>
        <v>30.326000000000001</v>
      </c>
      <c r="EK14" s="354"/>
      <c r="EL14" s="633">
        <v>7.3949999999999996</v>
      </c>
      <c r="EM14" s="633">
        <v>7.5019999999999998</v>
      </c>
      <c r="EN14" s="633">
        <v>5.2850000000000001</v>
      </c>
      <c r="EO14" s="633">
        <v>7.1269999999999998</v>
      </c>
      <c r="EP14" s="354">
        <f>SUM(EL14:EO14)</f>
        <v>27.308999999999997</v>
      </c>
      <c r="EQ14" s="486"/>
      <c r="ER14" s="633">
        <v>7.62</v>
      </c>
      <c r="ES14" s="633">
        <v>7.8860000000000001</v>
      </c>
      <c r="ET14" s="633">
        <v>7.6840000000000002</v>
      </c>
      <c r="EU14" s="633">
        <v>7.9690000000000003</v>
      </c>
      <c r="EV14" s="456">
        <f t="shared" si="0"/>
        <v>31.159000000000002</v>
      </c>
      <c r="EW14" s="158"/>
      <c r="EX14" s="109">
        <v>10.180999999999999</v>
      </c>
      <c r="EY14" s="109">
        <v>9.0229999999999997</v>
      </c>
      <c r="EZ14" s="109">
        <v>8.6940000000000008</v>
      </c>
      <c r="FA14" s="109">
        <v>9.1790000000000003</v>
      </c>
      <c r="FB14" s="456">
        <f t="shared" si="3"/>
        <v>37.077000000000005</v>
      </c>
      <c r="FC14" s="158"/>
      <c r="FD14" s="664"/>
      <c r="FE14" s="486"/>
      <c r="FF14" s="486"/>
      <c r="FG14" s="486"/>
      <c r="FH14" s="486"/>
      <c r="FI14" s="158"/>
      <c r="FJ14" s="486"/>
      <c r="FK14" s="486"/>
      <c r="FL14" s="486"/>
      <c r="FM14" s="486"/>
      <c r="FN14" s="486"/>
      <c r="FO14" s="158"/>
      <c r="FP14" s="486"/>
      <c r="FQ14" s="486"/>
      <c r="FR14" s="486"/>
      <c r="FS14" s="486"/>
      <c r="FT14" s="486"/>
      <c r="FU14" s="158"/>
      <c r="FV14" s="486"/>
      <c r="FW14" s="486"/>
      <c r="FX14" s="486"/>
      <c r="FY14" s="486"/>
      <c r="FZ14" s="486"/>
      <c r="GA14" s="158"/>
      <c r="GB14" s="486"/>
      <c r="GC14" s="486"/>
      <c r="GD14" s="486"/>
      <c r="GE14" s="486"/>
      <c r="GF14" s="486"/>
      <c r="GG14" s="158"/>
      <c r="GH14" s="486"/>
      <c r="GI14" s="486"/>
      <c r="GJ14" s="486"/>
      <c r="GK14" s="486"/>
      <c r="GL14" s="486"/>
      <c r="GM14" s="158"/>
      <c r="GN14" s="486"/>
      <c r="GO14" s="486"/>
      <c r="GP14" s="486"/>
      <c r="GQ14" s="486"/>
      <c r="GR14" s="486"/>
      <c r="GS14" s="158"/>
      <c r="GT14" s="486"/>
      <c r="GU14" s="486"/>
      <c r="GV14" s="486"/>
      <c r="GW14" s="486"/>
      <c r="GX14" s="486"/>
      <c r="GY14" s="156"/>
      <c r="GZ14" s="486"/>
      <c r="HA14" s="486"/>
      <c r="HB14" s="486"/>
      <c r="HC14" s="486"/>
      <c r="HD14" s="486"/>
      <c r="HE14" s="156"/>
      <c r="HH14" s="513"/>
      <c r="HI14" s="513"/>
      <c r="HJ14" s="513"/>
      <c r="HK14" s="513"/>
      <c r="HL14" s="513"/>
      <c r="HM14" s="513"/>
      <c r="HN14" s="513"/>
      <c r="HO14" s="513"/>
    </row>
    <row r="15" spans="2:223" s="19" customFormat="1" hidden="1" outlineLevel="1">
      <c r="C15" s="8" t="s">
        <v>22</v>
      </c>
      <c r="D15" s="18"/>
      <c r="E15" s="18"/>
      <c r="F15" s="18"/>
      <c r="G15" s="18"/>
      <c r="H15" s="18"/>
      <c r="J15" s="18"/>
      <c r="K15" s="18"/>
      <c r="L15" s="18"/>
      <c r="M15" s="18"/>
      <c r="N15" s="18"/>
      <c r="P15" s="18"/>
      <c r="Q15" s="18"/>
      <c r="R15" s="18"/>
      <c r="S15" s="18"/>
      <c r="T15" s="18"/>
      <c r="V15" s="18"/>
      <c r="W15" s="18"/>
      <c r="X15" s="18"/>
      <c r="Y15" s="18"/>
      <c r="Z15" s="18"/>
      <c r="AB15" s="18"/>
      <c r="AC15" s="18"/>
      <c r="AD15" s="18"/>
      <c r="AE15" s="18"/>
      <c r="AF15" s="18"/>
      <c r="AH15" s="18"/>
      <c r="AI15" s="18"/>
      <c r="AJ15" s="18"/>
      <c r="AK15" s="18"/>
      <c r="AL15" s="18"/>
      <c r="AN15" s="18"/>
      <c r="AO15" s="18"/>
      <c r="AP15" s="18"/>
      <c r="AQ15" s="18"/>
      <c r="AR15" s="18"/>
      <c r="AT15" s="18"/>
      <c r="AU15" s="18"/>
      <c r="AV15" s="18"/>
      <c r="AW15" s="18"/>
      <c r="AX15" s="18"/>
      <c r="AZ15" s="18"/>
      <c r="BA15" s="18"/>
      <c r="BB15" s="18"/>
      <c r="BC15" s="18"/>
      <c r="BD15" s="18"/>
      <c r="BF15" s="18"/>
      <c r="BG15" s="18"/>
      <c r="BH15" s="18"/>
      <c r="BI15" s="18"/>
      <c r="BJ15" s="18"/>
      <c r="BL15" s="18"/>
      <c r="BM15" s="18"/>
      <c r="BN15" s="18"/>
      <c r="BO15" s="18"/>
      <c r="BP15" s="18"/>
      <c r="BR15" s="18"/>
      <c r="BS15" s="18"/>
      <c r="BT15" s="18"/>
      <c r="BU15" s="18"/>
      <c r="BV15" s="18"/>
      <c r="BX15" s="18"/>
      <c r="BY15" s="117"/>
      <c r="BZ15" s="117"/>
      <c r="CA15" s="117"/>
      <c r="CB15" s="18"/>
      <c r="CD15" s="18"/>
      <c r="CE15" s="18"/>
      <c r="CF15" s="18"/>
      <c r="CG15" s="18"/>
      <c r="CH15" s="18"/>
      <c r="CJ15" s="18"/>
      <c r="CK15" s="18"/>
      <c r="CL15" s="18"/>
      <c r="CM15" s="18"/>
      <c r="CN15" s="18"/>
      <c r="CP15" s="18"/>
      <c r="CQ15" s="18"/>
      <c r="CR15" s="18"/>
      <c r="CS15" s="18"/>
      <c r="CT15" s="18"/>
      <c r="CV15" s="114"/>
      <c r="CW15" s="114"/>
      <c r="CX15" s="114"/>
      <c r="CY15" s="114"/>
      <c r="CZ15" s="18"/>
      <c r="DB15" s="114"/>
      <c r="DC15" s="114"/>
      <c r="DD15" s="114"/>
      <c r="DE15" s="114"/>
      <c r="DF15" s="18"/>
      <c r="DH15" s="663">
        <v>0</v>
      </c>
      <c r="DI15" s="663">
        <v>0</v>
      </c>
      <c r="DJ15" s="663">
        <v>0</v>
      </c>
      <c r="DK15" s="663">
        <v>0</v>
      </c>
      <c r="DL15" s="532">
        <f>SUM(DH15:DK15)</f>
        <v>0</v>
      </c>
      <c r="DM15" s="432"/>
      <c r="DN15" s="663">
        <v>0</v>
      </c>
      <c r="DO15" s="663">
        <v>0</v>
      </c>
      <c r="DP15" s="663">
        <v>0</v>
      </c>
      <c r="DQ15" s="663">
        <v>0</v>
      </c>
      <c r="DR15" s="532">
        <f>SUM(DN15:DQ15)</f>
        <v>0</v>
      </c>
      <c r="DS15" s="432"/>
      <c r="DT15" s="663">
        <v>0</v>
      </c>
      <c r="DU15" s="663">
        <v>0</v>
      </c>
      <c r="DV15" s="663">
        <v>0</v>
      </c>
      <c r="DW15" s="663">
        <v>0</v>
      </c>
      <c r="DX15" s="532">
        <f>SUM(DT15:DW15)</f>
        <v>0</v>
      </c>
      <c r="DY15" s="432"/>
      <c r="DZ15" s="663">
        <v>0</v>
      </c>
      <c r="EA15" s="663">
        <v>0</v>
      </c>
      <c r="EB15" s="663">
        <v>0</v>
      </c>
      <c r="EC15" s="663">
        <v>0</v>
      </c>
      <c r="ED15" s="532">
        <f>SUM(DZ15:EC15)</f>
        <v>0</v>
      </c>
      <c r="EE15" s="432"/>
      <c r="EF15" s="663">
        <v>0</v>
      </c>
      <c r="EG15" s="663">
        <v>0</v>
      </c>
      <c r="EH15" s="663">
        <v>0</v>
      </c>
      <c r="EI15" s="663">
        <v>1.536</v>
      </c>
      <c r="EJ15" s="532">
        <f>SUM(EF15:EI15)</f>
        <v>1.536</v>
      </c>
      <c r="EK15" s="432"/>
      <c r="EL15" s="663">
        <v>4.6840000000000002</v>
      </c>
      <c r="EM15" s="663">
        <v>3.0739999999999998</v>
      </c>
      <c r="EN15" s="663">
        <v>2.125</v>
      </c>
      <c r="EO15" s="663">
        <v>1.2050000000000001</v>
      </c>
      <c r="EP15" s="532">
        <f>SUM(EL15:EO15)</f>
        <v>11.087999999999999</v>
      </c>
      <c r="EQ15" s="432"/>
      <c r="ER15" s="663">
        <v>2.3980000000000001</v>
      </c>
      <c r="ES15" s="663">
        <v>1.544</v>
      </c>
      <c r="ET15" s="663">
        <v>1.0089999999999999</v>
      </c>
      <c r="EU15" s="663">
        <v>1.7070000000000001</v>
      </c>
      <c r="EV15" s="18">
        <f t="shared" si="0"/>
        <v>6.6580000000000004</v>
      </c>
      <c r="EW15" s="36"/>
      <c r="EX15" s="671">
        <v>0</v>
      </c>
      <c r="EY15" s="671">
        <v>20.041</v>
      </c>
      <c r="EZ15" s="671">
        <v>7.0860000000000003</v>
      </c>
      <c r="FA15" s="671">
        <v>0.626</v>
      </c>
      <c r="FB15" s="18">
        <f t="shared" si="3"/>
        <v>27.753000000000004</v>
      </c>
      <c r="FC15" s="36"/>
      <c r="FD15" s="545"/>
      <c r="FE15" s="432"/>
      <c r="FF15" s="432"/>
      <c r="FG15" s="432"/>
      <c r="FH15" s="432"/>
      <c r="FI15" s="36"/>
      <c r="FJ15" s="432"/>
      <c r="FK15" s="432"/>
      <c r="FL15" s="432"/>
      <c r="FM15" s="432"/>
      <c r="FN15" s="432"/>
      <c r="FO15" s="36"/>
      <c r="FP15" s="432"/>
      <c r="FQ15" s="432"/>
      <c r="FR15" s="432"/>
      <c r="FS15" s="432"/>
      <c r="FT15" s="432"/>
      <c r="FU15" s="36"/>
      <c r="FV15" s="432"/>
      <c r="FW15" s="432"/>
      <c r="FX15" s="432"/>
      <c r="FY15" s="432"/>
      <c r="FZ15" s="432"/>
      <c r="GA15" s="36"/>
      <c r="GB15" s="432"/>
      <c r="GC15" s="432"/>
      <c r="GD15" s="432"/>
      <c r="GE15" s="432"/>
      <c r="GF15" s="432"/>
      <c r="GG15" s="36"/>
      <c r="GH15" s="432"/>
      <c r="GI15" s="432"/>
      <c r="GJ15" s="432"/>
      <c r="GK15" s="432"/>
      <c r="GL15" s="432"/>
      <c r="GM15" s="36"/>
      <c r="GN15" s="432"/>
      <c r="GO15" s="432"/>
      <c r="GP15" s="432"/>
      <c r="GQ15" s="432"/>
      <c r="GR15" s="432"/>
      <c r="GS15" s="36"/>
      <c r="GT15" s="432"/>
      <c r="GU15" s="432"/>
      <c r="GV15" s="432"/>
      <c r="GW15" s="432"/>
      <c r="GX15" s="432"/>
      <c r="GY15" s="36"/>
      <c r="GZ15" s="432"/>
      <c r="HA15" s="432"/>
      <c r="HB15" s="432"/>
      <c r="HC15" s="432"/>
      <c r="HD15" s="432"/>
      <c r="HE15" s="36"/>
      <c r="HH15" s="521"/>
      <c r="HI15" s="521"/>
      <c r="HJ15" s="521"/>
      <c r="HK15" s="521"/>
      <c r="HL15" s="521"/>
      <c r="HM15" s="521"/>
      <c r="HN15" s="521"/>
      <c r="HO15" s="521"/>
    </row>
    <row r="16" spans="2:223" hidden="1" outlineLevel="1">
      <c r="B16" s="8" t="s">
        <v>406</v>
      </c>
      <c r="D16" s="106"/>
      <c r="E16" s="106"/>
      <c r="F16" s="106"/>
      <c r="G16" s="106"/>
      <c r="H16" s="106"/>
      <c r="J16" s="17"/>
      <c r="K16" s="17"/>
      <c r="L16" s="17"/>
      <c r="M16" s="17"/>
      <c r="N16" s="17"/>
      <c r="P16" s="106"/>
      <c r="Q16" s="106"/>
      <c r="R16" s="106"/>
      <c r="S16" s="106"/>
      <c r="T16" s="106"/>
      <c r="V16" s="17"/>
      <c r="W16" s="17"/>
      <c r="X16" s="17"/>
      <c r="Y16" s="17"/>
      <c r="Z16" s="17"/>
      <c r="AA16" s="17"/>
      <c r="AB16" s="17"/>
      <c r="AC16" s="17"/>
      <c r="AD16" s="17"/>
      <c r="AE16" s="17"/>
      <c r="AF16" s="17"/>
      <c r="AH16" s="17"/>
      <c r="AI16" s="17"/>
      <c r="AJ16" s="17"/>
      <c r="AK16" s="17"/>
      <c r="AL16" s="17"/>
      <c r="AN16" s="17"/>
      <c r="AO16" s="17"/>
      <c r="AP16" s="17"/>
      <c r="AQ16" s="17"/>
      <c r="AR16" s="17"/>
      <c r="AT16" s="17"/>
      <c r="AU16" s="17"/>
      <c r="AV16" s="17"/>
      <c r="AW16" s="17"/>
      <c r="AX16" s="17"/>
      <c r="AZ16" s="17"/>
      <c r="BA16" s="17"/>
      <c r="BB16" s="17"/>
      <c r="BC16" s="17"/>
      <c r="BD16" s="17"/>
      <c r="BE16" s="17"/>
      <c r="BF16" s="17"/>
      <c r="BG16" s="17"/>
      <c r="BH16" s="17"/>
      <c r="BI16" s="17"/>
      <c r="BJ16" s="17"/>
      <c r="BL16" s="17"/>
      <c r="BM16" s="17"/>
      <c r="BN16" s="17"/>
      <c r="BO16" s="17"/>
      <c r="BP16" s="17"/>
      <c r="BR16" s="17"/>
      <c r="BS16" s="17"/>
      <c r="BT16" s="17"/>
      <c r="BU16" s="17"/>
      <c r="BV16" s="17"/>
      <c r="BX16" s="17"/>
      <c r="BY16" s="129"/>
      <c r="BZ16" s="17"/>
      <c r="CA16" s="17"/>
      <c r="CB16" s="17"/>
      <c r="CD16" s="17"/>
      <c r="CE16" s="17"/>
      <c r="CF16" s="17"/>
      <c r="CG16" s="17"/>
      <c r="CH16" s="17"/>
      <c r="CJ16" s="17"/>
      <c r="CK16" s="17"/>
      <c r="CL16" s="17"/>
      <c r="CM16" s="17"/>
      <c r="CN16" s="17"/>
      <c r="CP16" s="17"/>
      <c r="CQ16" s="17"/>
      <c r="CR16" s="17"/>
      <c r="CS16" s="17"/>
      <c r="CT16" s="17"/>
      <c r="CV16" s="17"/>
      <c r="CW16" s="17"/>
      <c r="CX16" s="17"/>
      <c r="CY16" s="17"/>
      <c r="CZ16" s="17"/>
      <c r="DB16" s="17"/>
      <c r="DC16" s="17"/>
      <c r="DD16" s="17"/>
      <c r="DE16" s="17"/>
      <c r="DF16" s="17"/>
      <c r="DG16" s="17"/>
      <c r="DH16" s="354">
        <f>DH11-SUM(DH12:DH15)</f>
        <v>2.5050000000000061</v>
      </c>
      <c r="DI16" s="354">
        <f>DI11-SUM(DI12:DI15)</f>
        <v>0.79399999999999338</v>
      </c>
      <c r="DJ16" s="354">
        <f>DJ11-SUM(DJ12:DJ15)</f>
        <v>3.9200000000000053</v>
      </c>
      <c r="DK16" s="354">
        <f>DK11-SUM(DK12:DK15)</f>
        <v>2.820999999999998</v>
      </c>
      <c r="DL16" s="354">
        <f>DL11-SUM(DL12:DL15)</f>
        <v>10.039999999999978</v>
      </c>
      <c r="DM16" s="354"/>
      <c r="DN16" s="354">
        <f>DN11-SUM(DN12:DN15)</f>
        <v>2.5479999999999876</v>
      </c>
      <c r="DO16" s="354">
        <f>DO11-SUM(DO12:DO15)</f>
        <v>4.4779999999999873</v>
      </c>
      <c r="DP16" s="354">
        <f>DP11-SUM(DP12:DP15)</f>
        <v>3.6589999999999989</v>
      </c>
      <c r="DQ16" s="354">
        <f>DQ11-SUM(DQ12:DQ15)</f>
        <v>2.320999999999998</v>
      </c>
      <c r="DR16" s="354">
        <f>DR11-SUM(DR12:DR15)</f>
        <v>13.005999999999972</v>
      </c>
      <c r="DS16" s="354"/>
      <c r="DT16" s="354">
        <f>DT11-SUM(DT12:DT15)</f>
        <v>-5.2930000000000064</v>
      </c>
      <c r="DU16" s="354">
        <f>DU11-SUM(DU12:DU15)</f>
        <v>-18.906999999999989</v>
      </c>
      <c r="DV16" s="354">
        <f>DV11-SUM(DV12:DV15)</f>
        <v>4.6689999999999969</v>
      </c>
      <c r="DW16" s="354">
        <f>DW11-SUM(DW12:DW15)</f>
        <v>5.5389999999999944</v>
      </c>
      <c r="DX16" s="354">
        <f>DX11-SUM(DX12:DX15)</f>
        <v>-13.99199999999999</v>
      </c>
      <c r="DY16" s="354"/>
      <c r="DZ16" s="354">
        <f>DZ11-SUM(DZ12:DZ15)</f>
        <v>-15.107000000000006</v>
      </c>
      <c r="EA16" s="354">
        <f>EA11-SUM(EA12:EA15)</f>
        <v>-22.36699999999999</v>
      </c>
      <c r="EB16" s="354">
        <f>EB11-SUM(EB12:EB15)</f>
        <v>-39.713000000000008</v>
      </c>
      <c r="EC16" s="354">
        <f>EC11-SUM(EC12:EC15)</f>
        <v>-41.566999999999993</v>
      </c>
      <c r="ED16" s="354">
        <f>ED11-SUM(ED12:ED15)</f>
        <v>-118.75400000000002</v>
      </c>
      <c r="EE16" s="354"/>
      <c r="EF16" s="354">
        <f>EF11-SUM(EF12:EF15)</f>
        <v>-52.027999999999992</v>
      </c>
      <c r="EG16" s="354">
        <f>EG11-SUM(EG12:EG15)</f>
        <v>-39.702000000000012</v>
      </c>
      <c r="EH16" s="354">
        <f>EH11-SUM(EH12:EH15)</f>
        <v>-39.509999999999977</v>
      </c>
      <c r="EI16" s="354">
        <f>EI11-SUM(EI12:EI15)</f>
        <v>-26.382999999999981</v>
      </c>
      <c r="EJ16" s="354">
        <f>EJ11-SUM(EJ12:EJ15)</f>
        <v>-157.62299999999996</v>
      </c>
      <c r="EK16" s="354"/>
      <c r="EL16" s="354">
        <f>EL11-SUM(EL12:EL15)</f>
        <v>-35.072999999999993</v>
      </c>
      <c r="EM16" s="354">
        <f>EM11-SUM(EM12:EM15)</f>
        <v>-29.893999999999991</v>
      </c>
      <c r="EN16" s="354">
        <f>EN11-SUM(EN12:EN15)</f>
        <v>-24.194999999999993</v>
      </c>
      <c r="EO16" s="354">
        <f>EO11-SUM(EO12:EO15)</f>
        <v>-18.573999999999998</v>
      </c>
      <c r="EP16" s="354">
        <f>EP11-SUM(EP12:EP15)</f>
        <v>-107.73599999999996</v>
      </c>
      <c r="EQ16" s="354"/>
      <c r="ER16" s="354">
        <f>ER11-SUM(ER12:ER15)</f>
        <v>-30.566999999999993</v>
      </c>
      <c r="ES16" s="354">
        <f>ES11-SUM(ES12:ES15)</f>
        <v>-21.940999999999974</v>
      </c>
      <c r="ET16" s="354">
        <v>-21.196999999999999</v>
      </c>
      <c r="EU16" s="633">
        <v>-18.401</v>
      </c>
      <c r="EV16" s="456">
        <f>EV11-SUM(EV12:EV15)</f>
        <v>-92.105999999999938</v>
      </c>
      <c r="EW16" s="17"/>
      <c r="EX16" s="17">
        <f>EX11-SUM(EX12:EX15)</f>
        <v>-27.824999999999989</v>
      </c>
      <c r="EY16" s="17">
        <f>EY11-SUM(EY12:EY15)</f>
        <v>-47.627999999999986</v>
      </c>
      <c r="EZ16" s="17">
        <f>EZ11-SUM(EZ12:EZ15)</f>
        <v>-27.013999999999996</v>
      </c>
      <c r="FA16" s="17">
        <f>FA11-SUM(FA12:FA15)</f>
        <v>-13.414000000000016</v>
      </c>
      <c r="FB16" s="456">
        <f>FB11-SUM(FB12:FB15)</f>
        <v>-115.88099999999997</v>
      </c>
      <c r="FC16" s="17"/>
      <c r="FD16" s="547"/>
      <c r="FE16" s="354"/>
      <c r="FF16" s="354"/>
      <c r="FG16" s="354"/>
      <c r="FH16" s="354"/>
      <c r="FI16" s="17"/>
      <c r="FJ16" s="354"/>
      <c r="FK16" s="354"/>
      <c r="FL16" s="354"/>
      <c r="FM16" s="354"/>
      <c r="FN16" s="354"/>
      <c r="FO16" s="17"/>
      <c r="FP16" s="354"/>
      <c r="FQ16" s="354"/>
      <c r="FR16" s="354"/>
      <c r="FS16" s="354"/>
      <c r="FT16" s="354"/>
      <c r="FU16" s="17"/>
      <c r="FV16" s="354"/>
      <c r="FW16" s="354"/>
      <c r="FX16" s="354"/>
      <c r="FY16" s="354"/>
      <c r="FZ16" s="354"/>
      <c r="GA16" s="17"/>
      <c r="GB16" s="354"/>
      <c r="GC16" s="354"/>
      <c r="GD16" s="354"/>
      <c r="GE16" s="354"/>
      <c r="GF16" s="354"/>
      <c r="GG16" s="17"/>
      <c r="GH16" s="354"/>
      <c r="GI16" s="354"/>
      <c r="GJ16" s="354"/>
      <c r="GK16" s="354"/>
      <c r="GL16" s="354"/>
      <c r="GM16" s="17"/>
      <c r="GN16" s="354"/>
      <c r="GO16" s="354"/>
      <c r="GP16" s="354"/>
      <c r="GQ16" s="354"/>
      <c r="GR16" s="354"/>
      <c r="GS16" s="17"/>
      <c r="GT16" s="354"/>
      <c r="GU16" s="354"/>
      <c r="GV16" s="354"/>
      <c r="GW16" s="354"/>
      <c r="GX16" s="354"/>
      <c r="GZ16" s="354"/>
      <c r="HA16" s="354"/>
      <c r="HB16" s="354"/>
      <c r="HC16" s="354"/>
      <c r="HD16" s="354"/>
      <c r="HH16" s="513"/>
      <c r="HI16" s="513"/>
      <c r="HJ16" s="513"/>
      <c r="HK16" s="513"/>
      <c r="HL16" s="513"/>
      <c r="HM16" s="513"/>
      <c r="HN16" s="513"/>
      <c r="HO16" s="513"/>
    </row>
    <row r="17" spans="2:223" hidden="1" outlineLevel="1">
      <c r="C17" s="8" t="s">
        <v>24</v>
      </c>
      <c r="D17" s="17"/>
      <c r="E17" s="17"/>
      <c r="F17" s="17"/>
      <c r="G17" s="17"/>
      <c r="H17" s="17"/>
      <c r="J17" s="17"/>
      <c r="K17" s="17"/>
      <c r="L17" s="17"/>
      <c r="M17" s="17"/>
      <c r="N17" s="17"/>
      <c r="P17" s="17"/>
      <c r="Q17" s="17"/>
      <c r="R17" s="17"/>
      <c r="S17" s="17"/>
      <c r="T17" s="17"/>
      <c r="V17" s="17"/>
      <c r="W17" s="17"/>
      <c r="X17" s="17"/>
      <c r="Y17" s="17"/>
      <c r="Z17" s="17"/>
      <c r="AB17" s="17"/>
      <c r="AC17" s="17"/>
      <c r="AD17" s="17"/>
      <c r="AE17" s="17"/>
      <c r="AF17" s="17"/>
      <c r="AH17" s="17"/>
      <c r="AI17" s="17"/>
      <c r="AJ17" s="17"/>
      <c r="AK17" s="17"/>
      <c r="AL17" s="17"/>
      <c r="AN17" s="17"/>
      <c r="AO17" s="17"/>
      <c r="AP17" s="17"/>
      <c r="AQ17" s="17"/>
      <c r="AR17" s="17"/>
      <c r="AT17" s="17"/>
      <c r="AU17" s="17"/>
      <c r="AV17" s="17"/>
      <c r="AW17" s="17"/>
      <c r="AX17" s="17"/>
      <c r="AZ17" s="17"/>
      <c r="BA17" s="17"/>
      <c r="BB17" s="17"/>
      <c r="BC17" s="17"/>
      <c r="BD17" s="17"/>
      <c r="BF17" s="17"/>
      <c r="BG17" s="17"/>
      <c r="BH17" s="17"/>
      <c r="BI17" s="17"/>
      <c r="BJ17" s="17"/>
      <c r="BL17" s="17"/>
      <c r="BM17" s="17"/>
      <c r="BN17" s="17"/>
      <c r="BO17" s="17"/>
      <c r="BP17" s="17"/>
      <c r="BR17" s="17"/>
      <c r="BS17" s="17"/>
      <c r="BT17" s="17"/>
      <c r="BU17" s="17"/>
      <c r="BV17" s="17"/>
      <c r="BX17" s="17"/>
      <c r="BY17" s="129"/>
      <c r="BZ17" s="17"/>
      <c r="CA17" s="17"/>
      <c r="CB17" s="17"/>
      <c r="CD17" s="17"/>
      <c r="CE17" s="17"/>
      <c r="CF17" s="17"/>
      <c r="CG17" s="17"/>
      <c r="CH17" s="17"/>
      <c r="CJ17" s="17"/>
      <c r="CK17" s="17"/>
      <c r="CL17" s="17"/>
      <c r="CM17" s="17"/>
      <c r="CN17" s="17"/>
      <c r="CP17" s="17"/>
      <c r="CQ17" s="17"/>
      <c r="CR17" s="17"/>
      <c r="CS17" s="17"/>
      <c r="CT17" s="17"/>
      <c r="CV17" s="109"/>
      <c r="CW17" s="109"/>
      <c r="CX17" s="109"/>
      <c r="CY17" s="109"/>
      <c r="CZ17" s="17"/>
      <c r="DB17" s="109"/>
      <c r="DC17" s="109"/>
      <c r="DD17" s="109"/>
      <c r="DE17" s="109"/>
      <c r="DF17" s="17"/>
      <c r="DH17" s="633">
        <v>1.486</v>
      </c>
      <c r="DI17" s="633">
        <v>1.407</v>
      </c>
      <c r="DJ17" s="633">
        <v>1.873</v>
      </c>
      <c r="DK17" s="633">
        <v>1.464</v>
      </c>
      <c r="DL17" s="354">
        <f>SUM(DH17:DK17)</f>
        <v>6.23</v>
      </c>
      <c r="DM17" s="425"/>
      <c r="DN17" s="633">
        <v>1.8260000000000001</v>
      </c>
      <c r="DO17" s="633">
        <v>1.304</v>
      </c>
      <c r="DP17" s="633">
        <v>0.20300000000000001</v>
      </c>
      <c r="DQ17" s="633">
        <v>0.38</v>
      </c>
      <c r="DR17" s="354">
        <f>SUM(DN17:DQ17)</f>
        <v>3.7129999999999996</v>
      </c>
      <c r="DS17" s="425"/>
      <c r="DT17" s="633">
        <v>0.81899999999999995</v>
      </c>
      <c r="DU17" s="633">
        <v>1.548</v>
      </c>
      <c r="DV17" s="633">
        <v>2.4580000000000002</v>
      </c>
      <c r="DW17" s="633">
        <v>2.194</v>
      </c>
      <c r="DX17" s="354">
        <f>SUM(DT17:DW17)</f>
        <v>7.0190000000000001</v>
      </c>
      <c r="DY17" s="354"/>
      <c r="DZ17" s="633">
        <v>1.177</v>
      </c>
      <c r="EA17" s="633">
        <v>0.90200000000000002</v>
      </c>
      <c r="EB17" s="633">
        <v>1.296</v>
      </c>
      <c r="EC17" s="633">
        <v>1.7070000000000001</v>
      </c>
      <c r="ED17" s="354">
        <f>SUM(DZ17:EC17)</f>
        <v>5.0819999999999999</v>
      </c>
      <c r="EE17" s="354"/>
      <c r="EF17" s="633">
        <v>1.3009999999999999</v>
      </c>
      <c r="EG17" s="633">
        <v>0.92600000000000005</v>
      </c>
      <c r="EH17" s="633">
        <v>0.13900000000000001</v>
      </c>
      <c r="EI17" s="633">
        <v>0</v>
      </c>
      <c r="EJ17" s="354">
        <f>SUM(EF17:EI17)</f>
        <v>2.3659999999999997</v>
      </c>
      <c r="EK17" s="354"/>
      <c r="EL17" s="633">
        <v>0</v>
      </c>
      <c r="EM17" s="633">
        <v>0</v>
      </c>
      <c r="EN17" s="633">
        <v>0</v>
      </c>
      <c r="EO17" s="633">
        <v>1.681</v>
      </c>
      <c r="EP17" s="354">
        <f>SUM(EL17:EO17)</f>
        <v>1.681</v>
      </c>
      <c r="EQ17" s="354"/>
      <c r="ER17" s="633">
        <v>1.6850000000000001</v>
      </c>
      <c r="ES17" s="633">
        <v>1.6659999999999999</v>
      </c>
      <c r="ET17" s="633">
        <v>1.6419999999999999</v>
      </c>
      <c r="EU17" s="633">
        <v>1.6240000000000001</v>
      </c>
      <c r="EV17" s="456">
        <f t="shared" si="0"/>
        <v>6.6170000000000009</v>
      </c>
      <c r="EW17" s="17"/>
      <c r="EX17" s="109">
        <v>1.6180000000000001</v>
      </c>
      <c r="EY17" s="109">
        <v>0.93300000000000005</v>
      </c>
      <c r="EZ17" s="109">
        <v>0.60299999999999998</v>
      </c>
      <c r="FA17" s="109">
        <v>0.59899999999999998</v>
      </c>
      <c r="FB17" s="456">
        <f t="shared" ref="FB17:FB19" si="4">SUM(EX17:FA17)</f>
        <v>3.7530000000000001</v>
      </c>
      <c r="FC17" s="17"/>
      <c r="FD17" s="547"/>
      <c r="FE17" s="354"/>
      <c r="FF17" s="354"/>
      <c r="FG17" s="354"/>
      <c r="FH17" s="354"/>
      <c r="FI17" s="17"/>
      <c r="FJ17" s="354"/>
      <c r="FK17" s="354"/>
      <c r="FL17" s="354"/>
      <c r="FM17" s="354"/>
      <c r="FN17" s="354"/>
      <c r="FO17" s="17"/>
      <c r="FP17" s="354"/>
      <c r="FQ17" s="354"/>
      <c r="FR17" s="354"/>
      <c r="FS17" s="354"/>
      <c r="FT17" s="354"/>
      <c r="FU17" s="17"/>
      <c r="FV17" s="354"/>
      <c r="FW17" s="354"/>
      <c r="FX17" s="354"/>
      <c r="FY17" s="354"/>
      <c r="FZ17" s="354"/>
      <c r="GA17" s="17"/>
      <c r="GB17" s="354"/>
      <c r="GC17" s="354"/>
      <c r="GD17" s="354"/>
      <c r="GE17" s="354"/>
      <c r="GF17" s="354"/>
      <c r="GG17" s="17"/>
      <c r="GH17" s="354"/>
      <c r="GI17" s="354"/>
      <c r="GJ17" s="354"/>
      <c r="GK17" s="354"/>
      <c r="GL17" s="354"/>
      <c r="GM17" s="17"/>
      <c r="GN17" s="354"/>
      <c r="GO17" s="354"/>
      <c r="GP17" s="354"/>
      <c r="GQ17" s="354"/>
      <c r="GR17" s="354"/>
      <c r="GS17" s="17"/>
      <c r="GT17" s="354"/>
      <c r="GU17" s="354"/>
      <c r="GV17" s="354"/>
      <c r="GW17" s="354"/>
      <c r="GX17" s="354"/>
      <c r="GZ17" s="354"/>
      <c r="HA17" s="354"/>
      <c r="HB17" s="354"/>
      <c r="HC17" s="354"/>
      <c r="HD17" s="354"/>
      <c r="HH17" s="513"/>
      <c r="HI17" s="513"/>
      <c r="HJ17" s="513"/>
      <c r="HK17" s="513"/>
      <c r="HL17" s="513"/>
      <c r="HM17" s="513"/>
      <c r="HN17" s="513"/>
      <c r="HO17" s="513"/>
    </row>
    <row r="18" spans="2:223" hidden="1" outlineLevel="1">
      <c r="C18" s="8" t="s">
        <v>25</v>
      </c>
      <c r="D18" s="17"/>
      <c r="E18" s="17"/>
      <c r="F18" s="17"/>
      <c r="G18" s="17"/>
      <c r="H18" s="17"/>
      <c r="J18" s="17"/>
      <c r="K18" s="17"/>
      <c r="L18" s="17"/>
      <c r="M18" s="17"/>
      <c r="N18" s="17"/>
      <c r="P18" s="17"/>
      <c r="Q18" s="17"/>
      <c r="R18" s="17"/>
      <c r="S18" s="17"/>
      <c r="T18" s="17"/>
      <c r="V18" s="17"/>
      <c r="W18" s="17"/>
      <c r="X18" s="17"/>
      <c r="Y18" s="17"/>
      <c r="Z18" s="17"/>
      <c r="AB18" s="17"/>
      <c r="AC18" s="17"/>
      <c r="AD18" s="17"/>
      <c r="AE18" s="17"/>
      <c r="AF18" s="17"/>
      <c r="AH18" s="17"/>
      <c r="AI18" s="17"/>
      <c r="AJ18" s="17"/>
      <c r="AK18" s="17"/>
      <c r="AL18" s="17"/>
      <c r="AN18" s="17"/>
      <c r="AO18" s="17"/>
      <c r="AP18" s="17"/>
      <c r="AQ18" s="17"/>
      <c r="AR18" s="17"/>
      <c r="AT18" s="17"/>
      <c r="AU18" s="17"/>
      <c r="AV18" s="17"/>
      <c r="AW18" s="17"/>
      <c r="AX18" s="17"/>
      <c r="AZ18" s="17"/>
      <c r="BA18" s="17"/>
      <c r="BB18" s="17"/>
      <c r="BC18" s="17"/>
      <c r="BD18" s="17"/>
      <c r="BF18" s="17"/>
      <c r="BG18" s="17"/>
      <c r="BH18" s="17"/>
      <c r="BI18" s="17"/>
      <c r="BJ18" s="17"/>
      <c r="BL18" s="17"/>
      <c r="BM18" s="17"/>
      <c r="BN18" s="17"/>
      <c r="BO18" s="17"/>
      <c r="BP18" s="17"/>
      <c r="BR18" s="17"/>
      <c r="BS18" s="17"/>
      <c r="BT18" s="17"/>
      <c r="BU18" s="17"/>
      <c r="BV18" s="17"/>
      <c r="BX18" s="17"/>
      <c r="BY18" s="129"/>
      <c r="BZ18" s="17"/>
      <c r="CA18" s="17"/>
      <c r="CB18" s="17"/>
      <c r="CD18" s="17"/>
      <c r="CE18" s="17"/>
      <c r="CF18" s="17"/>
      <c r="CG18" s="17"/>
      <c r="CH18" s="17"/>
      <c r="CJ18" s="17"/>
      <c r="CK18" s="17"/>
      <c r="CL18" s="17"/>
      <c r="CM18" s="17"/>
      <c r="CN18" s="17"/>
      <c r="CP18" s="17"/>
      <c r="CQ18" s="17"/>
      <c r="CR18" s="17"/>
      <c r="CS18" s="17"/>
      <c r="CT18" s="17"/>
      <c r="CV18" s="109"/>
      <c r="CW18" s="109"/>
      <c r="CX18" s="109"/>
      <c r="CY18" s="109"/>
      <c r="CZ18" s="17"/>
      <c r="DB18" s="109"/>
      <c r="DC18" s="109"/>
      <c r="DD18" s="109"/>
      <c r="DE18" s="109"/>
      <c r="DF18" s="17"/>
      <c r="DH18" s="633">
        <v>0</v>
      </c>
      <c r="DI18" s="633">
        <v>0</v>
      </c>
      <c r="DJ18" s="633">
        <v>0</v>
      </c>
      <c r="DK18" s="633">
        <v>0</v>
      </c>
      <c r="DL18" s="354">
        <f>SUM(DH18:DK18)</f>
        <v>0</v>
      </c>
      <c r="DM18" s="354"/>
      <c r="DN18" s="633">
        <v>0</v>
      </c>
      <c r="DO18" s="633">
        <v>0</v>
      </c>
      <c r="DP18" s="633">
        <v>0</v>
      </c>
      <c r="DQ18" s="633">
        <v>0</v>
      </c>
      <c r="DR18" s="354">
        <f>SUM(DN18:DQ18)</f>
        <v>0</v>
      </c>
      <c r="DS18" s="354"/>
      <c r="DT18" s="633">
        <v>0</v>
      </c>
      <c r="DU18" s="633">
        <v>0</v>
      </c>
      <c r="DV18" s="633">
        <v>0</v>
      </c>
      <c r="DW18" s="633">
        <v>0</v>
      </c>
      <c r="DX18" s="354">
        <f>SUM(DT18:DW18)</f>
        <v>0</v>
      </c>
      <c r="DY18" s="354"/>
      <c r="DZ18" s="633">
        <v>0</v>
      </c>
      <c r="EA18" s="633">
        <v>0</v>
      </c>
      <c r="EB18" s="633">
        <v>0</v>
      </c>
      <c r="EC18" s="633">
        <v>0</v>
      </c>
      <c r="ED18" s="354">
        <f>SUM(DZ18:EC18)</f>
        <v>0</v>
      </c>
      <c r="EE18" s="354"/>
      <c r="EF18" s="633">
        <v>0</v>
      </c>
      <c r="EG18" s="633">
        <v>0</v>
      </c>
      <c r="EH18" s="633">
        <v>0</v>
      </c>
      <c r="EI18" s="633">
        <v>-0.86</v>
      </c>
      <c r="EJ18" s="354">
        <f>SUM(EF18:EI18)</f>
        <v>-0.86</v>
      </c>
      <c r="EK18" s="354"/>
      <c r="EL18" s="633">
        <v>-1.4670000000000001</v>
      </c>
      <c r="EM18" s="633">
        <v>-2.524</v>
      </c>
      <c r="EN18" s="633">
        <v>-2.84</v>
      </c>
      <c r="EO18" s="633">
        <v>-4.8449999999999998</v>
      </c>
      <c r="EP18" s="354">
        <f>SUM(EL18:EO18)</f>
        <v>-11.675999999999998</v>
      </c>
      <c r="EQ18" s="354"/>
      <c r="ER18" s="633">
        <v>-4.8339999999999996</v>
      </c>
      <c r="ES18" s="633">
        <v>-4.5919999999999996</v>
      </c>
      <c r="ET18" s="633">
        <v>-4.673</v>
      </c>
      <c r="EU18" s="633">
        <v>-4.3280000000000003</v>
      </c>
      <c r="EV18" s="456">
        <f t="shared" si="0"/>
        <v>-18.427</v>
      </c>
      <c r="EW18" s="17"/>
      <c r="EX18" s="109">
        <v>-3.7210000000000001</v>
      </c>
      <c r="EY18" s="109">
        <f>-2.263</f>
        <v>-2.2629999999999999</v>
      </c>
      <c r="EZ18" s="109">
        <v>-1.5629999999999999</v>
      </c>
      <c r="FA18" s="109">
        <v>-1.5229999999999999</v>
      </c>
      <c r="FB18" s="456">
        <f t="shared" si="4"/>
        <v>-9.07</v>
      </c>
      <c r="FC18" s="17"/>
      <c r="FD18" s="547"/>
      <c r="FE18" s="354"/>
      <c r="FF18" s="354"/>
      <c r="FG18" s="354"/>
      <c r="FH18" s="354"/>
      <c r="FI18" s="17"/>
      <c r="FJ18" s="354"/>
      <c r="FK18" s="354"/>
      <c r="FL18" s="354"/>
      <c r="FM18" s="354"/>
      <c r="FN18" s="354"/>
      <c r="FO18" s="17"/>
      <c r="FP18" s="354"/>
      <c r="FQ18" s="354"/>
      <c r="FR18" s="354"/>
      <c r="FS18" s="354"/>
      <c r="FT18" s="354"/>
      <c r="FU18" s="17"/>
      <c r="FV18" s="354"/>
      <c r="FW18" s="354"/>
      <c r="FX18" s="354"/>
      <c r="FY18" s="354"/>
      <c r="FZ18" s="354"/>
      <c r="GA18" s="17"/>
      <c r="GB18" s="354"/>
      <c r="GC18" s="354"/>
      <c r="GD18" s="354"/>
      <c r="GE18" s="354"/>
      <c r="GF18" s="354"/>
      <c r="GG18" s="17"/>
      <c r="GH18" s="354"/>
      <c r="GI18" s="354"/>
      <c r="GJ18" s="354"/>
      <c r="GK18" s="354"/>
      <c r="GL18" s="354"/>
      <c r="GM18" s="17"/>
      <c r="GN18" s="354"/>
      <c r="GO18" s="354"/>
      <c r="GP18" s="354"/>
      <c r="GQ18" s="354"/>
      <c r="GR18" s="354"/>
      <c r="GS18" s="17"/>
      <c r="GT18" s="354"/>
      <c r="GU18" s="354"/>
      <c r="GV18" s="354"/>
      <c r="GW18" s="354"/>
      <c r="GX18" s="354"/>
      <c r="GZ18" s="354"/>
      <c r="HA18" s="354"/>
      <c r="HB18" s="354"/>
      <c r="HC18" s="354"/>
      <c r="HD18" s="354"/>
      <c r="HH18" s="513"/>
      <c r="HI18" s="513"/>
      <c r="HJ18" s="513"/>
      <c r="HK18" s="513"/>
      <c r="HL18" s="513"/>
      <c r="HM18" s="513"/>
      <c r="HN18" s="513"/>
      <c r="HO18" s="513"/>
    </row>
    <row r="19" spans="2:223" s="19" customFormat="1" hidden="1" outlineLevel="1">
      <c r="C19" s="8" t="s">
        <v>26</v>
      </c>
      <c r="D19" s="18"/>
      <c r="E19" s="18"/>
      <c r="F19" s="18"/>
      <c r="G19" s="18"/>
      <c r="H19" s="18"/>
      <c r="J19" s="18"/>
      <c r="K19" s="18"/>
      <c r="L19" s="18"/>
      <c r="M19" s="18"/>
      <c r="N19" s="18"/>
      <c r="P19" s="18"/>
      <c r="Q19" s="18"/>
      <c r="R19" s="18"/>
      <c r="S19" s="18"/>
      <c r="T19" s="18"/>
      <c r="V19" s="18"/>
      <c r="W19" s="18"/>
      <c r="X19" s="18"/>
      <c r="Y19" s="18"/>
      <c r="Z19" s="18"/>
      <c r="AB19" s="18"/>
      <c r="AC19" s="18"/>
      <c r="AD19" s="18"/>
      <c r="AE19" s="18"/>
      <c r="AF19" s="18"/>
      <c r="AH19" s="18"/>
      <c r="AI19" s="18"/>
      <c r="AJ19" s="18"/>
      <c r="AK19" s="18"/>
      <c r="AL19" s="18"/>
      <c r="AN19" s="18"/>
      <c r="AO19" s="18"/>
      <c r="AP19" s="18"/>
      <c r="AQ19" s="18"/>
      <c r="AR19" s="18"/>
      <c r="AT19" s="18"/>
      <c r="AU19" s="18"/>
      <c r="AV19" s="18"/>
      <c r="AW19" s="18"/>
      <c r="AX19" s="18"/>
      <c r="AZ19" s="18"/>
      <c r="BA19" s="18"/>
      <c r="BB19" s="18"/>
      <c r="BC19" s="18"/>
      <c r="BD19" s="18"/>
      <c r="BF19" s="18"/>
      <c r="BG19" s="18"/>
      <c r="BH19" s="18"/>
      <c r="BI19" s="18"/>
      <c r="BJ19" s="18"/>
      <c r="BL19" s="18"/>
      <c r="BM19" s="18"/>
      <c r="BN19" s="18"/>
      <c r="BO19" s="18"/>
      <c r="BP19" s="18"/>
      <c r="BR19" s="18"/>
      <c r="BS19" s="18"/>
      <c r="BT19" s="18"/>
      <c r="BU19" s="18"/>
      <c r="BV19" s="18"/>
      <c r="BX19" s="18"/>
      <c r="BY19" s="117"/>
      <c r="BZ19" s="117"/>
      <c r="CA19" s="117"/>
      <c r="CB19" s="18"/>
      <c r="CD19" s="18"/>
      <c r="CE19" s="18"/>
      <c r="CF19" s="18"/>
      <c r="CG19" s="18"/>
      <c r="CH19" s="18"/>
      <c r="CJ19" s="18"/>
      <c r="CK19" s="18"/>
      <c r="CL19" s="18"/>
      <c r="CM19" s="18"/>
      <c r="CN19" s="18"/>
      <c r="CP19" s="18"/>
      <c r="CQ19" s="18"/>
      <c r="CR19" s="18"/>
      <c r="CS19" s="18"/>
      <c r="CT19" s="18"/>
      <c r="CV19" s="114"/>
      <c r="CW19" s="114"/>
      <c r="CX19" s="114"/>
      <c r="CY19" s="114"/>
      <c r="CZ19" s="18"/>
      <c r="DB19" s="114"/>
      <c r="DC19" s="114"/>
      <c r="DD19" s="114"/>
      <c r="DE19" s="114"/>
      <c r="DF19" s="18"/>
      <c r="DH19" s="663">
        <f>-0.063</f>
        <v>-6.3E-2</v>
      </c>
      <c r="DI19" s="663">
        <v>0.124</v>
      </c>
      <c r="DJ19" s="663">
        <v>-0.03</v>
      </c>
      <c r="DK19" s="663">
        <v>-4.5999999999999999E-2</v>
      </c>
      <c r="DL19" s="532">
        <f>SUM(DH19:DK19)</f>
        <v>-1.4999999999999999E-2</v>
      </c>
      <c r="DM19" s="432"/>
      <c r="DN19" s="663">
        <v>5.1689999999999996</v>
      </c>
      <c r="DO19" s="663">
        <f>1.018-0.01</f>
        <v>1.008</v>
      </c>
      <c r="DP19" s="663">
        <v>-3.5000000000000003E-2</v>
      </c>
      <c r="DQ19" s="663">
        <v>-0.49399999999999999</v>
      </c>
      <c r="DR19" s="532">
        <f>SUM(DN19:DQ19)</f>
        <v>5.6479999999999997</v>
      </c>
      <c r="DS19" s="432"/>
      <c r="DT19" s="663">
        <v>-0.223</v>
      </c>
      <c r="DU19" s="663">
        <f>-7.405+1.4+3.506</f>
        <v>-2.499000000000001</v>
      </c>
      <c r="DV19" s="663">
        <v>-1.0999999999999999E-2</v>
      </c>
      <c r="DW19" s="663">
        <v>-4.2220000000000004</v>
      </c>
      <c r="DX19" s="532">
        <f>SUM(DT19:DW19)</f>
        <v>-6.9550000000000018</v>
      </c>
      <c r="DY19" s="432"/>
      <c r="DZ19" s="663">
        <v>4.8540000000000001</v>
      </c>
      <c r="EA19" s="663">
        <f>-0.171-96.534</f>
        <v>-96.705000000000013</v>
      </c>
      <c r="EB19" s="663">
        <f>-17.75-0.089</f>
        <v>-17.838999999999999</v>
      </c>
      <c r="EC19" s="663">
        <v>0.93</v>
      </c>
      <c r="ED19" s="532">
        <f>SUM(DZ19:EC19)</f>
        <v>-108.76</v>
      </c>
      <c r="EE19" s="432"/>
      <c r="EF19" s="663">
        <v>-0.16800000000000001</v>
      </c>
      <c r="EG19" s="663">
        <v>0.40500000000000003</v>
      </c>
      <c r="EH19" s="663">
        <v>-2.5000000000000001E-2</v>
      </c>
      <c r="EI19" s="663">
        <v>1E-3</v>
      </c>
      <c r="EJ19" s="532">
        <f>SUM(EF19:EI19)</f>
        <v>0.21300000000000002</v>
      </c>
      <c r="EK19" s="432"/>
      <c r="EL19" s="663">
        <v>0.114</v>
      </c>
      <c r="EM19" s="663">
        <v>-0.73</v>
      </c>
      <c r="EN19" s="663">
        <v>9.6000000000000002E-2</v>
      </c>
      <c r="EO19" s="663">
        <v>-0.124</v>
      </c>
      <c r="EP19" s="532">
        <f>SUM(EL19:EO19)</f>
        <v>-0.64400000000000002</v>
      </c>
      <c r="EQ19" s="432"/>
      <c r="ER19" s="663">
        <v>0.26300000000000001</v>
      </c>
      <c r="ES19" s="663">
        <v>2E-3</v>
      </c>
      <c r="ET19" s="663">
        <v>-0.317</v>
      </c>
      <c r="EU19" s="663">
        <v>0.43099999999999999</v>
      </c>
      <c r="EV19" s="18">
        <f t="shared" si="0"/>
        <v>0.379</v>
      </c>
      <c r="EW19" s="36"/>
      <c r="EX19" s="671">
        <v>-6.5000000000000002E-2</v>
      </c>
      <c r="EY19" s="671">
        <v>-0.48199999999999998</v>
      </c>
      <c r="EZ19" s="671">
        <v>0.33500000000000002</v>
      </c>
      <c r="FA19" s="671">
        <v>-8.4000000000000005E-2</v>
      </c>
      <c r="FB19" s="18">
        <f t="shared" si="4"/>
        <v>-0.29599999999999993</v>
      </c>
      <c r="FC19" s="36"/>
      <c r="FD19" s="545"/>
      <c r="FE19" s="432"/>
      <c r="FF19" s="432"/>
      <c r="FG19" s="432"/>
      <c r="FH19" s="432"/>
      <c r="FI19" s="36"/>
      <c r="FJ19" s="432"/>
      <c r="FK19" s="432"/>
      <c r="FL19" s="432"/>
      <c r="FM19" s="432"/>
      <c r="FN19" s="432"/>
      <c r="FO19" s="36"/>
      <c r="FP19" s="432"/>
      <c r="FQ19" s="432"/>
      <c r="FR19" s="432"/>
      <c r="FS19" s="432"/>
      <c r="FT19" s="432"/>
      <c r="FU19" s="36"/>
      <c r="FV19" s="432"/>
      <c r="FW19" s="432"/>
      <c r="FX19" s="432"/>
      <c r="FY19" s="432"/>
      <c r="FZ19" s="432"/>
      <c r="GA19" s="36"/>
      <c r="GB19" s="432"/>
      <c r="GC19" s="432"/>
      <c r="GD19" s="432"/>
      <c r="GE19" s="432"/>
      <c r="GF19" s="432"/>
      <c r="GG19" s="36"/>
      <c r="GH19" s="432"/>
      <c r="GI19" s="432"/>
      <c r="GJ19" s="432"/>
      <c r="GK19" s="432"/>
      <c r="GL19" s="432"/>
      <c r="GM19" s="36"/>
      <c r="GN19" s="432"/>
      <c r="GO19" s="432"/>
      <c r="GP19" s="432"/>
      <c r="GQ19" s="432"/>
      <c r="GR19" s="432"/>
      <c r="GS19" s="36"/>
      <c r="GT19" s="432"/>
      <c r="GU19" s="432"/>
      <c r="GV19" s="432"/>
      <c r="GW19" s="432"/>
      <c r="GX19" s="432"/>
      <c r="GY19" s="36"/>
      <c r="GZ19" s="432"/>
      <c r="HA19" s="432"/>
      <c r="HB19" s="432"/>
      <c r="HC19" s="432"/>
      <c r="HD19" s="432"/>
      <c r="HE19" s="36"/>
      <c r="HH19" s="521"/>
      <c r="HI19" s="521"/>
      <c r="HJ19" s="521"/>
      <c r="HK19" s="521"/>
      <c r="HL19" s="521"/>
      <c r="HM19" s="521"/>
      <c r="HN19" s="521"/>
      <c r="HO19" s="521"/>
    </row>
    <row r="20" spans="2:223" hidden="1" outlineLevel="1">
      <c r="B20" s="8" t="s">
        <v>27</v>
      </c>
      <c r="D20" s="17"/>
      <c r="E20" s="17"/>
      <c r="F20" s="17"/>
      <c r="G20" s="17"/>
      <c r="H20" s="17"/>
      <c r="J20" s="17"/>
      <c r="K20" s="17"/>
      <c r="L20" s="17"/>
      <c r="M20" s="17"/>
      <c r="N20" s="17"/>
      <c r="P20" s="17"/>
      <c r="Q20" s="17"/>
      <c r="R20" s="17"/>
      <c r="S20" s="17"/>
      <c r="T20" s="17"/>
      <c r="V20" s="17"/>
      <c r="W20" s="17"/>
      <c r="X20" s="17"/>
      <c r="Y20" s="17"/>
      <c r="Z20" s="17"/>
      <c r="AB20" s="17"/>
      <c r="AC20" s="17"/>
      <c r="AD20" s="17"/>
      <c r="AE20" s="17"/>
      <c r="AF20" s="17"/>
      <c r="AH20" s="17"/>
      <c r="AI20" s="17"/>
      <c r="AJ20" s="17"/>
      <c r="AK20" s="17"/>
      <c r="AL20" s="17"/>
      <c r="AN20" s="17"/>
      <c r="AO20" s="17"/>
      <c r="AP20" s="17"/>
      <c r="AQ20" s="17"/>
      <c r="AR20" s="17"/>
      <c r="AT20" s="17"/>
      <c r="AU20" s="17"/>
      <c r="AV20" s="17"/>
      <c r="AW20" s="17"/>
      <c r="AX20" s="17"/>
      <c r="AZ20" s="17"/>
      <c r="BA20" s="17"/>
      <c r="BB20" s="17"/>
      <c r="BC20" s="17"/>
      <c r="BD20" s="17"/>
      <c r="BF20" s="17"/>
      <c r="BG20" s="17"/>
      <c r="BH20" s="17"/>
      <c r="BI20" s="17"/>
      <c r="BJ20" s="17"/>
      <c r="BL20" s="17"/>
      <c r="BM20" s="17"/>
      <c r="BN20" s="17"/>
      <c r="BO20" s="17"/>
      <c r="BP20" s="17"/>
      <c r="BR20" s="17"/>
      <c r="BS20" s="17"/>
      <c r="BT20" s="17"/>
      <c r="BU20" s="17"/>
      <c r="BV20" s="17"/>
      <c r="BX20" s="17"/>
      <c r="BY20" s="129"/>
      <c r="BZ20" s="17"/>
      <c r="CA20" s="17"/>
      <c r="CB20" s="17"/>
      <c r="CD20" s="17"/>
      <c r="CE20" s="17"/>
      <c r="CF20" s="17"/>
      <c r="CG20" s="17"/>
      <c r="CH20" s="17"/>
      <c r="CJ20" s="17"/>
      <c r="CK20" s="17"/>
      <c r="CL20" s="17"/>
      <c r="CM20" s="17"/>
      <c r="CN20" s="17"/>
      <c r="CP20" s="17"/>
      <c r="CQ20" s="17"/>
      <c r="CR20" s="17"/>
      <c r="CS20" s="17"/>
      <c r="CT20" s="17"/>
      <c r="CV20" s="17"/>
      <c r="CW20" s="17"/>
      <c r="CX20" s="17"/>
      <c r="CY20" s="109"/>
      <c r="CZ20" s="109"/>
      <c r="DA20" s="109"/>
      <c r="DB20" s="109"/>
      <c r="DC20" s="109"/>
      <c r="DD20" s="109"/>
      <c r="DE20" s="109"/>
      <c r="DF20" s="109"/>
      <c r="DH20" s="354">
        <f>DH16-SUM(DH17:DH19)</f>
        <v>1.0820000000000061</v>
      </c>
      <c r="DI20" s="354">
        <f>DI16-SUM(DI17:DI19)</f>
        <v>-0.73700000000000676</v>
      </c>
      <c r="DJ20" s="354">
        <f>DJ16-SUM(DJ17:DJ19)</f>
        <v>2.0770000000000053</v>
      </c>
      <c r="DK20" s="354">
        <f>DK16-SUM(DK17:DK19)</f>
        <v>1.402999999999998</v>
      </c>
      <c r="DL20" s="354">
        <f>DL16-SUM(DL17:DL19)</f>
        <v>3.8249999999999771</v>
      </c>
      <c r="DM20" s="354"/>
      <c r="DN20" s="354">
        <f>DN16-SUM(DN17:DN19)</f>
        <v>-4.4470000000000116</v>
      </c>
      <c r="DO20" s="354">
        <f>DO16-SUM(DO17:DO19)</f>
        <v>2.165999999999987</v>
      </c>
      <c r="DP20" s="354">
        <f>DP16-SUM(DP17:DP19)</f>
        <v>3.4909999999999988</v>
      </c>
      <c r="DQ20" s="354">
        <f>DQ16-SUM(DQ17:DQ19)</f>
        <v>2.4349999999999978</v>
      </c>
      <c r="DR20" s="354">
        <f>DR16-SUM(DR17:DR19)</f>
        <v>3.6449999999999729</v>
      </c>
      <c r="DS20" s="354"/>
      <c r="DT20" s="354">
        <f>DT16-SUM(DT17:DT19)</f>
        <v>-5.8890000000000065</v>
      </c>
      <c r="DU20" s="354">
        <f>DU16-SUM(DU17:DU19)</f>
        <v>-17.955999999999989</v>
      </c>
      <c r="DV20" s="354">
        <f>DV16-SUM(DV17:DV19)</f>
        <v>2.2219999999999969</v>
      </c>
      <c r="DW20" s="354">
        <f>DW16-SUM(DW17:DW19)</f>
        <v>7.5669999999999948</v>
      </c>
      <c r="DX20" s="354">
        <f>DX16-SUM(DX17:DX19)</f>
        <v>-14.055999999999989</v>
      </c>
      <c r="DY20" s="354"/>
      <c r="DZ20" s="354">
        <f>DZ16-SUM(DZ17:DZ19)</f>
        <v>-21.138000000000005</v>
      </c>
      <c r="EA20" s="354">
        <f>EA16-SUM(EA17:EA19)</f>
        <v>73.436000000000021</v>
      </c>
      <c r="EB20" s="354">
        <f>EB16-SUM(EB17:EB19)</f>
        <v>-23.170000000000009</v>
      </c>
      <c r="EC20" s="354">
        <f>EC16-SUM(EC17:EC19)</f>
        <v>-44.203999999999994</v>
      </c>
      <c r="ED20" s="354">
        <f>ED16-SUM(ED17:ED19)</f>
        <v>-15.076000000000008</v>
      </c>
      <c r="EE20" s="354"/>
      <c r="EF20" s="354">
        <f>EF16-SUM(EF17:EF19)</f>
        <v>-53.160999999999994</v>
      </c>
      <c r="EG20" s="354">
        <f>EG16-SUM(EG17:EG19)</f>
        <v>-41.033000000000015</v>
      </c>
      <c r="EH20" s="354">
        <f>EH16-SUM(EH17:EH19)</f>
        <v>-39.623999999999974</v>
      </c>
      <c r="EI20" s="354">
        <f>EI16-SUM(EI17:EI19)</f>
        <v>-25.52399999999998</v>
      </c>
      <c r="EJ20" s="354">
        <f>EJ16-SUM(EJ17:EJ19)</f>
        <v>-159.34199999999996</v>
      </c>
      <c r="EK20" s="354"/>
      <c r="EL20" s="354">
        <f>EL16-SUM(EL17:EL19)</f>
        <v>-33.719999999999992</v>
      </c>
      <c r="EM20" s="354">
        <f>EM16-SUM(EM17:EM19)</f>
        <v>-26.63999999999999</v>
      </c>
      <c r="EN20" s="354">
        <f>EN16-SUM(EN17:EN19)</f>
        <v>-21.450999999999993</v>
      </c>
      <c r="EO20" s="354">
        <f>EO16-SUM(EO17:EO19)</f>
        <v>-15.285999999999998</v>
      </c>
      <c r="EP20" s="354">
        <f>EP16-SUM(EP17:EP19)</f>
        <v>-97.096999999999966</v>
      </c>
      <c r="EQ20" s="354"/>
      <c r="ER20" s="354">
        <f>ER16-SUM(ER17:ER19)</f>
        <v>-27.680999999999994</v>
      </c>
      <c r="ES20" s="354">
        <f>ES16-SUM(ES17:ES19)</f>
        <v>-19.016999999999975</v>
      </c>
      <c r="ET20" s="354">
        <v>-17.849</v>
      </c>
      <c r="EU20" s="633">
        <v>-16.128</v>
      </c>
      <c r="EV20" s="456">
        <f>EV16-SUM(EV17:EV19)</f>
        <v>-80.67499999999994</v>
      </c>
      <c r="EW20" s="17"/>
      <c r="EX20" s="17">
        <f>EX16-SUM(EX17:EX19)</f>
        <v>-25.656999999999989</v>
      </c>
      <c r="EY20" s="17">
        <f>EY16-SUM(EY17:EY19)</f>
        <v>-45.815999999999988</v>
      </c>
      <c r="EZ20" s="17">
        <f>EZ16-SUM(EZ17:EZ19)</f>
        <v>-26.388999999999996</v>
      </c>
      <c r="FA20" s="17">
        <f>FA16-SUM(FA17:FA19)</f>
        <v>-12.406000000000017</v>
      </c>
      <c r="FB20" s="456">
        <f>FB16-SUM(FB17:FB19)</f>
        <v>-110.26799999999997</v>
      </c>
      <c r="FC20" s="17"/>
      <c r="FD20" s="547"/>
      <c r="FE20" s="354"/>
      <c r="FF20" s="354"/>
      <c r="FG20" s="354"/>
      <c r="FH20" s="354"/>
      <c r="FI20" s="17"/>
      <c r="FJ20" s="354"/>
      <c r="FK20" s="354"/>
      <c r="FL20" s="354"/>
      <c r="FM20" s="354"/>
      <c r="FN20" s="354"/>
      <c r="FO20" s="17"/>
      <c r="FP20" s="354"/>
      <c r="FQ20" s="354"/>
      <c r="FR20" s="354"/>
      <c r="FS20" s="354"/>
      <c r="FT20" s="354"/>
      <c r="FU20" s="17"/>
      <c r="FV20" s="354"/>
      <c r="FW20" s="354"/>
      <c r="FX20" s="354"/>
      <c r="FY20" s="354"/>
      <c r="FZ20" s="354"/>
      <c r="GA20" s="17"/>
      <c r="GB20" s="354"/>
      <c r="GC20" s="354"/>
      <c r="GD20" s="354"/>
      <c r="GE20" s="354"/>
      <c r="GF20" s="354"/>
      <c r="GG20" s="17"/>
      <c r="GH20" s="354"/>
      <c r="GI20" s="354"/>
      <c r="GJ20" s="354"/>
      <c r="GK20" s="354"/>
      <c r="GL20" s="354"/>
      <c r="GM20" s="17"/>
      <c r="GN20" s="354"/>
      <c r="GO20" s="354"/>
      <c r="GP20" s="354"/>
      <c r="GQ20" s="354"/>
      <c r="GR20" s="354"/>
      <c r="GS20" s="17"/>
      <c r="GT20" s="354"/>
      <c r="GU20" s="354"/>
      <c r="GV20" s="354"/>
      <c r="GW20" s="354"/>
      <c r="GX20" s="354"/>
      <c r="GZ20" s="354"/>
      <c r="HA20" s="354"/>
      <c r="HB20" s="354"/>
      <c r="HC20" s="354"/>
      <c r="HD20" s="354"/>
      <c r="HH20" s="513"/>
      <c r="HI20" s="513"/>
      <c r="HJ20" s="513"/>
      <c r="HK20" s="513"/>
      <c r="HL20" s="513"/>
      <c r="HM20" s="513"/>
      <c r="HN20" s="513"/>
      <c r="HO20" s="513"/>
    </row>
    <row r="21" spans="2:223" s="19" customFormat="1" hidden="1" outlineLevel="1">
      <c r="C21" s="8" t="s">
        <v>28</v>
      </c>
      <c r="D21" s="18"/>
      <c r="E21" s="18"/>
      <c r="F21" s="18"/>
      <c r="G21" s="18"/>
      <c r="H21" s="18"/>
      <c r="J21" s="18"/>
      <c r="K21" s="18"/>
      <c r="L21" s="18"/>
      <c r="M21" s="18"/>
      <c r="N21" s="18"/>
      <c r="P21" s="18"/>
      <c r="Q21" s="18"/>
      <c r="R21" s="18"/>
      <c r="S21" s="18"/>
      <c r="T21" s="18"/>
      <c r="V21" s="18"/>
      <c r="W21" s="18"/>
      <c r="X21" s="18"/>
      <c r="Y21" s="18"/>
      <c r="Z21" s="18"/>
      <c r="AB21" s="18"/>
      <c r="AC21" s="18"/>
      <c r="AD21" s="18"/>
      <c r="AE21" s="18"/>
      <c r="AF21" s="18"/>
      <c r="AH21" s="18"/>
      <c r="AI21" s="18"/>
      <c r="AJ21" s="18"/>
      <c r="AK21" s="18"/>
      <c r="AL21" s="18"/>
      <c r="AN21" s="18"/>
      <c r="AO21" s="18"/>
      <c r="AP21" s="18"/>
      <c r="AQ21" s="18"/>
      <c r="AR21" s="18"/>
      <c r="AT21" s="18"/>
      <c r="AU21" s="18"/>
      <c r="AV21" s="18"/>
      <c r="AW21" s="18"/>
      <c r="AX21" s="18"/>
      <c r="AZ21" s="18"/>
      <c r="BA21" s="18"/>
      <c r="BB21" s="18"/>
      <c r="BC21" s="18"/>
      <c r="BD21" s="18"/>
      <c r="BF21" s="18"/>
      <c r="BG21" s="18"/>
      <c r="BH21" s="18"/>
      <c r="BI21" s="18"/>
      <c r="BJ21" s="18"/>
      <c r="BL21" s="18"/>
      <c r="BM21" s="18"/>
      <c r="BN21" s="18"/>
      <c r="BO21" s="18"/>
      <c r="BP21" s="18"/>
      <c r="BR21" s="18"/>
      <c r="BS21" s="18"/>
      <c r="BT21" s="18"/>
      <c r="BU21" s="18"/>
      <c r="BV21" s="18"/>
      <c r="BX21" s="18"/>
      <c r="BY21" s="117"/>
      <c r="BZ21" s="117"/>
      <c r="CA21" s="117"/>
      <c r="CB21" s="18"/>
      <c r="CD21" s="18"/>
      <c r="CE21" s="18"/>
      <c r="CF21" s="18"/>
      <c r="CG21" s="18"/>
      <c r="CH21" s="18"/>
      <c r="CJ21" s="18"/>
      <c r="CK21" s="18"/>
      <c r="CL21" s="18"/>
      <c r="CM21" s="18"/>
      <c r="CN21" s="18"/>
      <c r="CP21" s="18"/>
      <c r="CQ21" s="18"/>
      <c r="CR21" s="18"/>
      <c r="CS21" s="18"/>
      <c r="CT21" s="18"/>
      <c r="CV21" s="114"/>
      <c r="CW21" s="114"/>
      <c r="CX21" s="114"/>
      <c r="CY21" s="114"/>
      <c r="CZ21" s="18"/>
      <c r="DB21" s="114"/>
      <c r="DC21" s="114"/>
      <c r="DD21" s="114"/>
      <c r="DE21" s="114"/>
      <c r="DF21" s="18"/>
      <c r="DH21" s="663">
        <v>0.438</v>
      </c>
      <c r="DI21" s="663">
        <v>-0.35699999999999998</v>
      </c>
      <c r="DJ21" s="663">
        <v>5.3999999999999999E-2</v>
      </c>
      <c r="DK21" s="663">
        <v>1.05</v>
      </c>
      <c r="DL21" s="532">
        <f>SUM(DH21:DK21)</f>
        <v>1.1850000000000001</v>
      </c>
      <c r="DM21" s="432"/>
      <c r="DN21" s="663">
        <v>-2.0230000000000001</v>
      </c>
      <c r="DO21" s="663">
        <v>0.17499999999999999</v>
      </c>
      <c r="DP21" s="663">
        <v>1.3480000000000001</v>
      </c>
      <c r="DQ21" s="663">
        <v>-3.8610000000000002</v>
      </c>
      <c r="DR21" s="532">
        <f>SUM(DN21:DQ21)</f>
        <v>-4.3610000000000007</v>
      </c>
      <c r="DS21" s="432"/>
      <c r="DT21" s="663">
        <v>1.089</v>
      </c>
      <c r="DU21" s="663">
        <v>-11.132</v>
      </c>
      <c r="DV21" s="663">
        <v>-0.33500000000000002</v>
      </c>
      <c r="DW21" s="663">
        <v>-7.85</v>
      </c>
      <c r="DX21" s="532">
        <f>SUM(DT21:DW21)</f>
        <v>-18.228000000000002</v>
      </c>
      <c r="DY21" s="432"/>
      <c r="DZ21" s="663">
        <v>0.97599999999999998</v>
      </c>
      <c r="EA21" s="663">
        <v>-2.4369999999999998</v>
      </c>
      <c r="EB21" s="663">
        <v>-2.8220000000000001</v>
      </c>
      <c r="EC21" s="663">
        <v>-2.4449999999999998</v>
      </c>
      <c r="ED21" s="532">
        <f>SUM(DZ21:EC21)</f>
        <v>-6.7279999999999998</v>
      </c>
      <c r="EE21" s="432"/>
      <c r="EF21" s="663">
        <v>-3.7530000000000001</v>
      </c>
      <c r="EG21" s="663">
        <v>-5.73</v>
      </c>
      <c r="EH21" s="663">
        <v>-2.7719999999999998</v>
      </c>
      <c r="EI21" s="663">
        <v>-2.8370000000000002</v>
      </c>
      <c r="EJ21" s="532">
        <f>SUM(EF21:EI21)</f>
        <v>-15.092000000000001</v>
      </c>
      <c r="EK21" s="432"/>
      <c r="EL21" s="663">
        <v>-2.9249999999999998</v>
      </c>
      <c r="EM21" s="663">
        <v>-2.3090000000000002</v>
      </c>
      <c r="EN21" s="663">
        <v>-2.9350000000000001</v>
      </c>
      <c r="EO21" s="663">
        <v>-0.96</v>
      </c>
      <c r="EP21" s="532">
        <f>SUM(EL21:EO21)</f>
        <v>-9.1290000000000013</v>
      </c>
      <c r="EQ21" s="432"/>
      <c r="ER21" s="663">
        <v>-0.62</v>
      </c>
      <c r="ES21" s="663">
        <v>-0.375</v>
      </c>
      <c r="ET21" s="663">
        <v>-0.15</v>
      </c>
      <c r="EU21" s="663">
        <v>-0.80400000000000005</v>
      </c>
      <c r="EV21" s="18">
        <f t="shared" si="0"/>
        <v>-1.9490000000000001</v>
      </c>
      <c r="EW21" s="36"/>
      <c r="EX21" s="671">
        <v>0.26600000000000001</v>
      </c>
      <c r="EY21" s="671">
        <v>-0.72399999999999998</v>
      </c>
      <c r="EZ21" s="671">
        <v>0.74</v>
      </c>
      <c r="FA21" s="671">
        <v>-2.5249999999999999</v>
      </c>
      <c r="FB21" s="18">
        <f t="shared" ref="FB21" si="5">SUM(EX21:FA21)</f>
        <v>-2.2429999999999999</v>
      </c>
      <c r="FC21" s="36"/>
      <c r="FD21" s="545"/>
      <c r="FE21" s="432"/>
      <c r="FF21" s="432"/>
      <c r="FG21" s="432"/>
      <c r="FH21" s="432"/>
      <c r="FI21" s="36"/>
      <c r="FJ21" s="432"/>
      <c r="FK21" s="432"/>
      <c r="FL21" s="432"/>
      <c r="FM21" s="432"/>
      <c r="FN21" s="432"/>
      <c r="FO21" s="36"/>
      <c r="FP21" s="432"/>
      <c r="FQ21" s="432"/>
      <c r="FR21" s="432"/>
      <c r="FS21" s="432"/>
      <c r="FT21" s="432"/>
      <c r="FU21" s="36"/>
      <c r="FV21" s="432"/>
      <c r="FW21" s="432"/>
      <c r="FX21" s="432"/>
      <c r="FY21" s="432"/>
      <c r="FZ21" s="432"/>
      <c r="GA21" s="36"/>
      <c r="GB21" s="432"/>
      <c r="GC21" s="432"/>
      <c r="GD21" s="432"/>
      <c r="GE21" s="432"/>
      <c r="GF21" s="432"/>
      <c r="GG21" s="36"/>
      <c r="GH21" s="432"/>
      <c r="GI21" s="432"/>
      <c r="GJ21" s="432"/>
      <c r="GK21" s="432"/>
      <c r="GL21" s="432"/>
      <c r="GM21" s="36"/>
      <c r="GN21" s="432"/>
      <c r="GO21" s="432"/>
      <c r="GP21" s="432"/>
      <c r="GQ21" s="432"/>
      <c r="GR21" s="432"/>
      <c r="GS21" s="36"/>
      <c r="GT21" s="432"/>
      <c r="GU21" s="432"/>
      <c r="GV21" s="432"/>
      <c r="GW21" s="432"/>
      <c r="GX21" s="432"/>
      <c r="GY21" s="36"/>
      <c r="GZ21" s="432"/>
      <c r="HA21" s="432"/>
      <c r="HB21" s="432"/>
      <c r="HC21" s="432"/>
      <c r="HD21" s="432"/>
      <c r="HE21" s="36"/>
      <c r="HH21" s="521"/>
      <c r="HI21" s="521"/>
      <c r="HJ21" s="521"/>
      <c r="HK21" s="521"/>
      <c r="HL21" s="521"/>
      <c r="HM21" s="521"/>
      <c r="HN21" s="521"/>
      <c r="HO21" s="521"/>
    </row>
    <row r="22" spans="2:223" hidden="1" outlineLevel="1">
      <c r="B22" s="8" t="s">
        <v>536</v>
      </c>
      <c r="D22" s="17"/>
      <c r="E22" s="17"/>
      <c r="F22" s="17"/>
      <c r="G22" s="17"/>
      <c r="H22" s="17"/>
      <c r="J22" s="17"/>
      <c r="K22" s="17"/>
      <c r="L22" s="17"/>
      <c r="M22" s="17"/>
      <c r="N22" s="17"/>
      <c r="P22" s="17"/>
      <c r="Q22" s="17"/>
      <c r="R22" s="17"/>
      <c r="S22" s="17"/>
      <c r="T22" s="17"/>
      <c r="V22" s="17"/>
      <c r="W22" s="17"/>
      <c r="X22" s="17"/>
      <c r="Y22" s="17"/>
      <c r="Z22" s="17"/>
      <c r="AB22" s="17"/>
      <c r="AC22" s="17"/>
      <c r="AD22" s="17"/>
      <c r="AE22" s="17"/>
      <c r="AF22" s="17"/>
      <c r="AH22" s="17"/>
      <c r="AI22" s="17"/>
      <c r="AJ22" s="17"/>
      <c r="AK22" s="17"/>
      <c r="AL22" s="17"/>
      <c r="AN22" s="17"/>
      <c r="AO22" s="17"/>
      <c r="AP22" s="17"/>
      <c r="AQ22" s="17"/>
      <c r="AR22" s="17"/>
      <c r="AT22" s="17"/>
      <c r="AU22" s="17"/>
      <c r="AV22" s="17"/>
      <c r="AW22" s="17"/>
      <c r="AX22" s="17"/>
      <c r="AZ22" s="17"/>
      <c r="BA22" s="17"/>
      <c r="BB22" s="17"/>
      <c r="BC22" s="17"/>
      <c r="BD22" s="17"/>
      <c r="BF22" s="17"/>
      <c r="BG22" s="17"/>
      <c r="BH22" s="17"/>
      <c r="BI22" s="17"/>
      <c r="BJ22" s="17"/>
      <c r="BL22" s="17"/>
      <c r="BM22" s="17"/>
      <c r="BN22" s="17"/>
      <c r="BO22" s="17"/>
      <c r="BP22" s="17"/>
      <c r="BR22" s="17"/>
      <c r="BS22" s="17"/>
      <c r="BT22" s="17"/>
      <c r="BU22" s="17"/>
      <c r="BV22" s="17"/>
      <c r="BX22" s="17"/>
      <c r="BY22" s="129"/>
      <c r="BZ22" s="17"/>
      <c r="CA22" s="17"/>
      <c r="CB22" s="17"/>
      <c r="CD22" s="17"/>
      <c r="CE22" s="17"/>
      <c r="CF22" s="17"/>
      <c r="CG22" s="17"/>
      <c r="CH22" s="17"/>
      <c r="CJ22" s="17"/>
      <c r="CK22" s="17"/>
      <c r="CL22" s="17"/>
      <c r="CM22" s="17"/>
      <c r="CN22" s="17"/>
      <c r="CP22" s="17"/>
      <c r="CQ22" s="17"/>
      <c r="CR22" s="17"/>
      <c r="CS22" s="17"/>
      <c r="CT22" s="17"/>
      <c r="CV22" s="17"/>
      <c r="CW22" s="17"/>
      <c r="CX22" s="17"/>
      <c r="CY22" s="109"/>
      <c r="CZ22" s="109"/>
      <c r="DA22" s="109"/>
      <c r="DB22" s="109"/>
      <c r="DC22" s="109"/>
      <c r="DD22" s="109"/>
      <c r="DE22" s="109"/>
      <c r="DF22" s="109"/>
      <c r="DH22" s="354">
        <f>DH20-DH21</f>
        <v>0.64400000000000612</v>
      </c>
      <c r="DI22" s="354">
        <f>DI20-DI21</f>
        <v>-0.38000000000000678</v>
      </c>
      <c r="DJ22" s="354">
        <f>DJ20-DJ21</f>
        <v>2.0230000000000055</v>
      </c>
      <c r="DK22" s="354">
        <f>DK20-DK21</f>
        <v>0.35299999999999798</v>
      </c>
      <c r="DL22" s="354">
        <f>DL20-DL21</f>
        <v>2.639999999999977</v>
      </c>
      <c r="DM22" s="354"/>
      <c r="DN22" s="354">
        <f>DN20-DN21</f>
        <v>-2.4240000000000115</v>
      </c>
      <c r="DO22" s="354">
        <f>DO20-DO21</f>
        <v>1.990999999999987</v>
      </c>
      <c r="DP22" s="354">
        <f>DP20-DP21</f>
        <v>2.1429999999999989</v>
      </c>
      <c r="DQ22" s="354">
        <f>DQ20-DQ21</f>
        <v>6.2959999999999976</v>
      </c>
      <c r="DR22" s="354">
        <f>DR20-DR21</f>
        <v>8.0059999999999736</v>
      </c>
      <c r="DS22" s="354"/>
      <c r="DT22" s="354">
        <f>DT20-DT21</f>
        <v>-6.9780000000000069</v>
      </c>
      <c r="DU22" s="354">
        <f>DU20-DU21</f>
        <v>-6.8239999999999892</v>
      </c>
      <c r="DV22" s="354">
        <f>DV20-DV21</f>
        <v>2.5569999999999968</v>
      </c>
      <c r="DW22" s="354">
        <f>DW20-DW21</f>
        <v>15.416999999999994</v>
      </c>
      <c r="DX22" s="354">
        <f>DX20-DX21</f>
        <v>4.172000000000013</v>
      </c>
      <c r="DY22" s="354"/>
      <c r="DZ22" s="354">
        <f>DZ20-DZ21</f>
        <v>-22.114000000000004</v>
      </c>
      <c r="EA22" s="354">
        <f>EA20-EA21</f>
        <v>75.873000000000019</v>
      </c>
      <c r="EB22" s="354">
        <f>EB20-EB21</f>
        <v>-20.34800000000001</v>
      </c>
      <c r="EC22" s="354">
        <f>EC20-EC21</f>
        <v>-41.758999999999993</v>
      </c>
      <c r="ED22" s="354">
        <f>ED20-ED21</f>
        <v>-8.3480000000000079</v>
      </c>
      <c r="EE22" s="354"/>
      <c r="EF22" s="354">
        <f>EF20-EF21</f>
        <v>-49.407999999999994</v>
      </c>
      <c r="EG22" s="354">
        <f>EG20-EG21</f>
        <v>-35.303000000000011</v>
      </c>
      <c r="EH22" s="354">
        <f>EH20-EH21</f>
        <v>-36.851999999999975</v>
      </c>
      <c r="EI22" s="354">
        <f>EI20-EI21</f>
        <v>-22.68699999999998</v>
      </c>
      <c r="EJ22" s="354">
        <f>EJ20-EJ21</f>
        <v>-144.24999999999994</v>
      </c>
      <c r="EK22" s="354"/>
      <c r="EL22" s="354">
        <f>EL20-EL21</f>
        <v>-30.794999999999991</v>
      </c>
      <c r="EM22" s="354">
        <f>EM20-EM21</f>
        <v>-24.330999999999989</v>
      </c>
      <c r="EN22" s="354">
        <f>EN20-EN21</f>
        <v>-18.515999999999995</v>
      </c>
      <c r="EO22" s="354">
        <f>EO20-EO21</f>
        <v>-14.325999999999997</v>
      </c>
      <c r="EP22" s="354">
        <f>EP20-EP21</f>
        <v>-87.967999999999961</v>
      </c>
      <c r="EQ22" s="354"/>
      <c r="ER22" s="354">
        <f>ER20-ER21</f>
        <v>-27.060999999999993</v>
      </c>
      <c r="ES22" s="354">
        <f>ES20-ES21</f>
        <v>-18.641999999999975</v>
      </c>
      <c r="ET22" s="354">
        <v>-17.699000000000002</v>
      </c>
      <c r="EU22" s="633">
        <v>-15.324</v>
      </c>
      <c r="EV22" s="456">
        <f>EV20-EV21</f>
        <v>-78.725999999999942</v>
      </c>
      <c r="EW22" s="17"/>
      <c r="EX22" s="17">
        <f>EX20-EX21</f>
        <v>-25.922999999999988</v>
      </c>
      <c r="EY22" s="17">
        <f>EY20-EY21</f>
        <v>-45.091999999999992</v>
      </c>
      <c r="EZ22" s="17">
        <f>EZ20-EZ21</f>
        <v>-27.128999999999994</v>
      </c>
      <c r="FA22" s="17">
        <f>FA20-FA21</f>
        <v>-9.8810000000000162</v>
      </c>
      <c r="FB22" s="456">
        <f>FB20-FB21</f>
        <v>-108.02499999999998</v>
      </c>
      <c r="FC22" s="17"/>
      <c r="FD22" s="547"/>
      <c r="FE22" s="354"/>
      <c r="FF22" s="354"/>
      <c r="FG22" s="354"/>
      <c r="FH22" s="354"/>
      <c r="FI22" s="17"/>
      <c r="FJ22" s="354"/>
      <c r="FK22" s="354"/>
      <c r="FL22" s="354"/>
      <c r="FM22" s="354"/>
      <c r="FN22" s="354"/>
      <c r="FO22" s="17"/>
      <c r="FP22" s="354"/>
      <c r="FQ22" s="354"/>
      <c r="FR22" s="354"/>
      <c r="FS22" s="354"/>
      <c r="FT22" s="354"/>
      <c r="FU22" s="17"/>
      <c r="FV22" s="354"/>
      <c r="FW22" s="354"/>
      <c r="FX22" s="354"/>
      <c r="FY22" s="354"/>
      <c r="FZ22" s="354"/>
      <c r="GA22" s="17"/>
      <c r="GB22" s="354"/>
      <c r="GC22" s="354"/>
      <c r="GD22" s="354"/>
      <c r="GE22" s="354"/>
      <c r="GF22" s="354"/>
      <c r="GG22" s="17"/>
      <c r="GH22" s="354"/>
      <c r="GI22" s="354"/>
      <c r="GJ22" s="354"/>
      <c r="GK22" s="354"/>
      <c r="GL22" s="354"/>
      <c r="GM22" s="17"/>
      <c r="GN22" s="354"/>
      <c r="GO22" s="354"/>
      <c r="GP22" s="354"/>
      <c r="GQ22" s="354"/>
      <c r="GR22" s="354"/>
      <c r="GS22" s="17"/>
      <c r="GT22" s="354"/>
      <c r="GU22" s="354"/>
      <c r="GV22" s="354"/>
      <c r="GW22" s="354"/>
      <c r="GX22" s="354"/>
      <c r="GZ22" s="354"/>
      <c r="HA22" s="354"/>
      <c r="HB22" s="354"/>
      <c r="HC22" s="354"/>
      <c r="HD22" s="354"/>
      <c r="HH22" s="513"/>
      <c r="HI22" s="513"/>
      <c r="HJ22" s="513"/>
      <c r="HK22" s="513"/>
      <c r="HL22" s="513"/>
      <c r="HM22" s="513"/>
      <c r="HN22" s="513"/>
      <c r="HO22" s="513"/>
    </row>
    <row r="23" spans="2:223" s="15" customFormat="1" hidden="1" outlineLevel="1">
      <c r="B23" s="32"/>
      <c r="BD23" s="17"/>
      <c r="BP23" s="33"/>
      <c r="BX23" s="17"/>
      <c r="BY23" s="128"/>
      <c r="CP23" s="16"/>
      <c r="EU23" s="340"/>
      <c r="FA23" s="340"/>
      <c r="FD23" s="542"/>
      <c r="FI23" s="429"/>
      <c r="FO23" s="429"/>
      <c r="HH23" s="513"/>
      <c r="HI23" s="513"/>
      <c r="HJ23" s="513"/>
      <c r="HK23" s="513"/>
      <c r="HL23" s="513"/>
      <c r="HM23" s="513"/>
      <c r="HN23" s="513"/>
      <c r="HO23" s="513"/>
    </row>
    <row r="24" spans="2:223" s="21" customFormat="1" hidden="1" outlineLevel="1">
      <c r="B24" s="21" t="s">
        <v>30</v>
      </c>
      <c r="BY24" s="131"/>
      <c r="CV24" s="334"/>
      <c r="CW24" s="334"/>
      <c r="CX24" s="334"/>
      <c r="CY24" s="109"/>
      <c r="CZ24" s="109"/>
      <c r="DA24" s="109"/>
      <c r="DB24" s="109"/>
      <c r="DC24" s="109"/>
      <c r="DD24" s="109"/>
      <c r="DE24" s="109"/>
      <c r="DF24" s="109"/>
      <c r="DH24" s="334">
        <v>80.507000000000005</v>
      </c>
      <c r="DI24" s="334">
        <v>81.016999999999996</v>
      </c>
      <c r="DJ24" s="334">
        <v>87.253</v>
      </c>
      <c r="DK24" s="334">
        <v>93.27</v>
      </c>
      <c r="DL24" s="334">
        <v>85.617999999999995</v>
      </c>
      <c r="DN24" s="334">
        <v>94.74</v>
      </c>
      <c r="DO24" s="334">
        <v>98.296999999999997</v>
      </c>
      <c r="DP24" s="334">
        <v>103.899</v>
      </c>
      <c r="DQ24" s="334">
        <v>104.393</v>
      </c>
      <c r="DR24" s="334">
        <v>100.47</v>
      </c>
      <c r="DT24" s="334">
        <v>104.48399999999999</v>
      </c>
      <c r="DU24" s="334">
        <v>107.887</v>
      </c>
      <c r="DV24" s="334">
        <v>110.461</v>
      </c>
      <c r="DW24" s="334">
        <v>111.2</v>
      </c>
      <c r="DX24" s="334">
        <v>100.47</v>
      </c>
      <c r="DZ24" s="334">
        <v>116.199</v>
      </c>
      <c r="EA24" s="334">
        <v>118.28700000000001</v>
      </c>
      <c r="EB24" s="334">
        <v>122.559</v>
      </c>
      <c r="EC24" s="334">
        <v>123.08199999999999</v>
      </c>
      <c r="ED24" s="334">
        <v>119.962</v>
      </c>
      <c r="EF24" s="334">
        <v>123.63</v>
      </c>
      <c r="EG24" s="334">
        <v>124.068</v>
      </c>
      <c r="EH24" s="334">
        <v>124.425</v>
      </c>
      <c r="EI24" s="334">
        <v>124.714</v>
      </c>
      <c r="EJ24" s="334">
        <v>124.217</v>
      </c>
      <c r="EL24" s="334">
        <v>125.026</v>
      </c>
      <c r="EM24" s="334">
        <v>125.35599999999999</v>
      </c>
      <c r="EN24" s="334">
        <v>125.687</v>
      </c>
      <c r="EO24" s="334">
        <v>125.929</v>
      </c>
      <c r="EP24" s="334">
        <v>124.217</v>
      </c>
      <c r="ER24" s="334">
        <v>126.111</v>
      </c>
      <c r="ES24" s="334">
        <v>126.405</v>
      </c>
      <c r="ET24" s="334">
        <v>126.953</v>
      </c>
      <c r="EU24" s="334">
        <v>127.16</v>
      </c>
      <c r="EV24" s="21">
        <f>AVERAGE(ER24:EU24)</f>
        <v>126.65725</v>
      </c>
      <c r="EX24" s="334">
        <v>127.376</v>
      </c>
      <c r="EY24" s="334">
        <v>127.949</v>
      </c>
      <c r="EZ24" s="334">
        <v>128.41499999999999</v>
      </c>
      <c r="FA24" s="334">
        <v>128.648</v>
      </c>
      <c r="FB24" s="21">
        <f>AVERAGE(EX24:FA24)</f>
        <v>128.09700000000001</v>
      </c>
      <c r="FD24" s="549"/>
      <c r="HH24" s="491"/>
      <c r="HI24" s="491"/>
      <c r="HJ24" s="491"/>
      <c r="HK24" s="491"/>
      <c r="HL24" s="491"/>
      <c r="HM24" s="491"/>
      <c r="HN24" s="491"/>
      <c r="HO24" s="491"/>
    </row>
    <row r="25" spans="2:223" s="21" customFormat="1" hidden="1" outlineLevel="1" collapsed="1">
      <c r="B25" s="21" t="s">
        <v>31</v>
      </c>
      <c r="BY25" s="131"/>
      <c r="CV25" s="334"/>
      <c r="CW25" s="334"/>
      <c r="CX25" s="334"/>
      <c r="CY25" s="109"/>
      <c r="CZ25" s="109"/>
      <c r="DA25" s="109"/>
      <c r="DB25" s="109"/>
      <c r="DC25" s="109"/>
      <c r="DD25" s="109"/>
      <c r="DE25" s="109"/>
      <c r="DF25" s="109"/>
      <c r="DH25" s="334">
        <v>80.507000000000005</v>
      </c>
      <c r="DI25" s="334">
        <v>90.168000000000006</v>
      </c>
      <c r="DJ25" s="334">
        <v>90.927000000000007</v>
      </c>
      <c r="DK25" s="334">
        <v>96.873999999999995</v>
      </c>
      <c r="DL25" s="334">
        <v>91.567999999999998</v>
      </c>
      <c r="DN25" s="334">
        <v>94.74</v>
      </c>
      <c r="DO25" s="334">
        <v>102.336</v>
      </c>
      <c r="DP25" s="334">
        <v>107.88</v>
      </c>
      <c r="DQ25" s="334">
        <v>107.816</v>
      </c>
      <c r="DR25" s="334">
        <v>103.61499999999999</v>
      </c>
      <c r="DT25" s="334">
        <v>104.48399999999999</v>
      </c>
      <c r="DU25" s="334">
        <v>107.887</v>
      </c>
      <c r="DV25" s="334">
        <v>119.191</v>
      </c>
      <c r="DW25" s="334">
        <v>114.236</v>
      </c>
      <c r="DX25" s="334">
        <v>103.61499999999999</v>
      </c>
      <c r="DZ25" s="334">
        <v>116.199</v>
      </c>
      <c r="EA25" s="334">
        <v>131.23699999999999</v>
      </c>
      <c r="EB25" s="334">
        <v>122.559</v>
      </c>
      <c r="EC25" s="334">
        <v>123.08199999999999</v>
      </c>
      <c r="ED25" s="334">
        <v>119.962</v>
      </c>
      <c r="EF25" s="334">
        <v>123.63</v>
      </c>
      <c r="EG25" s="334">
        <v>124.068</v>
      </c>
      <c r="EH25" s="334">
        <v>124.425</v>
      </c>
      <c r="EI25" s="334">
        <v>124.714</v>
      </c>
      <c r="EJ25" s="334">
        <v>124.217</v>
      </c>
      <c r="EL25" s="334">
        <v>125.026</v>
      </c>
      <c r="EM25" s="334">
        <v>125.35599999999999</v>
      </c>
      <c r="EN25" s="334">
        <v>125.687</v>
      </c>
      <c r="EO25" s="334">
        <v>125.929</v>
      </c>
      <c r="EP25" s="334">
        <v>124.217</v>
      </c>
      <c r="ER25" s="334">
        <v>126.111</v>
      </c>
      <c r="ES25" s="334">
        <v>126.405</v>
      </c>
      <c r="ET25" s="334">
        <v>126.953</v>
      </c>
      <c r="EU25" s="334">
        <v>127.16</v>
      </c>
      <c r="EV25" s="21">
        <f>AVERAGE(ER25:EU25)</f>
        <v>126.65725</v>
      </c>
      <c r="EX25" s="334">
        <v>127.376</v>
      </c>
      <c r="EY25" s="334">
        <v>127.949</v>
      </c>
      <c r="EZ25" s="334">
        <v>128.41499999999999</v>
      </c>
      <c r="FA25" s="334">
        <v>128.648</v>
      </c>
      <c r="FB25" s="21">
        <f>AVERAGE(EX25:FA25)</f>
        <v>128.09700000000001</v>
      </c>
      <c r="FD25" s="549"/>
      <c r="HH25" s="491"/>
      <c r="HI25" s="491"/>
      <c r="HJ25" s="491"/>
      <c r="HK25" s="491"/>
      <c r="HL25" s="491"/>
      <c r="HM25" s="491"/>
      <c r="HN25" s="491"/>
      <c r="HO25" s="491"/>
    </row>
    <row r="26" spans="2:223" s="15" customFormat="1" hidden="1" outlineLevel="1">
      <c r="B26" s="32"/>
      <c r="BD26" s="17"/>
      <c r="BP26" s="33"/>
      <c r="BX26" s="17"/>
      <c r="BY26" s="128"/>
      <c r="CP26" s="16"/>
      <c r="EU26" s="340"/>
      <c r="FA26" s="340"/>
      <c r="FD26" s="542"/>
      <c r="FI26" s="429"/>
      <c r="FO26" s="429"/>
      <c r="HH26" s="513"/>
      <c r="HI26" s="513"/>
      <c r="HJ26" s="513"/>
      <c r="HK26" s="513"/>
      <c r="HL26" s="513"/>
      <c r="HM26" s="513"/>
      <c r="HN26" s="513"/>
      <c r="HO26" s="513"/>
    </row>
    <row r="27" spans="2:223" s="15" customFormat="1" hidden="1" outlineLevel="1">
      <c r="B27" s="32" t="s">
        <v>632</v>
      </c>
      <c r="BD27" s="17"/>
      <c r="BP27" s="33"/>
      <c r="BX27" s="17"/>
      <c r="BY27" s="128"/>
      <c r="CP27" s="16"/>
      <c r="EU27" s="340"/>
      <c r="FA27" s="340"/>
      <c r="FD27" s="542"/>
      <c r="FI27" s="429"/>
      <c r="FO27" s="429"/>
      <c r="HH27" s="513"/>
      <c r="HI27" s="513"/>
      <c r="HJ27" s="513"/>
      <c r="HK27" s="513"/>
      <c r="HL27" s="513"/>
      <c r="HM27" s="513"/>
      <c r="HN27" s="513"/>
      <c r="HO27" s="513"/>
    </row>
    <row r="28" spans="2:223" s="15" customFormat="1" hidden="1" outlineLevel="1">
      <c r="B28" s="8" t="s">
        <v>85</v>
      </c>
      <c r="BD28" s="17"/>
      <c r="BP28" s="33"/>
      <c r="BX28" s="17"/>
      <c r="BY28" s="128"/>
      <c r="CP28" s="16"/>
      <c r="DZ28" s="109">
        <v>5.2990000000000004</v>
      </c>
      <c r="EA28" s="109">
        <v>0.72899999999999998</v>
      </c>
      <c r="EB28" s="109">
        <v>4.8239999999999998</v>
      </c>
      <c r="EC28" s="109">
        <v>4.8529999999999998</v>
      </c>
      <c r="ED28" s="354">
        <f>SUM(DZ28:EC28)</f>
        <v>15.705</v>
      </c>
      <c r="EF28" s="109">
        <v>4.8529999999999998</v>
      </c>
      <c r="EG28" s="109">
        <v>4.8529999999999998</v>
      </c>
      <c r="EH28" s="109">
        <v>4.8529999999999998</v>
      </c>
      <c r="EI28" s="109">
        <v>4.8540000000000001</v>
      </c>
      <c r="EJ28" s="354">
        <f>SUM(EF28:EI28)</f>
        <v>19.413</v>
      </c>
      <c r="EL28" s="109">
        <v>4.8529999999999998</v>
      </c>
      <c r="EM28" s="109">
        <v>4.8529999999999998</v>
      </c>
      <c r="EN28" s="109">
        <v>4.8529999999999998</v>
      </c>
      <c r="EO28" s="109">
        <v>5.0789999999999997</v>
      </c>
      <c r="EP28" s="354">
        <f>SUM(EL28:EO28)</f>
        <v>19.637999999999998</v>
      </c>
      <c r="ER28" s="109">
        <v>4.9000000000000004</v>
      </c>
      <c r="ES28" s="109">
        <v>4.9000000000000004</v>
      </c>
      <c r="ET28" s="109">
        <v>4.9000000000000004</v>
      </c>
      <c r="EU28" s="109">
        <v>4.9000000000000004</v>
      </c>
      <c r="EV28" s="17">
        <f>SUM(ER28:EU28)</f>
        <v>19.600000000000001</v>
      </c>
      <c r="EX28" s="109">
        <v>4.9000000000000004</v>
      </c>
      <c r="EY28" s="109">
        <v>4.8</v>
      </c>
      <c r="EZ28" s="109">
        <v>4.6130000000000004</v>
      </c>
      <c r="FA28" s="109">
        <v>4.6150000000000002</v>
      </c>
      <c r="FB28" s="17">
        <f>SUM(EX28:FA28)</f>
        <v>18.927999999999997</v>
      </c>
      <c r="FD28" s="542"/>
      <c r="FI28" s="429"/>
      <c r="FO28" s="429"/>
      <c r="HH28" s="513"/>
      <c r="HI28" s="513"/>
      <c r="HJ28" s="513"/>
      <c r="HK28" s="513"/>
      <c r="HL28" s="513"/>
      <c r="HM28" s="513"/>
      <c r="HN28" s="513"/>
      <c r="HO28" s="513"/>
    </row>
    <row r="29" spans="2:223" s="15" customFormat="1" hidden="1" outlineLevel="1">
      <c r="B29" s="8" t="s">
        <v>525</v>
      </c>
      <c r="BD29" s="17"/>
      <c r="BP29" s="33"/>
      <c r="BX29" s="17"/>
      <c r="BY29" s="128"/>
      <c r="CP29" s="16"/>
      <c r="DZ29" s="109">
        <v>0</v>
      </c>
      <c r="EA29" s="109">
        <v>0</v>
      </c>
      <c r="EB29" s="109">
        <v>0</v>
      </c>
      <c r="EC29" s="109">
        <v>0</v>
      </c>
      <c r="ED29" s="354">
        <f>SUM(DZ29:EC29)</f>
        <v>0</v>
      </c>
      <c r="EF29" s="109">
        <v>0</v>
      </c>
      <c r="EG29" s="109">
        <v>0</v>
      </c>
      <c r="EH29" s="109">
        <v>0</v>
      </c>
      <c r="EI29" s="109">
        <v>0</v>
      </c>
      <c r="EJ29" s="354">
        <f>SUM(EF29:EI29)</f>
        <v>0</v>
      </c>
      <c r="EL29" s="109">
        <v>0</v>
      </c>
      <c r="EM29" s="109">
        <v>0</v>
      </c>
      <c r="EN29" s="109">
        <v>0</v>
      </c>
      <c r="EO29" s="109">
        <v>0</v>
      </c>
      <c r="EP29" s="354">
        <f>SUM(EL29:EO29)</f>
        <v>0</v>
      </c>
      <c r="ER29" s="109">
        <v>0.40500000000000003</v>
      </c>
      <c r="ES29" s="109">
        <v>0.36699999999999999</v>
      </c>
      <c r="ET29" s="109">
        <v>0.3</v>
      </c>
      <c r="EU29" s="109">
        <v>0.3</v>
      </c>
      <c r="EV29" s="17">
        <f>SUM(ER29:EU29)</f>
        <v>1.3720000000000001</v>
      </c>
      <c r="EX29" s="109">
        <v>0.40500000000000003</v>
      </c>
      <c r="EY29" s="109">
        <f>5.114-EY28</f>
        <v>0.31400000000000006</v>
      </c>
      <c r="EZ29" s="109">
        <v>0.33700000000000002</v>
      </c>
      <c r="FA29" s="109">
        <f>4.964-FA28</f>
        <v>0.3490000000000002</v>
      </c>
      <c r="FB29" s="17">
        <f>SUM(EX29:FA29)</f>
        <v>1.4050000000000002</v>
      </c>
      <c r="FD29" s="542"/>
      <c r="FI29" s="429"/>
      <c r="FO29" s="429"/>
      <c r="HH29" s="513"/>
      <c r="HI29" s="513"/>
      <c r="HJ29" s="513"/>
      <c r="HK29" s="513"/>
      <c r="HL29" s="513"/>
      <c r="HM29" s="513"/>
      <c r="HN29" s="513"/>
      <c r="HO29" s="513"/>
    </row>
    <row r="30" spans="2:223" s="15" customFormat="1" hidden="1" outlineLevel="1">
      <c r="B30" s="8" t="s">
        <v>87</v>
      </c>
      <c r="BD30" s="17"/>
      <c r="BP30" s="33"/>
      <c r="BX30" s="17"/>
      <c r="BY30" s="128"/>
      <c r="CP30" s="16"/>
      <c r="DZ30" s="109">
        <v>0</v>
      </c>
      <c r="EA30" s="109">
        <v>0</v>
      </c>
      <c r="EB30" s="109">
        <v>0</v>
      </c>
      <c r="EC30" s="109">
        <v>0</v>
      </c>
      <c r="ED30" s="354">
        <f>SUM(DZ30:EC30)</f>
        <v>0</v>
      </c>
      <c r="EF30" s="109">
        <v>0</v>
      </c>
      <c r="EG30" s="109">
        <v>0</v>
      </c>
      <c r="EH30" s="109">
        <v>0</v>
      </c>
      <c r="EI30" s="109">
        <v>0</v>
      </c>
      <c r="EJ30" s="354">
        <f>SUM(EF30:EI30)</f>
        <v>0</v>
      </c>
      <c r="EL30" s="109">
        <v>0</v>
      </c>
      <c r="EM30" s="109">
        <v>0</v>
      </c>
      <c r="EN30" s="109">
        <v>0</v>
      </c>
      <c r="EO30" s="109">
        <v>0</v>
      </c>
      <c r="EP30" s="354">
        <f>SUM(EL30:EO30)</f>
        <v>0</v>
      </c>
      <c r="ER30" s="109">
        <v>0</v>
      </c>
      <c r="ES30" s="109">
        <v>0</v>
      </c>
      <c r="ET30" s="109">
        <v>0</v>
      </c>
      <c r="EU30" s="109">
        <v>0</v>
      </c>
      <c r="EV30" s="17">
        <f>SUM(ER30:EU30)</f>
        <v>0</v>
      </c>
      <c r="EX30" s="109">
        <v>0</v>
      </c>
      <c r="EY30" s="109">
        <v>0</v>
      </c>
      <c r="EZ30" s="109">
        <v>0</v>
      </c>
      <c r="FA30" s="109">
        <v>0</v>
      </c>
      <c r="FB30" s="17">
        <f>SUM(EX30:FA30)</f>
        <v>0</v>
      </c>
      <c r="FD30" s="542"/>
      <c r="FI30" s="429"/>
      <c r="FO30" s="429"/>
      <c r="HH30" s="513"/>
      <c r="HI30" s="513"/>
      <c r="HJ30" s="513"/>
      <c r="HK30" s="513"/>
      <c r="HL30" s="513"/>
      <c r="HM30" s="513"/>
      <c r="HN30" s="513"/>
      <c r="HO30" s="513"/>
    </row>
    <row r="31" spans="2:223" s="15" customFormat="1" hidden="1" outlineLevel="1">
      <c r="B31" s="32"/>
      <c r="BD31" s="17"/>
      <c r="BP31" s="33"/>
      <c r="BX31" s="17"/>
      <c r="BY31" s="128"/>
      <c r="CP31" s="16"/>
      <c r="EU31" s="340"/>
      <c r="FA31" s="340"/>
      <c r="FD31" s="542"/>
      <c r="FI31" s="429"/>
      <c r="FO31" s="429"/>
      <c r="HH31" s="513"/>
      <c r="HI31" s="513"/>
      <c r="HJ31" s="513"/>
      <c r="HK31" s="513"/>
      <c r="HL31" s="513"/>
      <c r="HM31" s="513"/>
      <c r="HN31" s="513"/>
      <c r="HO31" s="513"/>
    </row>
    <row r="32" spans="2:223" hidden="1" outlineLevel="1">
      <c r="B32" s="24" t="s">
        <v>630</v>
      </c>
      <c r="DH32" s="68"/>
      <c r="DN32" s="68"/>
      <c r="DT32" s="68"/>
      <c r="DZ32" s="68"/>
      <c r="ET32" s="8"/>
      <c r="EU32" s="120"/>
      <c r="EW32" s="413"/>
      <c r="FA32" s="120"/>
      <c r="FD32" s="548"/>
      <c r="FI32" s="413"/>
      <c r="FO32" s="413"/>
      <c r="HH32" s="513"/>
      <c r="HI32" s="513"/>
      <c r="HJ32" s="513"/>
      <c r="HK32" s="513"/>
      <c r="HL32" s="513"/>
      <c r="HM32" s="513"/>
      <c r="HN32" s="513"/>
      <c r="HO32" s="513"/>
    </row>
    <row r="33" spans="1:223" hidden="1" outlineLevel="1">
      <c r="B33" s="8" t="s">
        <v>119</v>
      </c>
      <c r="DH33" s="17">
        <f>CF!DH11</f>
        <v>3.633</v>
      </c>
      <c r="DI33" s="17">
        <f>CF!DI11</f>
        <v>3.8109999999999999</v>
      </c>
      <c r="DJ33" s="17">
        <f>CF!DJ11</f>
        <v>4.0330000000000004</v>
      </c>
      <c r="DK33" s="17">
        <f>CF!DK11</f>
        <v>4.327</v>
      </c>
      <c r="DL33" s="354">
        <f t="shared" ref="DL33:DL39" si="6">SUM(DH33:DK33)</f>
        <v>15.804</v>
      </c>
      <c r="DM33" s="354"/>
      <c r="DN33" s="17">
        <f>CF!DN11</f>
        <v>5.2709999999999999</v>
      </c>
      <c r="DO33" s="17">
        <f>CF!DO11</f>
        <v>5.0810000000000004</v>
      </c>
      <c r="DP33" s="17">
        <f>CF!DP11</f>
        <v>4.847999999999999</v>
      </c>
      <c r="DQ33" s="17">
        <f>CF!DQ11</f>
        <v>5.1460000000000008</v>
      </c>
      <c r="DR33" s="354">
        <f t="shared" ref="DR33:DR39" si="7">SUM(DN33:DQ33)</f>
        <v>20.346</v>
      </c>
      <c r="DS33" s="354"/>
      <c r="DT33" s="17">
        <f>CF!DT11</f>
        <v>6.24</v>
      </c>
      <c r="DU33" s="17">
        <f>CF!DU11</f>
        <v>5.9369999999999994</v>
      </c>
      <c r="DV33" s="17">
        <f>CF!DV11</f>
        <v>6.5279999999999987</v>
      </c>
      <c r="DW33" s="17">
        <f>CF!DW11</f>
        <v>7.1990000000000016</v>
      </c>
      <c r="DX33" s="354">
        <f t="shared" ref="DX33:DX39" si="8">SUM(DT33:DW33)</f>
        <v>25.904</v>
      </c>
      <c r="DY33" s="354"/>
      <c r="DZ33" s="17">
        <f>CF!DZ11</f>
        <v>6.68</v>
      </c>
      <c r="EA33" s="17">
        <f>CF!EA11</f>
        <v>6.9489999999999998</v>
      </c>
      <c r="EB33" s="17">
        <f>CF!EB11</f>
        <v>8.177999999999999</v>
      </c>
      <c r="EC33" s="17">
        <f>CF!EC11</f>
        <v>8.3850000000000016</v>
      </c>
      <c r="ED33" s="354">
        <f t="shared" ref="ED33:ED39" si="9">SUM(DZ33:EC33)</f>
        <v>30.192</v>
      </c>
      <c r="EE33" s="354"/>
      <c r="EF33" s="17">
        <f>CF!EF11</f>
        <v>8.3949999999999996</v>
      </c>
      <c r="EG33" s="17">
        <f>CF!EG11</f>
        <v>8.5259999999999998</v>
      </c>
      <c r="EH33" s="17">
        <f>CF!EH11</f>
        <v>8.972999999999999</v>
      </c>
      <c r="EI33" s="17">
        <f>CF!EI11</f>
        <v>9.4780000000000015</v>
      </c>
      <c r="EJ33" s="354">
        <f t="shared" ref="EJ33:EJ39" si="10">SUM(EF33:EI33)</f>
        <v>35.372</v>
      </c>
      <c r="EK33" s="354"/>
      <c r="EL33" s="17">
        <f>CF!EL11</f>
        <v>9.048</v>
      </c>
      <c r="EM33" s="17">
        <f>CF!EM11</f>
        <v>9.4749999999999996</v>
      </c>
      <c r="EN33" s="17">
        <f>CF!EN11</f>
        <v>9.3490000000000002</v>
      </c>
      <c r="EO33" s="17">
        <f>CF!EO11</f>
        <v>9.578000000000003</v>
      </c>
      <c r="EP33" s="354">
        <f t="shared" ref="EP33:EP39" si="11">SUM(EL33:EO33)</f>
        <v>37.450000000000003</v>
      </c>
      <c r="EQ33" s="485"/>
      <c r="ER33" s="17">
        <f>CF!ER11</f>
        <v>9.9049999999999994</v>
      </c>
      <c r="ES33" s="17">
        <f>CF!ES11</f>
        <v>9.7460000000000004</v>
      </c>
      <c r="ET33" s="17">
        <f>CF!ET11</f>
        <v>9.6229999999999993</v>
      </c>
      <c r="EU33" s="17">
        <f>CF!EU11</f>
        <v>9.827</v>
      </c>
      <c r="EV33" s="456">
        <f t="shared" ref="EV33:EV39" si="12">SUM(ER33:EU33)</f>
        <v>39.100999999999999</v>
      </c>
      <c r="EW33" s="485"/>
      <c r="EX33" s="109">
        <v>9.3659999999999997</v>
      </c>
      <c r="EY33" s="109">
        <v>9.14</v>
      </c>
      <c r="EZ33" s="109">
        <v>8.8030000000000008</v>
      </c>
      <c r="FA33" s="109">
        <v>8.7629999999999999</v>
      </c>
      <c r="FB33" s="456">
        <f t="shared" ref="FB33:FB39" si="13">SUM(EX33:FA33)</f>
        <v>36.072000000000003</v>
      </c>
      <c r="FC33" s="485"/>
      <c r="FD33" s="670">
        <f>CF!FD11</f>
        <v>9.835094999999999</v>
      </c>
      <c r="FE33" s="456">
        <f>CF!FE11</f>
        <v>9.7467105000000007</v>
      </c>
      <c r="FF33" s="456">
        <f>CF!FF11</f>
        <v>9.6671644499999996</v>
      </c>
      <c r="FG33" s="456">
        <f>CF!FG11</f>
        <v>9.5955730050000003</v>
      </c>
      <c r="FH33" s="456">
        <f t="shared" ref="FH33:FH38" si="14">SUM(FD33:FG33)</f>
        <v>38.844542955000001</v>
      </c>
      <c r="FI33" s="485"/>
      <c r="FJ33" s="456">
        <f>CF!FJ11</f>
        <v>9.6072263294999996</v>
      </c>
      <c r="FK33" s="456">
        <f>CF!FK11</f>
        <v>9.6177143215500003</v>
      </c>
      <c r="FL33" s="456">
        <f>CF!FL11</f>
        <v>9.6271535143950011</v>
      </c>
      <c r="FM33" s="456">
        <f>CF!FM11</f>
        <v>9.6356487879554997</v>
      </c>
      <c r="FN33" s="456">
        <f t="shared" ref="FN33:FN38" si="15">SUM(FJ33:FM33)</f>
        <v>38.487742953400499</v>
      </c>
      <c r="FO33" s="485"/>
      <c r="FP33" s="456">
        <f>CF!FP11</f>
        <v>9.7258474372849513</v>
      </c>
      <c r="FQ33" s="456">
        <f>CF!FQ11</f>
        <v>9.8070262216814559</v>
      </c>
      <c r="FR33" s="456">
        <f>CF!FR11</f>
        <v>9.8800871276383102</v>
      </c>
      <c r="FS33" s="456">
        <f>CF!FS11</f>
        <v>9.9458419429994791</v>
      </c>
      <c r="FT33" s="456">
        <f t="shared" ref="FT33:FT38" si="16">SUM(FP33:FS33)</f>
        <v>39.3588027296042</v>
      </c>
      <c r="FU33" s="485"/>
      <c r="FV33" s="456">
        <f>CF!FV11</f>
        <v>10.094591176715156</v>
      </c>
      <c r="FW33" s="456">
        <f>CF!FW11</f>
        <v>10.228465487059264</v>
      </c>
      <c r="FX33" s="456">
        <f>CF!FX11</f>
        <v>10.348952366368962</v>
      </c>
      <c r="FY33" s="456">
        <f>CF!FY11</f>
        <v>10.45739055774769</v>
      </c>
      <c r="FZ33" s="456">
        <f t="shared" ref="FZ33:FZ38" si="17">SUM(FV33:FY33)</f>
        <v>41.129399587891072</v>
      </c>
      <c r="GA33" s="485"/>
      <c r="GB33" s="456">
        <f>CF!GB11</f>
        <v>11.096008616010288</v>
      </c>
      <c r="GC33" s="456">
        <f>CF!GC11</f>
        <v>11.232379353297709</v>
      </c>
      <c r="GD33" s="456">
        <f>CF!GD11</f>
        <v>11.354544805451024</v>
      </c>
      <c r="GE33" s="456">
        <f>CF!GE11</f>
        <v>11.463984689671701</v>
      </c>
      <c r="GF33" s="456">
        <f t="shared" ref="GF33:GF38" si="18">SUM(GB33:GE33)</f>
        <v>45.146917464430729</v>
      </c>
      <c r="GG33" s="485"/>
      <c r="GH33" s="456">
        <f>CF!GH11</f>
        <v>11.67186200824308</v>
      </c>
      <c r="GI33" s="456">
        <f>CF!GI11</f>
        <v>11.858085439463274</v>
      </c>
      <c r="GJ33" s="456">
        <f>CF!GJ11</f>
        <v>12.024910596598032</v>
      </c>
      <c r="GK33" s="456">
        <f>CF!GK11</f>
        <v>12.174358133197918</v>
      </c>
      <c r="GL33" s="456">
        <f t="shared" ref="GL33:GL38" si="19">SUM(GH33:GK33)</f>
        <v>47.729216177502309</v>
      </c>
      <c r="GM33" s="485"/>
      <c r="GN33" s="456">
        <f>CF!GN11</f>
        <v>12.967734074351672</v>
      </c>
      <c r="GO33" s="456">
        <f>CF!GO11</f>
        <v>13.145553581327933</v>
      </c>
      <c r="GP33" s="456">
        <f>CF!GP11</f>
        <v>13.304044881024165</v>
      </c>
      <c r="GQ33" s="456">
        <f>CF!GQ11</f>
        <v>13.445308865536024</v>
      </c>
      <c r="GR33" s="456">
        <f t="shared" ref="GR33:GR38" si="20">SUM(GN33:GQ33)</f>
        <v>52.862641402239788</v>
      </c>
      <c r="GS33" s="490"/>
      <c r="GT33" s="456">
        <f>CF!GT11</f>
        <v>13.706143313772175</v>
      </c>
      <c r="GU33" s="456">
        <f>CF!GU11</f>
        <v>13.938626191547874</v>
      </c>
      <c r="GV33" s="456">
        <f>CF!GV11</f>
        <v>14.145839191304477</v>
      </c>
      <c r="GW33" s="456">
        <f>CF!GW11</f>
        <v>14.330529038913623</v>
      </c>
      <c r="GX33" s="456">
        <f t="shared" ref="GX33:GX38" si="21">SUM(GT33:GW33)</f>
        <v>56.121137735538149</v>
      </c>
      <c r="GY33" s="490"/>
      <c r="GZ33" s="456">
        <f>CF!GZ11</f>
        <v>14.64153779353169</v>
      </c>
      <c r="HA33" s="456">
        <f>CF!HA11</f>
        <v>14.918741248734751</v>
      </c>
      <c r="HB33" s="456">
        <f>CF!HB11</f>
        <v>15.165813893589654</v>
      </c>
      <c r="HC33" s="456">
        <f>CF!HC11</f>
        <v>15.386030816177714</v>
      </c>
      <c r="HD33" s="456">
        <f t="shared" ref="HD33:HD38" si="22">SUM(GZ33:HC33)</f>
        <v>60.11212375203381</v>
      </c>
      <c r="HE33" s="490"/>
      <c r="HH33" s="513"/>
      <c r="HI33" s="513"/>
      <c r="HJ33" s="513"/>
      <c r="HK33" s="513"/>
      <c r="HL33" s="513"/>
      <c r="HM33" s="513"/>
      <c r="HN33" s="513"/>
      <c r="HO33" s="513"/>
    </row>
    <row r="34" spans="1:223" hidden="1" outlineLevel="1">
      <c r="A34" s="413"/>
      <c r="B34" s="8" t="s">
        <v>85</v>
      </c>
      <c r="C34" s="413"/>
      <c r="DH34" s="17">
        <f>CF!DH12</f>
        <v>1.413</v>
      </c>
      <c r="DI34" s="17">
        <f>CF!DI12</f>
        <v>1.421</v>
      </c>
      <c r="DJ34" s="17">
        <f>CF!DJ12</f>
        <v>1.4209999999999998</v>
      </c>
      <c r="DK34" s="17">
        <f>CF!DK12</f>
        <v>1.673</v>
      </c>
      <c r="DL34" s="354">
        <f t="shared" si="6"/>
        <v>5.9279999999999999</v>
      </c>
      <c r="DM34" s="354"/>
      <c r="DN34" s="17">
        <f>CF!DN12</f>
        <v>2.5590000000000002</v>
      </c>
      <c r="DO34" s="17">
        <f>CF!DO12</f>
        <v>2.5430000000000001</v>
      </c>
      <c r="DP34" s="17">
        <f>CF!DP12</f>
        <v>2.38</v>
      </c>
      <c r="DQ34" s="17">
        <f>CF!DQ12</f>
        <v>2.4430000000000005</v>
      </c>
      <c r="DR34" s="354">
        <f t="shared" si="7"/>
        <v>9.9250000000000007</v>
      </c>
      <c r="DS34" s="354"/>
      <c r="DT34" s="17">
        <f>CF!DT12</f>
        <v>2.452</v>
      </c>
      <c r="DU34" s="17">
        <f>CF!DU12</f>
        <v>2.4669999999999996</v>
      </c>
      <c r="DV34" s="17">
        <f>CF!DV12</f>
        <v>2.468</v>
      </c>
      <c r="DW34" s="17">
        <f>CF!DW12</f>
        <v>2.4300000000000006</v>
      </c>
      <c r="DX34" s="354">
        <f t="shared" si="8"/>
        <v>9.8170000000000002</v>
      </c>
      <c r="DY34" s="354"/>
      <c r="DZ34" s="17">
        <f>CF!DZ12</f>
        <v>2.4580000000000002</v>
      </c>
      <c r="EA34" s="17">
        <f>CF!EA12</f>
        <v>3.7509999999999994</v>
      </c>
      <c r="EB34" s="17">
        <f>CF!EB12</f>
        <v>8.4740000000000002</v>
      </c>
      <c r="EC34" s="17">
        <f>CF!EC12</f>
        <v>8.4770000000000003</v>
      </c>
      <c r="ED34" s="354">
        <f t="shared" si="9"/>
        <v>23.16</v>
      </c>
      <c r="EE34" s="354"/>
      <c r="EF34" s="17">
        <f>CF!EF12</f>
        <v>8.49</v>
      </c>
      <c r="EG34" s="17">
        <f>CF!EG12</f>
        <v>8.488999999999999</v>
      </c>
      <c r="EH34" s="17">
        <f>CF!EH12</f>
        <v>8.4909999999999997</v>
      </c>
      <c r="EI34" s="17">
        <f>CF!EI12</f>
        <v>8.588000000000001</v>
      </c>
      <c r="EJ34" s="354">
        <f t="shared" si="10"/>
        <v>34.058</v>
      </c>
      <c r="EK34" s="354"/>
      <c r="EL34" s="17">
        <f>CF!EL12</f>
        <v>8.7829999999999995</v>
      </c>
      <c r="EM34" s="17">
        <f>CF!EM12</f>
        <v>8.7829999999999995</v>
      </c>
      <c r="EN34" s="17">
        <f>CF!EN12</f>
        <v>8.7840000000000025</v>
      </c>
      <c r="EO34" s="17">
        <f>CF!EO12</f>
        <v>8.7830000000000013</v>
      </c>
      <c r="EP34" s="354">
        <f t="shared" si="11"/>
        <v>35.133000000000003</v>
      </c>
      <c r="EQ34" s="485"/>
      <c r="ER34" s="17">
        <f>CF!ER12</f>
        <v>8.3620000000000001</v>
      </c>
      <c r="ES34" s="17">
        <f>CF!ES12</f>
        <v>8.3609999999999989</v>
      </c>
      <c r="ET34" s="17">
        <f>CF!ET12</f>
        <v>8.3620000000000037</v>
      </c>
      <c r="EU34" s="17">
        <f>CF!EU12</f>
        <v>8.3609999999999953</v>
      </c>
      <c r="EV34" s="456">
        <f t="shared" si="12"/>
        <v>33.445999999999998</v>
      </c>
      <c r="EW34" s="485"/>
      <c r="EX34" s="109">
        <v>8.3620000000000001</v>
      </c>
      <c r="EY34" s="109">
        <v>8.1240000000000006</v>
      </c>
      <c r="EZ34" s="109">
        <v>7.6340000000000003</v>
      </c>
      <c r="FA34" s="109">
        <v>7.6319999999999997</v>
      </c>
      <c r="FB34" s="456">
        <f t="shared" si="13"/>
        <v>31.752000000000002</v>
      </c>
      <c r="FC34" s="485"/>
      <c r="FD34" s="670">
        <f>CF!FD12</f>
        <v>0</v>
      </c>
      <c r="FE34" s="456">
        <f>CF!FE12</f>
        <v>0</v>
      </c>
      <c r="FF34" s="456">
        <f>CF!FF12</f>
        <v>0</v>
      </c>
      <c r="FG34" s="456">
        <f>CF!FG12</f>
        <v>0</v>
      </c>
      <c r="FH34" s="456">
        <f t="shared" si="14"/>
        <v>0</v>
      </c>
      <c r="FI34" s="485"/>
      <c r="FJ34" s="456">
        <f>CF!FJ12</f>
        <v>0</v>
      </c>
      <c r="FK34" s="456">
        <f>CF!FK12</f>
        <v>0</v>
      </c>
      <c r="FL34" s="456">
        <f>CF!FL12</f>
        <v>0</v>
      </c>
      <c r="FM34" s="456">
        <f>CF!FM12</f>
        <v>0</v>
      </c>
      <c r="FN34" s="456">
        <f t="shared" si="15"/>
        <v>0</v>
      </c>
      <c r="FO34" s="485"/>
      <c r="FP34" s="456">
        <f>CF!FP12</f>
        <v>0</v>
      </c>
      <c r="FQ34" s="456">
        <f>CF!FQ12</f>
        <v>0</v>
      </c>
      <c r="FR34" s="456">
        <f>CF!FR12</f>
        <v>0</v>
      </c>
      <c r="FS34" s="456">
        <f>CF!FS12</f>
        <v>0</v>
      </c>
      <c r="FT34" s="456">
        <f t="shared" si="16"/>
        <v>0</v>
      </c>
      <c r="FU34" s="485"/>
      <c r="FV34" s="456">
        <f>CF!FV12</f>
        <v>0</v>
      </c>
      <c r="FW34" s="456">
        <f>CF!FW12</f>
        <v>0</v>
      </c>
      <c r="FX34" s="456">
        <f>CF!FX12</f>
        <v>0</v>
      </c>
      <c r="FY34" s="456">
        <f>CF!FY12</f>
        <v>0</v>
      </c>
      <c r="FZ34" s="456">
        <f t="shared" si="17"/>
        <v>0</v>
      </c>
      <c r="GA34" s="485"/>
      <c r="GB34" s="456">
        <f>CF!GB12</f>
        <v>0</v>
      </c>
      <c r="GC34" s="456">
        <f>CF!GC12</f>
        <v>0</v>
      </c>
      <c r="GD34" s="456">
        <f>CF!GD12</f>
        <v>0</v>
      </c>
      <c r="GE34" s="456">
        <f>CF!GE12</f>
        <v>0</v>
      </c>
      <c r="GF34" s="456">
        <f t="shared" si="18"/>
        <v>0</v>
      </c>
      <c r="GG34" s="485"/>
      <c r="GH34" s="456">
        <f>CF!GH12</f>
        <v>0</v>
      </c>
      <c r="GI34" s="456">
        <f>CF!GI12</f>
        <v>0</v>
      </c>
      <c r="GJ34" s="456">
        <f>CF!GJ12</f>
        <v>0</v>
      </c>
      <c r="GK34" s="456">
        <f>CF!GK12</f>
        <v>0</v>
      </c>
      <c r="GL34" s="456">
        <f t="shared" si="19"/>
        <v>0</v>
      </c>
      <c r="GM34" s="485"/>
      <c r="GN34" s="456">
        <f>CF!GN12</f>
        <v>0</v>
      </c>
      <c r="GO34" s="456">
        <f>CF!GO12</f>
        <v>0</v>
      </c>
      <c r="GP34" s="456">
        <f>CF!GP12</f>
        <v>0</v>
      </c>
      <c r="GQ34" s="456">
        <f>CF!GQ12</f>
        <v>0</v>
      </c>
      <c r="GR34" s="456">
        <f t="shared" si="20"/>
        <v>0</v>
      </c>
      <c r="GS34" s="490"/>
      <c r="GT34" s="456">
        <f>CF!GT12</f>
        <v>0</v>
      </c>
      <c r="GU34" s="456">
        <f>CF!GU12</f>
        <v>0</v>
      </c>
      <c r="GV34" s="456">
        <f>CF!GV12</f>
        <v>0</v>
      </c>
      <c r="GW34" s="456">
        <f>CF!GW12</f>
        <v>0</v>
      </c>
      <c r="GX34" s="456">
        <f t="shared" si="21"/>
        <v>0</v>
      </c>
      <c r="GY34" s="490"/>
      <c r="GZ34" s="456">
        <f>CF!GZ12</f>
        <v>0</v>
      </c>
      <c r="HA34" s="456">
        <f>CF!HA12</f>
        <v>0</v>
      </c>
      <c r="HB34" s="456">
        <f>CF!HB12</f>
        <v>0</v>
      </c>
      <c r="HC34" s="456">
        <f>CF!HC12</f>
        <v>0</v>
      </c>
      <c r="HD34" s="456">
        <f t="shared" si="22"/>
        <v>0</v>
      </c>
      <c r="HE34" s="490"/>
      <c r="HH34" s="513"/>
      <c r="HI34" s="513"/>
      <c r="HJ34" s="513"/>
      <c r="HK34" s="513"/>
      <c r="HL34" s="513"/>
      <c r="HM34" s="513"/>
      <c r="HN34" s="513"/>
      <c r="HO34" s="513"/>
    </row>
    <row r="35" spans="1:223" hidden="1" outlineLevel="1">
      <c r="B35" s="8" t="s">
        <v>525</v>
      </c>
      <c r="DH35" s="17">
        <f>CF!DH13</f>
        <v>1.6240000000000001</v>
      </c>
      <c r="DI35" s="17">
        <f>CF!DI13</f>
        <v>2.3329999999999997</v>
      </c>
      <c r="DJ35" s="17">
        <f>CF!DJ13</f>
        <v>1.1909999999999998</v>
      </c>
      <c r="DK35" s="17">
        <f>CF!DK13</f>
        <v>1.8070000000000004</v>
      </c>
      <c r="DL35" s="354">
        <f t="shared" si="6"/>
        <v>6.9550000000000001</v>
      </c>
      <c r="DM35" s="354"/>
      <c r="DN35" s="17">
        <f>CF!DN13</f>
        <v>2.1389999999999998</v>
      </c>
      <c r="DO35" s="17">
        <f>CF!DO13</f>
        <v>2.3130000000000002</v>
      </c>
      <c r="DP35" s="17">
        <f>CF!DP13</f>
        <v>3.2750000000000004</v>
      </c>
      <c r="DQ35" s="17">
        <f>CF!DQ13</f>
        <v>2.2729999999999997</v>
      </c>
      <c r="DR35" s="354">
        <f t="shared" si="7"/>
        <v>10</v>
      </c>
      <c r="DS35" s="354"/>
      <c r="DT35" s="17">
        <f>CF!DT13</f>
        <v>2.1859999999999999</v>
      </c>
      <c r="DU35" s="17">
        <f>CF!DU13</f>
        <v>2.6349999999999998</v>
      </c>
      <c r="DV35" s="17">
        <f>CF!DV13</f>
        <v>2.7149999999999999</v>
      </c>
      <c r="DW35" s="17">
        <f>CF!DW13</f>
        <v>2.6760000000000002</v>
      </c>
      <c r="DX35" s="354">
        <f t="shared" si="8"/>
        <v>10.212</v>
      </c>
      <c r="DY35" s="354"/>
      <c r="DZ35" s="17">
        <f>CF!DZ13</f>
        <v>2.653</v>
      </c>
      <c r="EA35" s="17">
        <f>CF!EA13</f>
        <v>4.5060000000000002</v>
      </c>
      <c r="EB35" s="17">
        <f>CF!EB13</f>
        <v>5.237000000000001</v>
      </c>
      <c r="EC35" s="17">
        <f>CF!EC13</f>
        <v>10.061999999999998</v>
      </c>
      <c r="ED35" s="354">
        <f t="shared" si="9"/>
        <v>22.457999999999998</v>
      </c>
      <c r="EE35" s="354"/>
      <c r="EF35" s="17">
        <f>CF!EF13</f>
        <v>12.103</v>
      </c>
      <c r="EG35" s="17">
        <f>CF!EG13</f>
        <v>3.6259999999999994</v>
      </c>
      <c r="EH35" s="17">
        <f>CF!EH13</f>
        <v>4.2800000000000011</v>
      </c>
      <c r="EI35" s="17">
        <f>CF!EI13</f>
        <v>4.6630000000000003</v>
      </c>
      <c r="EJ35" s="354">
        <f t="shared" si="10"/>
        <v>24.672000000000001</v>
      </c>
      <c r="EK35" s="354"/>
      <c r="EL35" s="17">
        <f>CF!EL13</f>
        <v>4.758</v>
      </c>
      <c r="EM35" s="17">
        <f>CF!EM13</f>
        <v>5.7049999999999992</v>
      </c>
      <c r="EN35" s="17">
        <f>CF!EN13</f>
        <v>7.1800000000000015</v>
      </c>
      <c r="EO35" s="17">
        <f>CF!EO13</f>
        <v>6.9899999999999984</v>
      </c>
      <c r="EP35" s="354">
        <f t="shared" si="11"/>
        <v>24.632999999999999</v>
      </c>
      <c r="EQ35" s="485"/>
      <c r="ER35" s="17">
        <f>CF!ER13</f>
        <v>7.774</v>
      </c>
      <c r="ES35" s="17">
        <f>CF!ES13</f>
        <v>8.8409999999999975</v>
      </c>
      <c r="ET35" s="17">
        <f>CF!ET13</f>
        <v>8.4700000000000024</v>
      </c>
      <c r="EU35" s="17">
        <f>CF!EU13</f>
        <v>8.3279999999999959</v>
      </c>
      <c r="EV35" s="456">
        <f t="shared" si="12"/>
        <v>33.412999999999997</v>
      </c>
      <c r="EW35" s="485"/>
      <c r="EX35" s="109">
        <v>10.754</v>
      </c>
      <c r="EY35" s="109">
        <v>12.215</v>
      </c>
      <c r="EZ35" s="109">
        <v>10.305</v>
      </c>
      <c r="FA35" s="109">
        <v>8.0419999999999998</v>
      </c>
      <c r="FB35" s="456">
        <f t="shared" si="13"/>
        <v>41.316000000000003</v>
      </c>
      <c r="FC35" s="485"/>
      <c r="FD35" s="670">
        <f>CF!FD13</f>
        <v>0</v>
      </c>
      <c r="FE35" s="456">
        <f>CF!FE13</f>
        <v>0</v>
      </c>
      <c r="FF35" s="456">
        <f>CF!FF13</f>
        <v>0</v>
      </c>
      <c r="FG35" s="456">
        <f>CF!FG13</f>
        <v>0</v>
      </c>
      <c r="FH35" s="456">
        <f t="shared" si="14"/>
        <v>0</v>
      </c>
      <c r="FI35" s="485"/>
      <c r="FJ35" s="456">
        <f>CF!FJ13</f>
        <v>0</v>
      </c>
      <c r="FK35" s="456">
        <f>CF!FK13</f>
        <v>0</v>
      </c>
      <c r="FL35" s="456">
        <f>CF!FL13</f>
        <v>0</v>
      </c>
      <c r="FM35" s="456">
        <f>CF!FM13</f>
        <v>0</v>
      </c>
      <c r="FN35" s="456">
        <f t="shared" si="15"/>
        <v>0</v>
      </c>
      <c r="FO35" s="485"/>
      <c r="FP35" s="456">
        <f>CF!FP13</f>
        <v>0</v>
      </c>
      <c r="FQ35" s="456">
        <f>CF!FQ13</f>
        <v>0</v>
      </c>
      <c r="FR35" s="456">
        <f>CF!FR13</f>
        <v>0</v>
      </c>
      <c r="FS35" s="456">
        <f>CF!FS13</f>
        <v>0</v>
      </c>
      <c r="FT35" s="456">
        <f t="shared" si="16"/>
        <v>0</v>
      </c>
      <c r="FU35" s="485"/>
      <c r="FV35" s="456">
        <f>CF!FV13</f>
        <v>0</v>
      </c>
      <c r="FW35" s="456">
        <f>CF!FW13</f>
        <v>0</v>
      </c>
      <c r="FX35" s="456">
        <f>CF!FX13</f>
        <v>0</v>
      </c>
      <c r="FY35" s="456">
        <f>CF!FY13</f>
        <v>0</v>
      </c>
      <c r="FZ35" s="456">
        <f t="shared" si="17"/>
        <v>0</v>
      </c>
      <c r="GA35" s="485"/>
      <c r="GB35" s="456">
        <f>CF!GB13</f>
        <v>0</v>
      </c>
      <c r="GC35" s="456">
        <f>CF!GC13</f>
        <v>0</v>
      </c>
      <c r="GD35" s="456">
        <f>CF!GD13</f>
        <v>0</v>
      </c>
      <c r="GE35" s="456">
        <f>CF!GE13</f>
        <v>0</v>
      </c>
      <c r="GF35" s="456">
        <f t="shared" si="18"/>
        <v>0</v>
      </c>
      <c r="GG35" s="485"/>
      <c r="GH35" s="456">
        <f>CF!GH13</f>
        <v>0</v>
      </c>
      <c r="GI35" s="456">
        <f>CF!GI13</f>
        <v>0</v>
      </c>
      <c r="GJ35" s="456">
        <f>CF!GJ13</f>
        <v>0</v>
      </c>
      <c r="GK35" s="456">
        <f>CF!GK13</f>
        <v>0</v>
      </c>
      <c r="GL35" s="456">
        <f t="shared" si="19"/>
        <v>0</v>
      </c>
      <c r="GM35" s="485"/>
      <c r="GN35" s="456">
        <f>CF!GN13</f>
        <v>0</v>
      </c>
      <c r="GO35" s="456">
        <f>CF!GO13</f>
        <v>0</v>
      </c>
      <c r="GP35" s="456">
        <f>CF!GP13</f>
        <v>0</v>
      </c>
      <c r="GQ35" s="456">
        <f>CF!GQ13</f>
        <v>0</v>
      </c>
      <c r="GR35" s="456">
        <f t="shared" si="20"/>
        <v>0</v>
      </c>
      <c r="GS35" s="490"/>
      <c r="GT35" s="456">
        <f>CF!GT13</f>
        <v>0</v>
      </c>
      <c r="GU35" s="456">
        <f>CF!GU13</f>
        <v>0</v>
      </c>
      <c r="GV35" s="456">
        <f>CF!GV13</f>
        <v>0</v>
      </c>
      <c r="GW35" s="456">
        <f>CF!GW13</f>
        <v>0</v>
      </c>
      <c r="GX35" s="456">
        <f t="shared" si="21"/>
        <v>0</v>
      </c>
      <c r="GY35" s="490"/>
      <c r="GZ35" s="456">
        <f>CF!GZ13</f>
        <v>0</v>
      </c>
      <c r="HA35" s="456">
        <f>CF!HA13</f>
        <v>0</v>
      </c>
      <c r="HB35" s="456">
        <f>CF!HB13</f>
        <v>0</v>
      </c>
      <c r="HC35" s="456">
        <f>CF!HC13</f>
        <v>0</v>
      </c>
      <c r="HD35" s="456">
        <f t="shared" si="22"/>
        <v>0</v>
      </c>
      <c r="HE35" s="490"/>
      <c r="HH35" s="513"/>
      <c r="HI35" s="513"/>
      <c r="HJ35" s="513"/>
      <c r="HK35" s="513"/>
      <c r="HL35" s="513"/>
      <c r="HM35" s="513"/>
      <c r="HN35" s="513"/>
      <c r="HO35" s="513"/>
    </row>
    <row r="36" spans="1:223" hidden="1" outlineLevel="1">
      <c r="A36" s="413"/>
      <c r="B36" s="8" t="s">
        <v>627</v>
      </c>
      <c r="C36" s="413"/>
      <c r="DH36" s="109">
        <v>0</v>
      </c>
      <c r="DI36" s="109">
        <v>1.8220000000000001</v>
      </c>
      <c r="DJ36" s="109">
        <v>0.67</v>
      </c>
      <c r="DK36" s="109">
        <v>0</v>
      </c>
      <c r="DL36" s="354">
        <f t="shared" si="6"/>
        <v>2.492</v>
      </c>
      <c r="DM36" s="354"/>
      <c r="DN36" s="109">
        <v>0</v>
      </c>
      <c r="DO36" s="109">
        <v>0</v>
      </c>
      <c r="DP36" s="109">
        <v>0</v>
      </c>
      <c r="DQ36" s="109">
        <v>0</v>
      </c>
      <c r="DR36" s="354">
        <f t="shared" si="7"/>
        <v>0</v>
      </c>
      <c r="DS36" s="354"/>
      <c r="DT36" s="109">
        <v>0</v>
      </c>
      <c r="DU36" s="109">
        <v>0</v>
      </c>
      <c r="DV36" s="109">
        <v>0</v>
      </c>
      <c r="DW36" s="109">
        <v>0</v>
      </c>
      <c r="DX36" s="354">
        <f t="shared" si="8"/>
        <v>0</v>
      </c>
      <c r="DY36" s="354"/>
      <c r="DZ36" s="109">
        <f>6.061+0.46</f>
        <v>6.5209999999999999</v>
      </c>
      <c r="EA36" s="109">
        <f>0.368</f>
        <v>0.36799999999999999</v>
      </c>
      <c r="EB36" s="109">
        <v>0.77500000000000002</v>
      </c>
      <c r="EC36" s="109">
        <v>0.378</v>
      </c>
      <c r="ED36" s="354">
        <f t="shared" si="9"/>
        <v>8.0419999999999998</v>
      </c>
      <c r="EE36" s="354"/>
      <c r="EF36" s="109">
        <v>0</v>
      </c>
      <c r="EG36" s="109">
        <v>0</v>
      </c>
      <c r="EH36" s="109">
        <v>2.7919999999999998</v>
      </c>
      <c r="EI36" s="109">
        <v>1.536</v>
      </c>
      <c r="EJ36" s="354">
        <f t="shared" si="10"/>
        <v>4.3279999999999994</v>
      </c>
      <c r="EK36" s="354"/>
      <c r="EL36" s="109">
        <v>4.6840000000000002</v>
      </c>
      <c r="EM36" s="109">
        <v>3.0739999999999998</v>
      </c>
      <c r="EN36" s="109">
        <v>2.125</v>
      </c>
      <c r="EO36" s="109">
        <v>1.2050000000000001</v>
      </c>
      <c r="EP36" s="354">
        <f t="shared" si="11"/>
        <v>11.087999999999999</v>
      </c>
      <c r="EQ36" s="485"/>
      <c r="ER36" s="109">
        <v>2.3980000000000001</v>
      </c>
      <c r="ES36" s="109">
        <v>1.544</v>
      </c>
      <c r="ET36" s="109">
        <v>1.0089999999999999</v>
      </c>
      <c r="EU36" s="109">
        <v>1.7070000000000001</v>
      </c>
      <c r="EV36" s="456">
        <f t="shared" si="12"/>
        <v>6.6580000000000004</v>
      </c>
      <c r="EW36" s="485"/>
      <c r="EX36" s="109">
        <v>0</v>
      </c>
      <c r="EY36" s="109">
        <v>0.63700000000000001</v>
      </c>
      <c r="EZ36" s="109">
        <f>0.319</f>
        <v>0.31900000000000001</v>
      </c>
      <c r="FA36" s="109">
        <v>0.35099999999999998</v>
      </c>
      <c r="FB36" s="456">
        <f t="shared" si="13"/>
        <v>1.3069999999999999</v>
      </c>
      <c r="FC36" s="485"/>
      <c r="FD36" s="557"/>
      <c r="FE36" s="485"/>
      <c r="FF36" s="485"/>
      <c r="FG36" s="485"/>
      <c r="FH36" s="485">
        <f t="shared" si="14"/>
        <v>0</v>
      </c>
      <c r="FI36" s="485"/>
      <c r="FJ36" s="485"/>
      <c r="FK36" s="485"/>
      <c r="FL36" s="485"/>
      <c r="FM36" s="485"/>
      <c r="FN36" s="485">
        <f t="shared" si="15"/>
        <v>0</v>
      </c>
      <c r="FO36" s="485"/>
      <c r="FP36" s="485"/>
      <c r="FQ36" s="485"/>
      <c r="FR36" s="485"/>
      <c r="FS36" s="485"/>
      <c r="FT36" s="485">
        <f t="shared" si="16"/>
        <v>0</v>
      </c>
      <c r="FU36" s="485"/>
      <c r="FV36" s="485"/>
      <c r="FW36" s="485"/>
      <c r="FX36" s="485"/>
      <c r="FY36" s="485"/>
      <c r="FZ36" s="485">
        <f t="shared" si="17"/>
        <v>0</v>
      </c>
      <c r="GA36" s="485"/>
      <c r="GB36" s="485"/>
      <c r="GC36" s="485"/>
      <c r="GD36" s="485"/>
      <c r="GE36" s="485"/>
      <c r="GF36" s="485">
        <f t="shared" si="18"/>
        <v>0</v>
      </c>
      <c r="GG36" s="485"/>
      <c r="GH36" s="485"/>
      <c r="GI36" s="485"/>
      <c r="GJ36" s="485"/>
      <c r="GK36" s="485"/>
      <c r="GL36" s="485">
        <f t="shared" si="19"/>
        <v>0</v>
      </c>
      <c r="GM36" s="485"/>
      <c r="GN36" s="485"/>
      <c r="GO36" s="485"/>
      <c r="GP36" s="485"/>
      <c r="GQ36" s="485"/>
      <c r="GR36" s="485">
        <f t="shared" si="20"/>
        <v>0</v>
      </c>
      <c r="GS36" s="490"/>
      <c r="GT36" s="485"/>
      <c r="GU36" s="485"/>
      <c r="GV36" s="485"/>
      <c r="GW36" s="485"/>
      <c r="GX36" s="485">
        <f t="shared" si="21"/>
        <v>0</v>
      </c>
      <c r="GY36" s="490"/>
      <c r="GZ36" s="485"/>
      <c r="HA36" s="485"/>
      <c r="HB36" s="485"/>
      <c r="HC36" s="485"/>
      <c r="HD36" s="485">
        <f t="shared" si="22"/>
        <v>0</v>
      </c>
      <c r="HE36" s="490"/>
      <c r="HH36" s="513"/>
      <c r="HI36" s="513"/>
      <c r="HJ36" s="513"/>
      <c r="HK36" s="513"/>
      <c r="HL36" s="513"/>
      <c r="HM36" s="513"/>
      <c r="HN36" s="513"/>
      <c r="HO36" s="513"/>
    </row>
    <row r="37" spans="1:223" hidden="1" outlineLevel="1">
      <c r="A37" s="413"/>
      <c r="B37" s="8" t="s">
        <v>526</v>
      </c>
      <c r="C37" s="413"/>
      <c r="DH37" s="109">
        <v>0</v>
      </c>
      <c r="DI37" s="109">
        <v>0</v>
      </c>
      <c r="DJ37" s="109">
        <v>0</v>
      </c>
      <c r="DK37" s="109">
        <v>2.3250000000000002</v>
      </c>
      <c r="DL37" s="354">
        <f t="shared" si="6"/>
        <v>2.3250000000000002</v>
      </c>
      <c r="DM37" s="354"/>
      <c r="DN37" s="109">
        <v>1.266</v>
      </c>
      <c r="DO37" s="109">
        <v>0.51200000000000001</v>
      </c>
      <c r="DP37" s="109">
        <v>0.33400000000000002</v>
      </c>
      <c r="DQ37" s="109">
        <v>1.052</v>
      </c>
      <c r="DR37" s="354">
        <f t="shared" si="7"/>
        <v>3.1640000000000001</v>
      </c>
      <c r="DS37" s="354"/>
      <c r="DT37" s="109">
        <v>1.296</v>
      </c>
      <c r="DU37" s="109">
        <v>0.11</v>
      </c>
      <c r="DV37" s="109">
        <v>0.44600000000000001</v>
      </c>
      <c r="DW37" s="109">
        <v>0.22</v>
      </c>
      <c r="DX37" s="354">
        <f t="shared" si="8"/>
        <v>2.0720000000000001</v>
      </c>
      <c r="DY37" s="354"/>
      <c r="DZ37" s="109">
        <v>0.81399999999999995</v>
      </c>
      <c r="EA37" s="109">
        <v>10.997999999999999</v>
      </c>
      <c r="EB37" s="109">
        <v>1.5329999999999999</v>
      </c>
      <c r="EC37" s="109">
        <v>2.3380000000000001</v>
      </c>
      <c r="ED37" s="354">
        <f t="shared" si="9"/>
        <v>15.683</v>
      </c>
      <c r="EE37" s="354"/>
      <c r="EF37" s="109">
        <v>1.03</v>
      </c>
      <c r="EG37" s="109">
        <v>1.252</v>
      </c>
      <c r="EH37" s="109">
        <v>0.19700000000000001</v>
      </c>
      <c r="EI37" s="109">
        <v>0</v>
      </c>
      <c r="EJ37" s="354">
        <f t="shared" si="10"/>
        <v>2.4790000000000001</v>
      </c>
      <c r="EK37" s="354"/>
      <c r="EL37" s="109">
        <v>0</v>
      </c>
      <c r="EM37" s="109">
        <v>0</v>
      </c>
      <c r="EN37" s="109">
        <v>0</v>
      </c>
      <c r="EO37" s="109">
        <v>0</v>
      </c>
      <c r="EP37" s="354">
        <f t="shared" si="11"/>
        <v>0</v>
      </c>
      <c r="EQ37" s="485"/>
      <c r="ER37" s="109">
        <v>0</v>
      </c>
      <c r="ES37" s="109">
        <v>0</v>
      </c>
      <c r="ET37" s="109">
        <v>0</v>
      </c>
      <c r="EU37" s="109">
        <v>0</v>
      </c>
      <c r="EV37" s="456">
        <f t="shared" si="12"/>
        <v>0</v>
      </c>
      <c r="EW37" s="485"/>
      <c r="EX37" s="109">
        <v>0</v>
      </c>
      <c r="EY37" s="109">
        <v>3.2040000000000002</v>
      </c>
      <c r="EZ37" s="109">
        <v>1.8</v>
      </c>
      <c r="FA37" s="109">
        <v>1.0900000000000001</v>
      </c>
      <c r="FB37" s="456">
        <f t="shared" si="13"/>
        <v>6.0940000000000003</v>
      </c>
      <c r="FC37" s="485"/>
      <c r="FD37" s="557"/>
      <c r="FE37" s="485"/>
      <c r="FF37" s="485"/>
      <c r="FG37" s="485"/>
      <c r="FH37" s="485">
        <f t="shared" si="14"/>
        <v>0</v>
      </c>
      <c r="FI37" s="485"/>
      <c r="FJ37" s="485"/>
      <c r="FK37" s="485"/>
      <c r="FL37" s="485"/>
      <c r="FM37" s="485"/>
      <c r="FN37" s="485">
        <f t="shared" si="15"/>
        <v>0</v>
      </c>
      <c r="FO37" s="485"/>
      <c r="FP37" s="485"/>
      <c r="FQ37" s="485"/>
      <c r="FR37" s="485"/>
      <c r="FS37" s="485"/>
      <c r="FT37" s="485">
        <f t="shared" si="16"/>
        <v>0</v>
      </c>
      <c r="FU37" s="485"/>
      <c r="FV37" s="485"/>
      <c r="FW37" s="485"/>
      <c r="FX37" s="485"/>
      <c r="FY37" s="485"/>
      <c r="FZ37" s="485">
        <f t="shared" si="17"/>
        <v>0</v>
      </c>
      <c r="GA37" s="485"/>
      <c r="GB37" s="485"/>
      <c r="GC37" s="485"/>
      <c r="GD37" s="485"/>
      <c r="GE37" s="485"/>
      <c r="GF37" s="485">
        <f t="shared" si="18"/>
        <v>0</v>
      </c>
      <c r="GG37" s="485"/>
      <c r="GH37" s="485"/>
      <c r="GI37" s="485"/>
      <c r="GJ37" s="485"/>
      <c r="GK37" s="485"/>
      <c r="GL37" s="485">
        <f t="shared" si="19"/>
        <v>0</v>
      </c>
      <c r="GM37" s="485"/>
      <c r="GN37" s="485"/>
      <c r="GO37" s="485"/>
      <c r="GP37" s="485"/>
      <c r="GQ37" s="485"/>
      <c r="GR37" s="485">
        <f t="shared" si="20"/>
        <v>0</v>
      </c>
      <c r="GS37" s="490"/>
      <c r="GT37" s="485"/>
      <c r="GU37" s="485"/>
      <c r="GV37" s="485"/>
      <c r="GW37" s="485"/>
      <c r="GX37" s="485">
        <f t="shared" si="21"/>
        <v>0</v>
      </c>
      <c r="GY37" s="490"/>
      <c r="GZ37" s="485"/>
      <c r="HA37" s="485"/>
      <c r="HB37" s="485"/>
      <c r="HC37" s="485"/>
      <c r="HD37" s="485">
        <f t="shared" si="22"/>
        <v>0</v>
      </c>
      <c r="HE37" s="490"/>
      <c r="HH37" s="513"/>
      <c r="HI37" s="513"/>
      <c r="HJ37" s="513"/>
      <c r="HK37" s="513"/>
      <c r="HL37" s="513"/>
      <c r="HM37" s="513"/>
      <c r="HN37" s="513"/>
      <c r="HO37" s="513"/>
    </row>
    <row r="38" spans="1:223" hidden="1" outlineLevel="1">
      <c r="B38" s="8" t="s">
        <v>87</v>
      </c>
      <c r="DH38" s="109">
        <v>0</v>
      </c>
      <c r="DI38" s="109">
        <v>0</v>
      </c>
      <c r="DJ38" s="109">
        <v>0</v>
      </c>
      <c r="DK38" s="109">
        <v>0</v>
      </c>
      <c r="DL38" s="354">
        <f t="shared" si="6"/>
        <v>0</v>
      </c>
      <c r="DM38" s="354"/>
      <c r="DN38" s="109">
        <v>5.1449999999999996</v>
      </c>
      <c r="DO38" s="109">
        <v>1.018</v>
      </c>
      <c r="DP38" s="109">
        <v>0.36399999999999999</v>
      </c>
      <c r="DQ38" s="109">
        <v>-0.13400000000000001</v>
      </c>
      <c r="DR38" s="354">
        <f t="shared" si="7"/>
        <v>6.3929999999999989</v>
      </c>
      <c r="DS38" s="354"/>
      <c r="DT38" s="109">
        <v>-0.03</v>
      </c>
      <c r="DU38" s="109">
        <v>-1.9650000000000001</v>
      </c>
      <c r="DV38" s="109">
        <v>-0.105</v>
      </c>
      <c r="DW38" s="109">
        <v>-4.0259999999999998</v>
      </c>
      <c r="DX38" s="354">
        <f t="shared" si="8"/>
        <v>-6.1259999999999994</v>
      </c>
      <c r="DY38" s="354"/>
      <c r="DZ38" s="109">
        <v>5.0209999999999999</v>
      </c>
      <c r="EA38" s="109">
        <v>0.17399999999999999</v>
      </c>
      <c r="EB38" s="109">
        <f>10.5+1.814</f>
        <v>12.314</v>
      </c>
      <c r="EC38" s="109">
        <f>0.7+2.372</f>
        <v>3.0720000000000001</v>
      </c>
      <c r="ED38" s="354">
        <f t="shared" si="9"/>
        <v>20.581</v>
      </c>
      <c r="EE38" s="354"/>
      <c r="EF38" s="109">
        <v>2.831</v>
      </c>
      <c r="EG38" s="109">
        <v>1.94</v>
      </c>
      <c r="EH38" s="109">
        <v>3.1949999999999998</v>
      </c>
      <c r="EI38" s="109">
        <v>0.95199999999999996</v>
      </c>
      <c r="EJ38" s="354">
        <f t="shared" si="10"/>
        <v>8.9179999999999993</v>
      </c>
      <c r="EK38" s="354"/>
      <c r="EL38" s="109">
        <v>0.78900000000000003</v>
      </c>
      <c r="EM38" s="109">
        <v>7.5999999999999998E-2</v>
      </c>
      <c r="EN38" s="109">
        <v>0.158</v>
      </c>
      <c r="EO38" s="109">
        <v>1.242</v>
      </c>
      <c r="EP38" s="354">
        <f t="shared" si="11"/>
        <v>2.2649999999999997</v>
      </c>
      <c r="EQ38" s="485"/>
      <c r="ER38" s="109">
        <v>5.883</v>
      </c>
      <c r="ES38" s="109">
        <f>2.358+1.962</f>
        <v>4.32</v>
      </c>
      <c r="ET38" s="109">
        <f>0.677+6.113</f>
        <v>6.7900000000000009</v>
      </c>
      <c r="EU38" s="109">
        <f>1.085+1.397</f>
        <v>2.4820000000000002</v>
      </c>
      <c r="EV38" s="456">
        <f t="shared" si="12"/>
        <v>19.475000000000001</v>
      </c>
      <c r="EW38" s="485"/>
      <c r="EX38" s="109">
        <f>2.983+1.172+2.193</f>
        <v>6.3480000000000008</v>
      </c>
      <c r="EY38" s="109">
        <f>4.46+20.041</f>
        <v>24.501000000000001</v>
      </c>
      <c r="EZ38" s="109">
        <f>3.634+7.086</f>
        <v>10.72</v>
      </c>
      <c r="FA38" s="109">
        <f>0.626+0.206</f>
        <v>0.83199999999999996</v>
      </c>
      <c r="FB38" s="456">
        <f t="shared" si="13"/>
        <v>42.401000000000003</v>
      </c>
      <c r="FC38" s="485"/>
      <c r="FD38" s="557"/>
      <c r="FE38" s="485"/>
      <c r="FF38" s="485"/>
      <c r="FG38" s="485"/>
      <c r="FH38" s="485">
        <f t="shared" si="14"/>
        <v>0</v>
      </c>
      <c r="FI38" s="485"/>
      <c r="FJ38" s="485"/>
      <c r="FK38" s="485"/>
      <c r="FL38" s="485"/>
      <c r="FM38" s="485"/>
      <c r="FN38" s="485">
        <f t="shared" si="15"/>
        <v>0</v>
      </c>
      <c r="FO38" s="485"/>
      <c r="FP38" s="485"/>
      <c r="FQ38" s="485"/>
      <c r="FR38" s="485"/>
      <c r="FS38" s="485"/>
      <c r="FT38" s="485">
        <f t="shared" si="16"/>
        <v>0</v>
      </c>
      <c r="FU38" s="485"/>
      <c r="FV38" s="485"/>
      <c r="FW38" s="485"/>
      <c r="FX38" s="485"/>
      <c r="FY38" s="485"/>
      <c r="FZ38" s="485">
        <f t="shared" si="17"/>
        <v>0</v>
      </c>
      <c r="GA38" s="485"/>
      <c r="GB38" s="485"/>
      <c r="GC38" s="485"/>
      <c r="GD38" s="485"/>
      <c r="GE38" s="485"/>
      <c r="GF38" s="485">
        <f t="shared" si="18"/>
        <v>0</v>
      </c>
      <c r="GG38" s="485"/>
      <c r="GH38" s="485"/>
      <c r="GI38" s="485"/>
      <c r="GJ38" s="485"/>
      <c r="GK38" s="485"/>
      <c r="GL38" s="485">
        <f t="shared" si="19"/>
        <v>0</v>
      </c>
      <c r="GM38" s="485"/>
      <c r="GN38" s="485"/>
      <c r="GO38" s="485"/>
      <c r="GP38" s="485"/>
      <c r="GQ38" s="485"/>
      <c r="GR38" s="485">
        <f t="shared" si="20"/>
        <v>0</v>
      </c>
      <c r="GS38" s="490"/>
      <c r="GT38" s="485"/>
      <c r="GU38" s="485"/>
      <c r="GV38" s="485"/>
      <c r="GW38" s="485"/>
      <c r="GX38" s="485">
        <f t="shared" si="21"/>
        <v>0</v>
      </c>
      <c r="GY38" s="490"/>
      <c r="GZ38" s="485"/>
      <c r="HA38" s="485"/>
      <c r="HB38" s="485"/>
      <c r="HC38" s="485"/>
      <c r="HD38" s="485">
        <f t="shared" si="22"/>
        <v>0</v>
      </c>
      <c r="HE38" s="490"/>
      <c r="HH38" s="513"/>
      <c r="HI38" s="513"/>
      <c r="HJ38" s="513"/>
      <c r="HK38" s="513"/>
      <c r="HL38" s="513"/>
      <c r="HM38" s="513"/>
      <c r="HN38" s="513"/>
      <c r="HO38" s="513"/>
    </row>
    <row r="39" spans="1:223" hidden="1" outlineLevel="1">
      <c r="B39" s="8" t="s">
        <v>629</v>
      </c>
      <c r="DH39" s="109">
        <v>0</v>
      </c>
      <c r="DI39" s="109">
        <v>0</v>
      </c>
      <c r="DJ39" s="109">
        <v>0</v>
      </c>
      <c r="DK39" s="109">
        <v>0</v>
      </c>
      <c r="DL39" s="354">
        <f t="shared" si="6"/>
        <v>0</v>
      </c>
      <c r="DM39" s="354"/>
      <c r="DN39" s="109">
        <v>0</v>
      </c>
      <c r="DO39" s="109">
        <v>0</v>
      </c>
      <c r="DP39" s="109">
        <v>0</v>
      </c>
      <c r="DQ39" s="109">
        <v>0</v>
      </c>
      <c r="DR39" s="354">
        <f t="shared" si="7"/>
        <v>0</v>
      </c>
      <c r="DS39" s="354"/>
      <c r="DT39" s="109">
        <v>0</v>
      </c>
      <c r="DU39" s="109">
        <v>0</v>
      </c>
      <c r="DV39" s="109">
        <v>0</v>
      </c>
      <c r="DW39" s="109">
        <v>0</v>
      </c>
      <c r="DX39" s="354">
        <f t="shared" si="8"/>
        <v>0</v>
      </c>
      <c r="DY39" s="354"/>
      <c r="DZ39" s="109">
        <v>0</v>
      </c>
      <c r="EA39" s="109">
        <v>-96.534000000000006</v>
      </c>
      <c r="EB39" s="109">
        <v>-17.75</v>
      </c>
      <c r="EC39" s="109">
        <v>0</v>
      </c>
      <c r="ED39" s="354">
        <f t="shared" si="9"/>
        <v>-114.28400000000001</v>
      </c>
      <c r="EE39" s="354"/>
      <c r="EF39" s="109">
        <v>0</v>
      </c>
      <c r="EG39" s="109">
        <v>0</v>
      </c>
      <c r="EH39" s="109">
        <v>0</v>
      </c>
      <c r="EI39" s="109">
        <v>0</v>
      </c>
      <c r="EJ39" s="354">
        <f t="shared" si="10"/>
        <v>0</v>
      </c>
      <c r="EK39" s="354"/>
      <c r="EL39" s="109">
        <v>0</v>
      </c>
      <c r="EM39" s="109">
        <v>0</v>
      </c>
      <c r="EN39" s="109">
        <v>0</v>
      </c>
      <c r="EO39" s="109">
        <v>0</v>
      </c>
      <c r="EP39" s="354">
        <f t="shared" si="11"/>
        <v>0</v>
      </c>
      <c r="EQ39" s="485"/>
      <c r="ER39" s="109">
        <v>0</v>
      </c>
      <c r="ES39" s="109">
        <v>0</v>
      </c>
      <c r="ET39" s="109">
        <v>0</v>
      </c>
      <c r="EU39" s="109">
        <v>0</v>
      </c>
      <c r="EV39" s="17">
        <f t="shared" si="12"/>
        <v>0</v>
      </c>
      <c r="EW39" s="485"/>
      <c r="EX39" s="109">
        <v>0</v>
      </c>
      <c r="EY39" s="109">
        <v>0</v>
      </c>
      <c r="EZ39" s="109">
        <v>0</v>
      </c>
      <c r="FA39" s="109">
        <v>0</v>
      </c>
      <c r="FB39" s="17">
        <f t="shared" si="13"/>
        <v>0</v>
      </c>
      <c r="FC39" s="485"/>
      <c r="FD39" s="557"/>
      <c r="FE39" s="485"/>
      <c r="FF39" s="485"/>
      <c r="FG39" s="485"/>
      <c r="FH39" s="485"/>
      <c r="FI39" s="485"/>
      <c r="FJ39" s="485"/>
      <c r="FK39" s="485"/>
      <c r="FL39" s="485"/>
      <c r="FM39" s="485"/>
      <c r="FN39" s="485"/>
      <c r="FO39" s="485"/>
      <c r="FP39" s="485"/>
      <c r="FQ39" s="485"/>
      <c r="FR39" s="485"/>
      <c r="FS39" s="485"/>
      <c r="FT39" s="485"/>
      <c r="FU39" s="485"/>
      <c r="FV39" s="485"/>
      <c r="FW39" s="485"/>
      <c r="FX39" s="485"/>
      <c r="FY39" s="485"/>
      <c r="FZ39" s="485"/>
      <c r="GA39" s="485"/>
      <c r="GB39" s="485"/>
      <c r="GC39" s="485"/>
      <c r="GD39" s="485"/>
      <c r="GE39" s="485"/>
      <c r="GF39" s="485"/>
      <c r="GG39" s="485"/>
      <c r="GH39" s="485"/>
      <c r="GI39" s="485"/>
      <c r="GJ39" s="485"/>
      <c r="GK39" s="485"/>
      <c r="GL39" s="485"/>
      <c r="GM39" s="485"/>
      <c r="GN39" s="485"/>
      <c r="GO39" s="485"/>
      <c r="GP39" s="485"/>
      <c r="GQ39" s="485"/>
      <c r="GR39" s="485"/>
      <c r="GS39" s="490"/>
      <c r="GT39" s="485"/>
      <c r="GU39" s="485"/>
      <c r="GV39" s="485"/>
      <c r="GW39" s="485"/>
      <c r="GX39" s="485"/>
      <c r="GY39" s="490"/>
      <c r="GZ39" s="485"/>
      <c r="HA39" s="485"/>
      <c r="HB39" s="485"/>
      <c r="HC39" s="485"/>
      <c r="HD39" s="485"/>
      <c r="HE39" s="490"/>
      <c r="HH39" s="513"/>
      <c r="HI39" s="513"/>
      <c r="HJ39" s="513"/>
      <c r="HK39" s="513"/>
      <c r="HL39" s="513"/>
      <c r="HM39" s="513"/>
      <c r="HN39" s="513"/>
      <c r="HO39" s="513"/>
    </row>
    <row r="40" spans="1:223" hidden="1" outlineLevel="1">
      <c r="DH40" s="354"/>
      <c r="DI40" s="354"/>
      <c r="DJ40" s="354"/>
      <c r="DK40" s="354"/>
      <c r="DL40" s="354"/>
      <c r="DM40" s="354"/>
      <c r="DN40" s="354"/>
      <c r="DO40" s="354"/>
      <c r="DP40" s="354"/>
      <c r="DQ40" s="354"/>
      <c r="DR40" s="354"/>
      <c r="DS40" s="354"/>
      <c r="DT40" s="354"/>
      <c r="DU40" s="354"/>
      <c r="DV40" s="354"/>
      <c r="DW40" s="354"/>
      <c r="DX40" s="354"/>
      <c r="DY40" s="354"/>
      <c r="DZ40" s="354"/>
      <c r="EA40" s="354"/>
      <c r="EB40" s="354"/>
      <c r="EC40" s="354"/>
      <c r="ED40" s="354"/>
      <c r="EE40" s="354"/>
      <c r="EF40" s="354"/>
      <c r="EG40" s="354"/>
      <c r="EH40" s="354"/>
      <c r="EI40" s="354"/>
      <c r="EJ40" s="354"/>
      <c r="EK40" s="354"/>
      <c r="EL40" s="354"/>
      <c r="EM40" s="354"/>
      <c r="EN40" s="354"/>
      <c r="EO40" s="354"/>
      <c r="EP40" s="354"/>
      <c r="EQ40" s="485"/>
      <c r="ER40" s="354"/>
      <c r="ES40" s="354"/>
      <c r="ET40" s="354"/>
      <c r="EU40" s="633"/>
      <c r="EV40" s="456"/>
      <c r="EW40" s="485"/>
      <c r="EX40" s="354"/>
      <c r="EY40" s="354"/>
      <c r="EZ40" s="354"/>
      <c r="FA40" s="633"/>
      <c r="FB40" s="456"/>
      <c r="FC40" s="485"/>
      <c r="FD40" s="557"/>
      <c r="FE40" s="485"/>
      <c r="FF40" s="485"/>
      <c r="FG40" s="485"/>
      <c r="FH40" s="485">
        <f>SUM(FD40:FG40)</f>
        <v>0</v>
      </c>
      <c r="FI40" s="485"/>
      <c r="FJ40" s="485"/>
      <c r="FK40" s="485"/>
      <c r="FL40" s="485"/>
      <c r="FM40" s="485"/>
      <c r="FN40" s="485">
        <f>SUM(FJ40:FM40)</f>
        <v>0</v>
      </c>
      <c r="FO40" s="485"/>
      <c r="FP40" s="485"/>
      <c r="FQ40" s="485"/>
      <c r="FR40" s="485"/>
      <c r="FS40" s="485"/>
      <c r="FT40" s="485">
        <f>SUM(FP40:FS40)</f>
        <v>0</v>
      </c>
      <c r="FU40" s="485"/>
      <c r="FV40" s="485"/>
      <c r="FW40" s="485"/>
      <c r="FX40" s="485"/>
      <c r="FY40" s="485"/>
      <c r="FZ40" s="485">
        <f>SUM(FV40:FY40)</f>
        <v>0</v>
      </c>
      <c r="GA40" s="485"/>
      <c r="GB40" s="485"/>
      <c r="GC40" s="485"/>
      <c r="GD40" s="485"/>
      <c r="GE40" s="485"/>
      <c r="GF40" s="485">
        <f>SUM(GB40:GE40)</f>
        <v>0</v>
      </c>
      <c r="GG40" s="485"/>
      <c r="GH40" s="485"/>
      <c r="GI40" s="485"/>
      <c r="GJ40" s="485"/>
      <c r="GK40" s="485"/>
      <c r="GL40" s="485">
        <f>SUM(GH40:GK40)</f>
        <v>0</v>
      </c>
      <c r="GM40" s="485"/>
      <c r="GN40" s="485"/>
      <c r="GO40" s="485"/>
      <c r="GP40" s="485"/>
      <c r="GQ40" s="485"/>
      <c r="GR40" s="485">
        <f>SUM(GN40:GQ40)</f>
        <v>0</v>
      </c>
      <c r="GS40" s="490"/>
      <c r="GT40" s="485"/>
      <c r="GU40" s="485"/>
      <c r="GV40" s="485"/>
      <c r="GW40" s="485"/>
      <c r="GX40" s="485">
        <f>SUM(GT40:GW40)</f>
        <v>0</v>
      </c>
      <c r="GY40" s="490"/>
      <c r="GZ40" s="485"/>
      <c r="HA40" s="485"/>
      <c r="HB40" s="485"/>
      <c r="HC40" s="485"/>
      <c r="HD40" s="485">
        <f>SUM(GZ40:HC40)</f>
        <v>0</v>
      </c>
      <c r="HE40" s="490"/>
      <c r="HH40" s="513"/>
      <c r="HI40" s="513"/>
      <c r="HJ40" s="513"/>
      <c r="HK40" s="513"/>
      <c r="HL40" s="513"/>
      <c r="HM40" s="513"/>
      <c r="HN40" s="513"/>
      <c r="HO40" s="513"/>
    </row>
    <row r="41" spans="1:223" s="15" customFormat="1" hidden="1" outlineLevel="1">
      <c r="B41" s="24" t="s">
        <v>631</v>
      </c>
      <c r="BD41" s="17"/>
      <c r="BP41" s="33"/>
      <c r="BX41" s="17"/>
      <c r="BY41" s="128"/>
      <c r="CP41" s="16"/>
      <c r="EU41" s="340"/>
      <c r="FA41" s="340"/>
      <c r="FD41" s="542"/>
      <c r="FI41" s="429"/>
      <c r="FO41" s="429"/>
      <c r="HH41" s="513"/>
      <c r="HI41" s="513"/>
      <c r="HJ41" s="513"/>
      <c r="HK41" s="513"/>
      <c r="HL41" s="513"/>
      <c r="HM41" s="513"/>
      <c r="HN41" s="513"/>
      <c r="HO41" s="513"/>
    </row>
    <row r="42" spans="1:223" s="15" customFormat="1" hidden="1" outlineLevel="1">
      <c r="B42" s="8" t="s">
        <v>85</v>
      </c>
      <c r="C42" s="413"/>
      <c r="BD42" s="17"/>
      <c r="BP42" s="33"/>
      <c r="BX42" s="17"/>
      <c r="BY42" s="128"/>
      <c r="CP42" s="16"/>
      <c r="DH42" s="109">
        <v>1.413</v>
      </c>
      <c r="DI42" s="109">
        <v>1.123</v>
      </c>
      <c r="DJ42" s="109">
        <v>1.123</v>
      </c>
      <c r="DK42" s="109">
        <v>1.321</v>
      </c>
      <c r="DL42" s="354">
        <f t="shared" ref="DL42:DL47" si="23">SUM(DH42:DK42)</f>
        <v>4.9799999999999995</v>
      </c>
      <c r="DN42" s="109">
        <v>2.5590000000000002</v>
      </c>
      <c r="DO42" s="109">
        <v>2.0089999999999999</v>
      </c>
      <c r="DP42" s="109">
        <v>1.88</v>
      </c>
      <c r="DQ42" s="109">
        <v>1.93</v>
      </c>
      <c r="DR42" s="354">
        <f t="shared" ref="DR42:DR47" si="24">SUM(DN42:DQ42)</f>
        <v>8.3780000000000001</v>
      </c>
      <c r="DT42" s="109">
        <v>1.9370000000000001</v>
      </c>
      <c r="DU42" s="109">
        <v>1.9490000000000001</v>
      </c>
      <c r="DV42" s="109">
        <v>1.9490000000000001</v>
      </c>
      <c r="DW42" s="109">
        <v>1.92</v>
      </c>
      <c r="DX42" s="354">
        <f t="shared" ref="DX42:DX47" si="25">SUM(DT42:DW42)</f>
        <v>7.7549999999999999</v>
      </c>
      <c r="DZ42" s="109">
        <v>2.4580000000000002</v>
      </c>
      <c r="EA42" s="109">
        <v>3.7509999999999999</v>
      </c>
      <c r="EB42" s="109">
        <v>8.4740000000000002</v>
      </c>
      <c r="EC42" s="109">
        <v>8.4770000000000003</v>
      </c>
      <c r="ED42" s="354">
        <f t="shared" ref="ED42:ED47" si="26">SUM(DZ42:EC42)</f>
        <v>23.16</v>
      </c>
      <c r="EF42" s="109">
        <v>8.49</v>
      </c>
      <c r="EG42" s="109">
        <v>8.49</v>
      </c>
      <c r="EH42" s="109">
        <v>8.49</v>
      </c>
      <c r="EI42" s="109">
        <v>8.5879999999999992</v>
      </c>
      <c r="EJ42" s="354">
        <f t="shared" ref="EJ42:EJ47" si="27">SUM(EF42:EI42)</f>
        <v>34.058</v>
      </c>
      <c r="EL42" s="109">
        <v>8.7829999999999995</v>
      </c>
      <c r="EM42" s="109">
        <v>8.7829999999999995</v>
      </c>
      <c r="EN42" s="109">
        <v>8.7840000000000007</v>
      </c>
      <c r="EO42" s="109">
        <v>8.7829999999999995</v>
      </c>
      <c r="EP42" s="354">
        <f t="shared" ref="EP42:EP47" si="28">SUM(EL42:EO42)</f>
        <v>35.133000000000003</v>
      </c>
      <c r="ER42" s="109">
        <v>8.3620000000000001</v>
      </c>
      <c r="ES42" s="109">
        <v>8.3610000000000007</v>
      </c>
      <c r="ET42" s="109">
        <v>8.3620000000000001</v>
      </c>
      <c r="EU42" s="109">
        <v>8.3620000000000001</v>
      </c>
      <c r="EV42" s="456">
        <f t="shared" ref="EV42:EV47" si="29">SUM(ER42:EU42)</f>
        <v>33.447000000000003</v>
      </c>
      <c r="EX42" s="109">
        <v>8.3620000000000001</v>
      </c>
      <c r="EY42" s="109">
        <v>8.1240000000000006</v>
      </c>
      <c r="EZ42" s="109">
        <v>7.6340000000000003</v>
      </c>
      <c r="FA42" s="109">
        <v>7.6319999999999997</v>
      </c>
      <c r="FB42" s="456">
        <f t="shared" ref="FB42:FB47" si="30">SUM(EX42:FA42)</f>
        <v>31.752000000000002</v>
      </c>
      <c r="FD42" s="542"/>
      <c r="FI42" s="429"/>
      <c r="FO42" s="429"/>
      <c r="HH42" s="513"/>
      <c r="HI42" s="513"/>
      <c r="HJ42" s="513"/>
      <c r="HK42" s="513"/>
      <c r="HL42" s="513"/>
      <c r="HM42" s="513"/>
      <c r="HN42" s="513"/>
      <c r="HO42" s="513"/>
    </row>
    <row r="43" spans="1:223" s="15" customFormat="1" hidden="1" outlineLevel="1">
      <c r="B43" s="8" t="s">
        <v>525</v>
      </c>
      <c r="C43" s="8"/>
      <c r="BD43" s="17"/>
      <c r="BP43" s="33"/>
      <c r="BX43" s="17"/>
      <c r="BY43" s="128"/>
      <c r="CP43" s="16"/>
      <c r="DH43" s="109">
        <v>1.6240000000000001</v>
      </c>
      <c r="DI43" s="109">
        <v>2.2839999999999998</v>
      </c>
      <c r="DJ43" s="109">
        <v>0.94099999999999995</v>
      </c>
      <c r="DK43" s="109">
        <v>1.6950000000000001</v>
      </c>
      <c r="DL43" s="354">
        <f t="shared" si="23"/>
        <v>6.5440000000000005</v>
      </c>
      <c r="DN43" s="109">
        <v>1.9590000000000001</v>
      </c>
      <c r="DO43" s="109">
        <v>2.0190000000000001</v>
      </c>
      <c r="DP43" s="109">
        <v>2.96</v>
      </c>
      <c r="DQ43" s="109">
        <v>1.9710000000000001</v>
      </c>
      <c r="DR43" s="354">
        <f t="shared" si="24"/>
        <v>8.9090000000000007</v>
      </c>
      <c r="DT43" s="109">
        <v>1.847</v>
      </c>
      <c r="DU43" s="109">
        <v>2.202</v>
      </c>
      <c r="DV43" s="109">
        <v>2.1850000000000001</v>
      </c>
      <c r="DW43" s="109">
        <v>2.2149999999999999</v>
      </c>
      <c r="DX43" s="354">
        <f t="shared" si="25"/>
        <v>8.4489999999999998</v>
      </c>
      <c r="DZ43" s="109">
        <v>2.653</v>
      </c>
      <c r="EA43" s="109">
        <v>4.5060000000000002</v>
      </c>
      <c r="EB43" s="109">
        <v>5.2370000000000001</v>
      </c>
      <c r="EC43" s="109">
        <v>10.061999999999999</v>
      </c>
      <c r="ED43" s="354">
        <f t="shared" si="26"/>
        <v>22.457999999999998</v>
      </c>
      <c r="EF43" s="109">
        <v>12.103</v>
      </c>
      <c r="EG43" s="109">
        <v>3.6259999999999999</v>
      </c>
      <c r="EH43" s="109">
        <v>4.28</v>
      </c>
      <c r="EI43" s="109">
        <v>4.6619999999999999</v>
      </c>
      <c r="EJ43" s="354">
        <f t="shared" si="27"/>
        <v>24.670999999999999</v>
      </c>
      <c r="EL43" s="109">
        <v>4.758</v>
      </c>
      <c r="EM43" s="109">
        <v>5.7050000000000001</v>
      </c>
      <c r="EN43" s="109">
        <v>7.18</v>
      </c>
      <c r="EO43" s="109">
        <v>6.99</v>
      </c>
      <c r="EP43" s="354">
        <f t="shared" si="28"/>
        <v>24.633000000000003</v>
      </c>
      <c r="ER43" s="109">
        <v>7.774</v>
      </c>
      <c r="ES43" s="109">
        <v>8.8409999999999993</v>
      </c>
      <c r="ET43" s="109">
        <v>8.4700000000000006</v>
      </c>
      <c r="EU43" s="109">
        <v>8.3279999999999994</v>
      </c>
      <c r="EV43" s="456">
        <f t="shared" si="29"/>
        <v>33.412999999999997</v>
      </c>
      <c r="EX43" s="109">
        <v>10.754</v>
      </c>
      <c r="EY43" s="109">
        <v>12.215</v>
      </c>
      <c r="EZ43" s="109">
        <v>10.305</v>
      </c>
      <c r="FA43" s="109">
        <v>8.0419999999999998</v>
      </c>
      <c r="FB43" s="456">
        <f t="shared" si="30"/>
        <v>41.316000000000003</v>
      </c>
      <c r="FD43" s="542"/>
      <c r="FI43" s="429"/>
      <c r="FO43" s="429"/>
      <c r="HH43" s="513"/>
      <c r="HI43" s="513"/>
      <c r="HJ43" s="513"/>
      <c r="HK43" s="513"/>
      <c r="HL43" s="513"/>
      <c r="HM43" s="513"/>
      <c r="HN43" s="513"/>
      <c r="HO43" s="513"/>
    </row>
    <row r="44" spans="1:223" s="15" customFormat="1" hidden="1" outlineLevel="1">
      <c r="B44" s="8" t="s">
        <v>627</v>
      </c>
      <c r="C44" s="413"/>
      <c r="BD44" s="17"/>
      <c r="BP44" s="33"/>
      <c r="BX44" s="17"/>
      <c r="BY44" s="128"/>
      <c r="CP44" s="16"/>
      <c r="DH44" s="109">
        <v>0</v>
      </c>
      <c r="DI44" s="109">
        <v>1.4390000000000001</v>
      </c>
      <c r="DJ44" s="109">
        <v>0.53</v>
      </c>
      <c r="DK44" s="109">
        <v>0</v>
      </c>
      <c r="DL44" s="354">
        <f t="shared" si="23"/>
        <v>1.9690000000000001</v>
      </c>
      <c r="DN44" s="109">
        <v>0</v>
      </c>
      <c r="DO44" s="109">
        <v>0</v>
      </c>
      <c r="DP44" s="109">
        <v>0</v>
      </c>
      <c r="DQ44" s="109">
        <v>0</v>
      </c>
      <c r="DR44" s="354">
        <f t="shared" si="24"/>
        <v>0</v>
      </c>
      <c r="DT44" s="109">
        <v>0</v>
      </c>
      <c r="DU44" s="109">
        <v>0</v>
      </c>
      <c r="DV44" s="109">
        <v>0</v>
      </c>
      <c r="DW44" s="109">
        <v>0</v>
      </c>
      <c r="DX44" s="354">
        <f t="shared" si="25"/>
        <v>0</v>
      </c>
      <c r="DZ44" s="109">
        <f>0.46+6.061</f>
        <v>6.5209999999999999</v>
      </c>
      <c r="EA44" s="109">
        <v>0.36799999999999999</v>
      </c>
      <c r="EB44" s="109">
        <v>0.77500000000000002</v>
      </c>
      <c r="EC44" s="109">
        <v>0.378</v>
      </c>
      <c r="ED44" s="354">
        <f t="shared" si="26"/>
        <v>8.0419999999999998</v>
      </c>
      <c r="EF44" s="109">
        <v>0</v>
      </c>
      <c r="EG44" s="109">
        <v>0</v>
      </c>
      <c r="EH44" s="109">
        <v>2.7919999999999998</v>
      </c>
      <c r="EI44" s="109">
        <v>1.536</v>
      </c>
      <c r="EJ44" s="354">
        <f t="shared" si="27"/>
        <v>4.3279999999999994</v>
      </c>
      <c r="EL44" s="109">
        <v>4.6840000000000002</v>
      </c>
      <c r="EM44" s="109">
        <v>3.0739999999999998</v>
      </c>
      <c r="EN44" s="109">
        <v>2.125</v>
      </c>
      <c r="EO44" s="109">
        <v>1.2050000000000001</v>
      </c>
      <c r="EP44" s="354">
        <f t="shared" si="28"/>
        <v>11.087999999999999</v>
      </c>
      <c r="ER44" s="109">
        <v>2.3980000000000001</v>
      </c>
      <c r="ES44" s="109">
        <v>1.544</v>
      </c>
      <c r="ET44" s="109">
        <v>1.0089999999999999</v>
      </c>
      <c r="EU44" s="109">
        <v>1.7070000000000001</v>
      </c>
      <c r="EV44" s="456">
        <f t="shared" si="29"/>
        <v>6.6580000000000004</v>
      </c>
      <c r="EX44" s="109">
        <v>0</v>
      </c>
      <c r="EY44" s="109">
        <v>0.63700000000000001</v>
      </c>
      <c r="EZ44" s="109">
        <f>0.319+7.086</f>
        <v>7.4050000000000002</v>
      </c>
      <c r="FA44" s="109">
        <v>0.35099999999999998</v>
      </c>
      <c r="FB44" s="456">
        <f t="shared" si="30"/>
        <v>8.3930000000000007</v>
      </c>
      <c r="FD44" s="542"/>
      <c r="FI44" s="429"/>
      <c r="FO44" s="429"/>
      <c r="HH44" s="513"/>
      <c r="HI44" s="513"/>
      <c r="HJ44" s="513"/>
      <c r="HK44" s="513"/>
      <c r="HL44" s="513"/>
      <c r="HM44" s="513"/>
      <c r="HN44" s="513"/>
      <c r="HO44" s="513"/>
    </row>
    <row r="45" spans="1:223" s="15" customFormat="1" hidden="1" outlineLevel="1">
      <c r="B45" s="8" t="s">
        <v>526</v>
      </c>
      <c r="C45" s="413"/>
      <c r="BD45" s="17"/>
      <c r="BP45" s="33"/>
      <c r="BX45" s="17"/>
      <c r="BY45" s="128"/>
      <c r="CP45" s="16"/>
      <c r="DH45" s="109">
        <v>0</v>
      </c>
      <c r="DI45" s="109">
        <v>0</v>
      </c>
      <c r="DJ45" s="109">
        <v>0</v>
      </c>
      <c r="DK45" s="109">
        <v>2.1160000000000001</v>
      </c>
      <c r="DL45" s="354">
        <f t="shared" si="23"/>
        <v>2.1160000000000001</v>
      </c>
      <c r="DN45" s="109">
        <v>1</v>
      </c>
      <c r="DO45" s="109">
        <v>0.40500000000000003</v>
      </c>
      <c r="DP45" s="109">
        <v>0.26400000000000001</v>
      </c>
      <c r="DQ45" s="109">
        <v>0.83099999999999996</v>
      </c>
      <c r="DR45" s="354">
        <f t="shared" si="24"/>
        <v>2.5</v>
      </c>
      <c r="DT45" s="109">
        <v>1.024</v>
      </c>
      <c r="DU45" s="109">
        <v>8.6999999999999994E-2</v>
      </c>
      <c r="DV45" s="109">
        <v>0.35299999999999998</v>
      </c>
      <c r="DW45" s="109">
        <v>0.17399999999999999</v>
      </c>
      <c r="DX45" s="354">
        <f t="shared" si="25"/>
        <v>1.6379999999999999</v>
      </c>
      <c r="DZ45" s="109">
        <v>0.81399999999999995</v>
      </c>
      <c r="EA45" s="109">
        <v>10.997999999999999</v>
      </c>
      <c r="EB45" s="109">
        <v>1.5329999999999999</v>
      </c>
      <c r="EC45" s="109">
        <v>2.3380000000000001</v>
      </c>
      <c r="ED45" s="354">
        <f t="shared" si="26"/>
        <v>15.683</v>
      </c>
      <c r="EF45" s="109">
        <v>1.03</v>
      </c>
      <c r="EG45" s="109">
        <v>1.252</v>
      </c>
      <c r="EH45" s="109">
        <v>0.19700000000000001</v>
      </c>
      <c r="EI45" s="109">
        <v>0</v>
      </c>
      <c r="EJ45" s="354">
        <f t="shared" si="27"/>
        <v>2.4790000000000001</v>
      </c>
      <c r="EL45" s="109">
        <v>0</v>
      </c>
      <c r="EM45" s="109">
        <v>0</v>
      </c>
      <c r="EN45" s="109">
        <v>0</v>
      </c>
      <c r="EO45" s="109">
        <v>0</v>
      </c>
      <c r="EP45" s="354">
        <f t="shared" si="28"/>
        <v>0</v>
      </c>
      <c r="ER45" s="109">
        <v>0</v>
      </c>
      <c r="ES45" s="109">
        <v>0</v>
      </c>
      <c r="ET45" s="109">
        <v>0</v>
      </c>
      <c r="EU45" s="109">
        <v>0</v>
      </c>
      <c r="EV45" s="456">
        <f t="shared" si="29"/>
        <v>0</v>
      </c>
      <c r="EX45" s="109">
        <v>0</v>
      </c>
      <c r="EY45" s="109">
        <v>3.2040000000000002</v>
      </c>
      <c r="EZ45" s="109">
        <v>1.8</v>
      </c>
      <c r="FA45" s="109">
        <v>1.0900000000000001</v>
      </c>
      <c r="FB45" s="456">
        <f t="shared" si="30"/>
        <v>6.0940000000000003</v>
      </c>
      <c r="FD45" s="542"/>
      <c r="FI45" s="429"/>
      <c r="FO45" s="429"/>
      <c r="HH45" s="513"/>
      <c r="HI45" s="513"/>
      <c r="HJ45" s="513"/>
      <c r="HK45" s="513"/>
      <c r="HL45" s="513"/>
      <c r="HM45" s="513"/>
      <c r="HN45" s="513"/>
      <c r="HO45" s="513"/>
    </row>
    <row r="46" spans="1:223" s="15" customFormat="1" hidden="1" outlineLevel="1">
      <c r="B46" s="8" t="s">
        <v>87</v>
      </c>
      <c r="C46" s="8"/>
      <c r="BD46" s="17"/>
      <c r="BP46" s="33"/>
      <c r="BX46" s="17"/>
      <c r="BY46" s="128"/>
      <c r="CP46" s="16"/>
      <c r="DH46" s="109">
        <v>0</v>
      </c>
      <c r="DI46" s="109">
        <v>0</v>
      </c>
      <c r="DJ46" s="109">
        <v>0</v>
      </c>
      <c r="DK46" s="109">
        <v>0</v>
      </c>
      <c r="DL46" s="354">
        <f t="shared" si="23"/>
        <v>0</v>
      </c>
      <c r="DN46" s="109">
        <v>4.0650000000000004</v>
      </c>
      <c r="DO46" s="109">
        <v>0.80400000000000005</v>
      </c>
      <c r="DP46" s="109">
        <v>0.28799999999999998</v>
      </c>
      <c r="DQ46" s="109">
        <v>-0.106</v>
      </c>
      <c r="DR46" s="354">
        <f t="shared" si="24"/>
        <v>5.051000000000001</v>
      </c>
      <c r="DT46" s="109">
        <v>-2.4E-2</v>
      </c>
      <c r="DU46" s="109">
        <v>-1.5529999999999999</v>
      </c>
      <c r="DV46" s="109">
        <v>-8.3000000000000004E-2</v>
      </c>
      <c r="DW46" s="109">
        <v>-3.181</v>
      </c>
      <c r="DX46" s="354">
        <f t="shared" si="25"/>
        <v>-4.8410000000000002</v>
      </c>
      <c r="DZ46" s="109">
        <v>5.0209999999999999</v>
      </c>
      <c r="EA46" s="109">
        <v>0.17399999999999999</v>
      </c>
      <c r="EB46" s="109">
        <f>10.5+1.814</f>
        <v>12.314</v>
      </c>
      <c r="EC46" s="109">
        <f>0.7+2.372</f>
        <v>3.0720000000000001</v>
      </c>
      <c r="ED46" s="354">
        <f t="shared" si="26"/>
        <v>20.581</v>
      </c>
      <c r="EF46" s="109">
        <v>2.831</v>
      </c>
      <c r="EG46" s="109">
        <v>1.94</v>
      </c>
      <c r="EH46" s="109">
        <v>3.1949999999999998</v>
      </c>
      <c r="EI46" s="109">
        <v>0.95199999999999996</v>
      </c>
      <c r="EJ46" s="354">
        <f t="shared" si="27"/>
        <v>8.9179999999999993</v>
      </c>
      <c r="EL46" s="109">
        <v>0.79800000000000004</v>
      </c>
      <c r="EM46" s="109">
        <v>7.5999999999999998E-2</v>
      </c>
      <c r="EN46" s="109">
        <v>0.158</v>
      </c>
      <c r="EO46" s="109">
        <v>1.242</v>
      </c>
      <c r="EP46" s="354">
        <f t="shared" si="28"/>
        <v>2.274</v>
      </c>
      <c r="ER46" s="109">
        <v>5.883</v>
      </c>
      <c r="ES46" s="109">
        <f>1.962+2.358</f>
        <v>4.32</v>
      </c>
      <c r="ET46" s="109">
        <f>6.113+0.677</f>
        <v>6.7900000000000009</v>
      </c>
      <c r="EU46" s="109">
        <f>1.397+1.085</f>
        <v>2.4820000000000002</v>
      </c>
      <c r="EV46" s="456">
        <f t="shared" si="29"/>
        <v>19.475000000000001</v>
      </c>
      <c r="EX46" s="109">
        <f>2.193+2.983+1.172</f>
        <v>6.3479999999999999</v>
      </c>
      <c r="EY46" s="109">
        <f>4.46+20.041</f>
        <v>24.501000000000001</v>
      </c>
      <c r="EZ46" s="109">
        <v>3.6339999999999999</v>
      </c>
      <c r="FA46" s="109">
        <f>0.626+0.206</f>
        <v>0.83199999999999996</v>
      </c>
      <c r="FB46" s="456">
        <f t="shared" si="30"/>
        <v>35.314999999999998</v>
      </c>
      <c r="FD46" s="542"/>
      <c r="FI46" s="429"/>
      <c r="FO46" s="429"/>
      <c r="HH46" s="513"/>
      <c r="HI46" s="513"/>
      <c r="HJ46" s="513"/>
      <c r="HK46" s="513"/>
      <c r="HL46" s="513"/>
      <c r="HM46" s="513"/>
      <c r="HN46" s="513"/>
      <c r="HO46" s="513"/>
    </row>
    <row r="47" spans="1:223" hidden="1" outlineLevel="1">
      <c r="B47" s="8" t="s">
        <v>628</v>
      </c>
      <c r="DH47" s="109">
        <v>0</v>
      </c>
      <c r="DI47" s="109">
        <v>0</v>
      </c>
      <c r="DJ47" s="109">
        <v>0</v>
      </c>
      <c r="DK47" s="109">
        <v>0</v>
      </c>
      <c r="DL47" s="354">
        <f t="shared" si="23"/>
        <v>0</v>
      </c>
      <c r="DM47" s="354"/>
      <c r="DN47" s="109">
        <v>0</v>
      </c>
      <c r="DO47" s="109">
        <v>0</v>
      </c>
      <c r="DP47" s="109">
        <v>0</v>
      </c>
      <c r="DQ47" s="109">
        <v>0</v>
      </c>
      <c r="DR47" s="354">
        <f t="shared" si="24"/>
        <v>0</v>
      </c>
      <c r="DS47" s="354"/>
      <c r="DT47" s="109">
        <v>0</v>
      </c>
      <c r="DU47" s="109">
        <v>0</v>
      </c>
      <c r="DV47" s="109">
        <v>0</v>
      </c>
      <c r="DW47" s="109">
        <v>0</v>
      </c>
      <c r="DX47" s="354">
        <f t="shared" si="25"/>
        <v>0</v>
      </c>
      <c r="DY47" s="354"/>
      <c r="DZ47" s="109">
        <v>0</v>
      </c>
      <c r="EA47" s="109">
        <v>-96.534000000000006</v>
      </c>
      <c r="EB47" s="109">
        <v>-17.75</v>
      </c>
      <c r="EC47" s="109">
        <v>0</v>
      </c>
      <c r="ED47" s="354">
        <f t="shared" si="26"/>
        <v>-114.28400000000001</v>
      </c>
      <c r="EE47" s="354"/>
      <c r="EF47" s="109">
        <v>0</v>
      </c>
      <c r="EG47" s="109">
        <v>0</v>
      </c>
      <c r="EH47" s="109">
        <v>0</v>
      </c>
      <c r="EI47" s="109">
        <v>0</v>
      </c>
      <c r="EJ47" s="354">
        <f t="shared" si="27"/>
        <v>0</v>
      </c>
      <c r="EK47" s="354"/>
      <c r="EL47" s="109">
        <v>0</v>
      </c>
      <c r="EM47" s="109">
        <v>0</v>
      </c>
      <c r="EN47" s="109">
        <v>0</v>
      </c>
      <c r="EO47" s="109">
        <v>0</v>
      </c>
      <c r="EP47" s="354">
        <f t="shared" si="28"/>
        <v>0</v>
      </c>
      <c r="EQ47" s="485"/>
      <c r="ER47" s="109">
        <v>0</v>
      </c>
      <c r="ES47" s="109">
        <v>0</v>
      </c>
      <c r="ET47" s="109">
        <v>0</v>
      </c>
      <c r="EU47" s="109">
        <v>0</v>
      </c>
      <c r="EV47" s="456">
        <f t="shared" si="29"/>
        <v>0</v>
      </c>
      <c r="EW47" s="485"/>
      <c r="EX47" s="109">
        <v>0</v>
      </c>
      <c r="EY47" s="109">
        <v>0</v>
      </c>
      <c r="EZ47" s="109">
        <v>0</v>
      </c>
      <c r="FA47" s="109">
        <v>0</v>
      </c>
      <c r="FB47" s="456">
        <f t="shared" si="30"/>
        <v>0</v>
      </c>
      <c r="FC47" s="485"/>
      <c r="FD47" s="557"/>
      <c r="FE47" s="485"/>
      <c r="FF47" s="485"/>
      <c r="FG47" s="485"/>
      <c r="FH47" s="485"/>
      <c r="FI47" s="485"/>
      <c r="FJ47" s="485"/>
      <c r="FK47" s="485"/>
      <c r="FL47" s="485"/>
      <c r="FM47" s="485"/>
      <c r="FN47" s="485"/>
      <c r="FO47" s="485"/>
      <c r="FP47" s="485"/>
      <c r="FQ47" s="485"/>
      <c r="FR47" s="485"/>
      <c r="FS47" s="485"/>
      <c r="FT47" s="485"/>
      <c r="FU47" s="485"/>
      <c r="FV47" s="485"/>
      <c r="FW47" s="485"/>
      <c r="FX47" s="485"/>
      <c r="FY47" s="485"/>
      <c r="FZ47" s="485"/>
      <c r="GA47" s="485"/>
      <c r="GB47" s="485"/>
      <c r="GC47" s="485"/>
      <c r="GD47" s="485"/>
      <c r="GE47" s="485"/>
      <c r="GF47" s="485"/>
      <c r="GG47" s="485"/>
      <c r="GH47" s="485"/>
      <c r="GI47" s="485"/>
      <c r="GJ47" s="485"/>
      <c r="GK47" s="485"/>
      <c r="GL47" s="485"/>
      <c r="GM47" s="485"/>
      <c r="GN47" s="485"/>
      <c r="GO47" s="485"/>
      <c r="GP47" s="485"/>
      <c r="GQ47" s="485"/>
      <c r="GR47" s="485"/>
      <c r="GS47" s="490"/>
      <c r="GT47" s="485"/>
      <c r="GU47" s="485"/>
      <c r="GV47" s="485"/>
      <c r="GW47" s="485"/>
      <c r="GX47" s="485"/>
      <c r="GY47" s="490"/>
      <c r="GZ47" s="485"/>
      <c r="HA47" s="485"/>
      <c r="HB47" s="485"/>
      <c r="HC47" s="485"/>
      <c r="HD47" s="485"/>
      <c r="HE47" s="490"/>
      <c r="HH47" s="513"/>
      <c r="HI47" s="513"/>
      <c r="HJ47" s="513"/>
      <c r="HK47" s="513"/>
      <c r="HL47" s="513"/>
      <c r="HM47" s="513"/>
      <c r="HN47" s="513"/>
      <c r="HO47" s="513"/>
    </row>
    <row r="48" spans="1:223" s="15" customFormat="1" hidden="1" outlineLevel="1">
      <c r="B48" s="32"/>
      <c r="BD48" s="17"/>
      <c r="BP48" s="33"/>
      <c r="BX48" s="17"/>
      <c r="BY48" s="128"/>
      <c r="CP48" s="16"/>
      <c r="DH48" s="106"/>
      <c r="DN48" s="106"/>
      <c r="DT48" s="106"/>
      <c r="DZ48" s="106"/>
      <c r="EU48" s="340"/>
      <c r="FD48" s="542"/>
      <c r="FI48" s="429"/>
      <c r="FO48" s="429"/>
      <c r="HH48" s="513"/>
      <c r="HI48" s="513"/>
      <c r="HJ48" s="513"/>
      <c r="HK48" s="513"/>
      <c r="HL48" s="513"/>
      <c r="HM48" s="513"/>
      <c r="HN48" s="513"/>
      <c r="HO48" s="513"/>
    </row>
    <row r="49" spans="1:224" collapsed="1">
      <c r="B49" s="8" t="s">
        <v>18</v>
      </c>
      <c r="D49" s="17"/>
      <c r="E49" s="17"/>
      <c r="F49" s="17"/>
      <c r="G49" s="17"/>
      <c r="H49" s="17"/>
      <c r="J49" s="17"/>
      <c r="K49" s="17"/>
      <c r="L49" s="17"/>
      <c r="M49" s="17"/>
      <c r="N49" s="17"/>
      <c r="P49" s="17"/>
      <c r="Q49" s="17"/>
      <c r="R49" s="17"/>
      <c r="S49" s="17"/>
      <c r="T49" s="17"/>
      <c r="V49" s="17"/>
      <c r="W49" s="17"/>
      <c r="X49" s="17"/>
      <c r="Y49" s="17"/>
      <c r="Z49" s="17"/>
      <c r="AB49" s="17"/>
      <c r="AC49" s="17"/>
      <c r="AD49" s="17"/>
      <c r="AE49" s="17"/>
      <c r="AF49" s="17"/>
      <c r="AH49" s="17"/>
      <c r="AI49" s="17"/>
      <c r="AJ49" s="17"/>
      <c r="AK49" s="17"/>
      <c r="AL49" s="17"/>
      <c r="AN49" s="17"/>
      <c r="AO49" s="17"/>
      <c r="AP49" s="17"/>
      <c r="AQ49" s="17"/>
      <c r="AR49" s="17"/>
      <c r="AT49" s="17"/>
      <c r="AU49" s="17"/>
      <c r="AV49" s="17"/>
      <c r="AW49" s="17"/>
      <c r="AX49" s="17"/>
      <c r="AZ49" s="17"/>
      <c r="BA49" s="17"/>
      <c r="BB49" s="17"/>
      <c r="BC49" s="17"/>
      <c r="BD49" s="17"/>
      <c r="BF49" s="17"/>
      <c r="BG49" s="17"/>
      <c r="BH49" s="17"/>
      <c r="BI49" s="17"/>
      <c r="BJ49" s="17"/>
      <c r="BL49" s="17"/>
      <c r="BM49" s="17"/>
      <c r="BN49" s="17"/>
      <c r="BO49" s="17"/>
      <c r="BP49" s="17"/>
      <c r="BR49" s="17"/>
      <c r="BS49" s="17"/>
      <c r="BT49" s="17"/>
      <c r="BU49" s="17"/>
      <c r="BV49" s="17"/>
      <c r="BX49" s="17"/>
      <c r="BY49" s="129"/>
      <c r="BZ49" s="17"/>
      <c r="CA49" s="17"/>
      <c r="CB49" s="17"/>
      <c r="CD49" s="17"/>
      <c r="CE49" s="17"/>
      <c r="CF49" s="17"/>
      <c r="CG49" s="17"/>
      <c r="CH49" s="17"/>
      <c r="CJ49" s="17"/>
      <c r="CK49" s="17"/>
      <c r="CL49" s="17"/>
      <c r="CM49" s="17"/>
      <c r="CN49" s="17"/>
      <c r="CP49" s="17"/>
      <c r="CQ49" s="17"/>
      <c r="CR49" s="17"/>
      <c r="CS49" s="17"/>
      <c r="CT49" s="17"/>
      <c r="CV49" s="109"/>
      <c r="CW49" s="109"/>
      <c r="CX49" s="109"/>
      <c r="CY49" s="109"/>
      <c r="CZ49" s="17"/>
      <c r="DB49" s="109"/>
      <c r="DC49" s="109"/>
      <c r="DD49" s="109"/>
      <c r="DE49" s="109"/>
      <c r="DF49" s="17"/>
      <c r="DH49" s="17">
        <f t="shared" ref="DH49:DK50" si="31">DH9</f>
        <v>63.423000000000002</v>
      </c>
      <c r="DI49" s="17">
        <f t="shared" si="31"/>
        <v>67.745999999999995</v>
      </c>
      <c r="DJ49" s="17">
        <f t="shared" si="31"/>
        <v>69.096000000000004</v>
      </c>
      <c r="DK49" s="17">
        <f t="shared" si="31"/>
        <v>76.474999999999994</v>
      </c>
      <c r="DL49" s="17">
        <f>SUM(DH49:DK49)</f>
        <v>276.74</v>
      </c>
      <c r="DM49" s="354"/>
      <c r="DN49" s="17">
        <f t="shared" ref="DN49:DQ50" si="32">DN9</f>
        <v>95.576999999999998</v>
      </c>
      <c r="DO49" s="17">
        <f t="shared" si="32"/>
        <v>101.71299999999999</v>
      </c>
      <c r="DP49" s="17">
        <f t="shared" si="32"/>
        <v>104.672</v>
      </c>
      <c r="DQ49" s="17">
        <f t="shared" si="32"/>
        <v>106.86799999999999</v>
      </c>
      <c r="DR49" s="17">
        <f>SUM(DN49:DQ49)</f>
        <v>408.83</v>
      </c>
      <c r="DS49" s="354"/>
      <c r="DT49" s="17">
        <f t="shared" ref="DT49:DW50" si="33">DT9</f>
        <v>106.03</v>
      </c>
      <c r="DU49" s="17">
        <f t="shared" si="33"/>
        <v>86.977000000000004</v>
      </c>
      <c r="DV49" s="17">
        <f t="shared" si="33"/>
        <v>125.444</v>
      </c>
      <c r="DW49" s="17">
        <f t="shared" si="33"/>
        <v>125.997</v>
      </c>
      <c r="DX49" s="17">
        <f>SUM(DT49:DW49)</f>
        <v>444.44800000000004</v>
      </c>
      <c r="DY49" s="354"/>
      <c r="DZ49" s="17">
        <f>DZ9</f>
        <v>115.533</v>
      </c>
      <c r="EA49" s="17">
        <f>EA9</f>
        <v>121.724</v>
      </c>
      <c r="EB49" s="17">
        <f>EB9</f>
        <v>121.34</v>
      </c>
      <c r="EC49" s="17">
        <f>EC9</f>
        <v>125.732</v>
      </c>
      <c r="ED49" s="17">
        <f>SUM(DZ49:EC49)</f>
        <v>484.32899999999995</v>
      </c>
      <c r="EE49" s="354"/>
      <c r="EF49" s="17">
        <f>EF9</f>
        <v>117.169</v>
      </c>
      <c r="EG49" s="17">
        <f>EG9</f>
        <v>125.072</v>
      </c>
      <c r="EH49" s="17">
        <f>EH9</f>
        <v>128.78200000000001</v>
      </c>
      <c r="EI49" s="17">
        <f>EI9</f>
        <v>138.70500000000001</v>
      </c>
      <c r="EJ49" s="17">
        <f t="shared" ref="EJ49:EJ59" si="34">SUM(EF49:EI49)</f>
        <v>509.72800000000007</v>
      </c>
      <c r="EK49" s="354"/>
      <c r="EL49" s="17">
        <f>EL9</f>
        <v>137.22</v>
      </c>
      <c r="EM49" s="17">
        <f>EM9</f>
        <v>146.917</v>
      </c>
      <c r="EN49" s="17">
        <f>EN9</f>
        <v>151.95400000000001</v>
      </c>
      <c r="EO49" s="17">
        <f>EO9</f>
        <v>155.55199999999999</v>
      </c>
      <c r="EP49" s="17">
        <f>SUM(EL49:EO49)</f>
        <v>591.64300000000003</v>
      </c>
      <c r="EQ49" s="354"/>
      <c r="ER49" s="17">
        <f>ER9</f>
        <v>156.24</v>
      </c>
      <c r="ES49" s="17">
        <f>ES9</f>
        <v>164.50200000000001</v>
      </c>
      <c r="ET49" s="17">
        <f>ET9</f>
        <v>167.82400000000001</v>
      </c>
      <c r="EU49" s="17">
        <f>EU9</f>
        <v>172</v>
      </c>
      <c r="EV49" s="17">
        <f>SUM(ER49:EU49)</f>
        <v>660.56600000000003</v>
      </c>
      <c r="EW49" s="354"/>
      <c r="EX49" s="17">
        <f>EX9</f>
        <v>168.035</v>
      </c>
      <c r="EY49" s="17">
        <f>EY9</f>
        <v>181.33</v>
      </c>
      <c r="EZ49" s="17">
        <f>EZ9</f>
        <v>187.797</v>
      </c>
      <c r="FA49" s="17">
        <f>FA9</f>
        <v>190.17</v>
      </c>
      <c r="FB49" s="17">
        <f t="shared" ref="FB49:FB61" si="35">SUM(EX49:FA49)</f>
        <v>727.33199999999999</v>
      </c>
      <c r="FC49" s="354"/>
      <c r="FD49" s="565">
        <f>Rev!FD90</f>
        <v>184.62186601815</v>
      </c>
      <c r="FE49" s="17">
        <f>Rev!FE90</f>
        <v>196.07044525000006</v>
      </c>
      <c r="FF49" s="17">
        <f>Rev!FF90</f>
        <v>205.58085571400002</v>
      </c>
      <c r="FG49" s="17">
        <f>Rev!FG90</f>
        <v>211.08994076799996</v>
      </c>
      <c r="FH49" s="17">
        <f>SUM(FD49:FG49)</f>
        <v>797.36310775014999</v>
      </c>
      <c r="FI49" s="354"/>
      <c r="FJ49" s="17">
        <f>Rev!FJ90</f>
        <v>202.63173214176211</v>
      </c>
      <c r="FK49" s="17">
        <f>Rev!FK90</f>
        <v>215.24925920825007</v>
      </c>
      <c r="FL49" s="17">
        <f>Rev!FL90</f>
        <v>225.69168737154442</v>
      </c>
      <c r="FM49" s="17">
        <f>Rev!FM90</f>
        <v>231.75279383666884</v>
      </c>
      <c r="FN49" s="17">
        <f>SUM(FJ49:FM49)</f>
        <v>875.32547255822544</v>
      </c>
      <c r="FO49" s="354"/>
      <c r="FP49" s="17">
        <f>Rev!FP90</f>
        <v>222.437936501753</v>
      </c>
      <c r="FQ49" s="17">
        <f>Rev!FQ90</f>
        <v>236.34373869654871</v>
      </c>
      <c r="FR49" s="17">
        <f>Rev!FR90</f>
        <v>247.81136860578138</v>
      </c>
      <c r="FS49" s="17">
        <f>Rev!FS90</f>
        <v>254.48031720946153</v>
      </c>
      <c r="FT49" s="17">
        <f>SUM(FP49:FS49)</f>
        <v>961.07336101354463</v>
      </c>
      <c r="FU49" s="354"/>
      <c r="FV49" s="17">
        <f>FP49*(1+FV85)</f>
        <v>243.11602251136964</v>
      </c>
      <c r="FW49" s="17">
        <f>FQ49*(1+FW85)</f>
        <v>258.31452404665953</v>
      </c>
      <c r="FX49" s="17">
        <f>FR49*(1+FX85)</f>
        <v>270.84819800089122</v>
      </c>
      <c r="FY49" s="17">
        <f>FS49*(1+FY85)</f>
        <v>278.13709972493098</v>
      </c>
      <c r="FZ49" s="17">
        <f>SUM(FV49:FY49)</f>
        <v>1050.4158442838514</v>
      </c>
      <c r="GA49" s="354"/>
      <c r="GB49" s="17">
        <f>FV49*(1+GB85)</f>
        <v>264.50078702917392</v>
      </c>
      <c r="GC49" s="17">
        <f>FW49*(1+GC85)</f>
        <v>281.03616621242077</v>
      </c>
      <c r="GD49" s="17">
        <f>FX49*(1+GD85)</f>
        <v>294.67231652047508</v>
      </c>
      <c r="GE49" s="17">
        <f>FY49*(1+GE85)</f>
        <v>302.60235841023433</v>
      </c>
      <c r="GF49" s="17">
        <f>SUM(GB49:GE49)</f>
        <v>1142.8116281723042</v>
      </c>
      <c r="GG49" s="354"/>
      <c r="GH49" s="17">
        <f>GB49*(1+GH85)</f>
        <v>285.91507448155147</v>
      </c>
      <c r="GI49" s="17">
        <f>GC49*(1+GI85)</f>
        <v>303.78917695156514</v>
      </c>
      <c r="GJ49" s="17">
        <f>GD49*(1+GJ85)</f>
        <v>318.5293256473758</v>
      </c>
      <c r="GK49" s="17">
        <f>GE49*(1+GK85)</f>
        <v>327.10139283484421</v>
      </c>
      <c r="GL49" s="17">
        <f>SUM(GH49:GK49)</f>
        <v>1235.3349699153366</v>
      </c>
      <c r="GM49" s="354"/>
      <c r="GN49" s="17">
        <f>GH49*(1+GN85)</f>
        <v>307.63351186435932</v>
      </c>
      <c r="GO49" s="17">
        <f>GI49*(1+GO85)</f>
        <v>326.86535168338406</v>
      </c>
      <c r="GP49" s="17">
        <f>GJ49*(1+GP85)</f>
        <v>342.72517900070056</v>
      </c>
      <c r="GQ49" s="17">
        <f>GK49*(1+GQ85)</f>
        <v>351.94839025530092</v>
      </c>
      <c r="GR49" s="17">
        <f>SUM(GN49:GQ49)</f>
        <v>1329.1724328037449</v>
      </c>
      <c r="GS49" s="354"/>
      <c r="GT49" s="17">
        <f>GN49*(1+GT85)</f>
        <v>329.46353913140189</v>
      </c>
      <c r="GU49" s="17">
        <f>GO49*(1+GU85)</f>
        <v>350.06009238850555</v>
      </c>
      <c r="GV49" s="17">
        <f>GP49*(1+GV85)</f>
        <v>367.04535126459274</v>
      </c>
      <c r="GW49" s="17">
        <f>GQ49*(1+GW85)</f>
        <v>376.9230521811204</v>
      </c>
      <c r="GX49" s="17">
        <f>SUM(GT49:GW49)</f>
        <v>1423.4920349656204</v>
      </c>
      <c r="GY49" s="354"/>
      <c r="GZ49" s="17">
        <f>GT49*(1+GZ85)</f>
        <v>351.19533250575728</v>
      </c>
      <c r="HA49" s="17">
        <f>GU49*(1+HA85)</f>
        <v>373.15045806736339</v>
      </c>
      <c r="HB49" s="17">
        <f>GV49*(1+HB85)</f>
        <v>391.25608412361936</v>
      </c>
      <c r="HC49" s="17">
        <f>GW49*(1+HC85)</f>
        <v>401.7853295354729</v>
      </c>
      <c r="HD49" s="17">
        <f>SUM(GZ49:HC49)</f>
        <v>1517.3872042322128</v>
      </c>
      <c r="HE49" s="354"/>
      <c r="HF49" s="17">
        <f>GZ49*(1+HF85)</f>
        <v>372.60460326385191</v>
      </c>
      <c r="HG49" s="17">
        <f>HA49*(1+HG85)</f>
        <v>395.89813849144832</v>
      </c>
      <c r="HH49" s="17">
        <f>HB49*(1+HH85)</f>
        <v>415.10750430334826</v>
      </c>
      <c r="HI49" s="17">
        <f>HC49*(1+HI85)</f>
        <v>426.278624606569</v>
      </c>
      <c r="HJ49" s="17">
        <f>SUM(HF49:HI49)</f>
        <v>1609.8888706652174</v>
      </c>
      <c r="HK49" s="513"/>
      <c r="HL49" s="513"/>
      <c r="HM49" s="513"/>
      <c r="HN49" s="513"/>
      <c r="HO49" s="513"/>
    </row>
    <row r="50" spans="1:224" s="19" customFormat="1">
      <c r="C50" s="8" t="s">
        <v>19</v>
      </c>
      <c r="D50" s="18"/>
      <c r="E50" s="18"/>
      <c r="F50" s="18"/>
      <c r="G50" s="18"/>
      <c r="H50" s="18"/>
      <c r="J50" s="18"/>
      <c r="K50" s="18"/>
      <c r="L50" s="18"/>
      <c r="M50" s="18"/>
      <c r="N50" s="18"/>
      <c r="P50" s="18"/>
      <c r="Q50" s="18"/>
      <c r="R50" s="18"/>
      <c r="S50" s="18"/>
      <c r="T50" s="18"/>
      <c r="V50" s="18"/>
      <c r="W50" s="18"/>
      <c r="X50" s="18"/>
      <c r="Y50" s="18"/>
      <c r="Z50" s="18"/>
      <c r="AB50" s="18"/>
      <c r="AC50" s="18"/>
      <c r="AD50" s="18"/>
      <c r="AE50" s="18"/>
      <c r="AF50" s="18"/>
      <c r="AH50" s="18"/>
      <c r="AI50" s="18"/>
      <c r="AJ50" s="18"/>
      <c r="AK50" s="18"/>
      <c r="AL50" s="18"/>
      <c r="AN50" s="18"/>
      <c r="AO50" s="18"/>
      <c r="AP50" s="18"/>
      <c r="AQ50" s="18"/>
      <c r="AR50" s="18"/>
      <c r="AT50" s="18"/>
      <c r="AU50" s="18"/>
      <c r="AV50" s="18"/>
      <c r="AW50" s="18"/>
      <c r="AX50" s="18"/>
      <c r="AZ50" s="18"/>
      <c r="BA50" s="18"/>
      <c r="BB50" s="18"/>
      <c r="BC50" s="18"/>
      <c r="BD50" s="18"/>
      <c r="BF50" s="18"/>
      <c r="BG50" s="18"/>
      <c r="BH50" s="18"/>
      <c r="BI50" s="18"/>
      <c r="BJ50" s="18"/>
      <c r="BL50" s="18"/>
      <c r="BM50" s="18"/>
      <c r="BN50" s="18"/>
      <c r="BO50" s="18"/>
      <c r="BP50" s="18"/>
      <c r="BR50" s="18"/>
      <c r="BS50" s="18"/>
      <c r="BT50" s="18"/>
      <c r="BU50" s="18"/>
      <c r="BV50" s="18"/>
      <c r="BX50" s="18"/>
      <c r="BY50" s="117"/>
      <c r="BZ50" s="18"/>
      <c r="CA50" s="18"/>
      <c r="CB50" s="18"/>
      <c r="CD50" s="18"/>
      <c r="CE50" s="18"/>
      <c r="CF50" s="18"/>
      <c r="CG50" s="18"/>
      <c r="CH50" s="18"/>
      <c r="CJ50" s="18"/>
      <c r="CK50" s="18"/>
      <c r="CL50" s="18"/>
      <c r="CM50" s="18"/>
      <c r="CN50" s="18"/>
      <c r="CP50" s="18"/>
      <c r="CQ50" s="18"/>
      <c r="CR50" s="18"/>
      <c r="CS50" s="18"/>
      <c r="CT50" s="18"/>
      <c r="CV50" s="114"/>
      <c r="CW50" s="114"/>
      <c r="CX50" s="114"/>
      <c r="CY50" s="114"/>
      <c r="CZ50" s="18"/>
      <c r="DB50" s="114"/>
      <c r="DC50" s="114"/>
      <c r="DD50" s="114"/>
      <c r="DE50" s="114"/>
      <c r="DF50" s="18"/>
      <c r="DH50" s="36">
        <f t="shared" si="31"/>
        <v>36.119999999999997</v>
      </c>
      <c r="DI50" s="36">
        <f t="shared" si="31"/>
        <v>37.216000000000001</v>
      </c>
      <c r="DJ50" s="36">
        <f t="shared" si="31"/>
        <v>36.774999999999999</v>
      </c>
      <c r="DK50" s="36">
        <f t="shared" si="31"/>
        <v>39.363999999999997</v>
      </c>
      <c r="DL50" s="36">
        <f>SUM(DH50:DK50)</f>
        <v>149.47499999999999</v>
      </c>
      <c r="DM50" s="432"/>
      <c r="DN50" s="36">
        <f t="shared" si="32"/>
        <v>48.462000000000003</v>
      </c>
      <c r="DO50" s="36">
        <f t="shared" si="32"/>
        <v>52.747</v>
      </c>
      <c r="DP50" s="36">
        <f t="shared" si="32"/>
        <v>53.84</v>
      </c>
      <c r="DQ50" s="36">
        <f t="shared" si="32"/>
        <v>56.945</v>
      </c>
      <c r="DR50" s="36">
        <f>SUM(DN50:DQ50)</f>
        <v>211.994</v>
      </c>
      <c r="DS50" s="432"/>
      <c r="DT50" s="36">
        <f t="shared" si="33"/>
        <v>59.661000000000001</v>
      </c>
      <c r="DU50" s="36">
        <f t="shared" si="33"/>
        <v>58.970999999999997</v>
      </c>
      <c r="DV50" s="36">
        <f t="shared" si="33"/>
        <v>71.379000000000005</v>
      </c>
      <c r="DW50" s="36">
        <f t="shared" si="33"/>
        <v>68.543999999999997</v>
      </c>
      <c r="DX50" s="36">
        <f>SUM(DT50:DW50)</f>
        <v>258.55500000000001</v>
      </c>
      <c r="DY50" s="432"/>
      <c r="DZ50" s="36">
        <f>DZ10-SUM(DZ28:DZ30)</f>
        <v>68.66</v>
      </c>
      <c r="EA50" s="36">
        <f>EA10-SUM(EA28:EA30)</f>
        <v>68.004999999999995</v>
      </c>
      <c r="EB50" s="36">
        <f>EB10-SUM(EB28:EB30)</f>
        <v>69.277000000000001</v>
      </c>
      <c r="EC50" s="36">
        <f>EC10-SUM(EC28:EC30)</f>
        <v>75.622</v>
      </c>
      <c r="ED50" s="36">
        <f>SUM(DZ50:EC50)</f>
        <v>281.56400000000002</v>
      </c>
      <c r="EE50" s="432"/>
      <c r="EF50" s="36">
        <f>EF10-SUM(EF28:EF30)</f>
        <v>74.084000000000003</v>
      </c>
      <c r="EG50" s="36">
        <f>EG10-SUM(EG28:EG30)</f>
        <v>76.27300000000001</v>
      </c>
      <c r="EH50" s="36">
        <f>EH10-SUM(EH28:EH30)</f>
        <v>75.036000000000001</v>
      </c>
      <c r="EI50" s="36">
        <f>EI10-SUM(EI28:EI30)</f>
        <v>77.025999999999996</v>
      </c>
      <c r="EJ50" s="36">
        <f>EJ49-EJ51</f>
        <v>302.41900000000004</v>
      </c>
      <c r="EK50" s="432"/>
      <c r="EL50" s="36">
        <f>EL10-SUM(EL28:EL30)</f>
        <v>77.553000000000011</v>
      </c>
      <c r="EM50" s="36">
        <f>EM10-SUM(EM28:EM30)</f>
        <v>82.173000000000002</v>
      </c>
      <c r="EN50" s="36">
        <f>EN10-SUM(EN28:EN30)</f>
        <v>84.79</v>
      </c>
      <c r="EO50" s="36">
        <f>EO10-SUM(EO28:EO30)</f>
        <v>82.885000000000005</v>
      </c>
      <c r="EP50" s="36">
        <f>EP49-EP51</f>
        <v>327.40100000000007</v>
      </c>
      <c r="EQ50" s="432"/>
      <c r="ER50" s="36">
        <f>ER10-SUM(ER28:ER30)</f>
        <v>85.465999999999994</v>
      </c>
      <c r="ES50" s="36">
        <f>ES10-SUM(ES28:ES30)</f>
        <v>86.741</v>
      </c>
      <c r="ET50" s="36">
        <f>ET10-SUM(ET28:ET30)</f>
        <v>87.744</v>
      </c>
      <c r="EU50" s="36">
        <f>EU10-SUM(EU28:EU30)</f>
        <v>89.542999999999992</v>
      </c>
      <c r="EV50" s="36">
        <f>EV49-EV51</f>
        <v>349.49399999999997</v>
      </c>
      <c r="EW50" s="432"/>
      <c r="EX50" s="36">
        <f>EX10-SUM(EX28:EX30)</f>
        <v>89.483999999999995</v>
      </c>
      <c r="EY50" s="36">
        <f>EY10-SUM(EY28:EY30)</f>
        <v>98.957999999999998</v>
      </c>
      <c r="EZ50" s="36">
        <f>EZ10-SUM(EZ28:EZ30)</f>
        <v>102.401</v>
      </c>
      <c r="FA50" s="36">
        <f>FA10-SUM(FA28:FA30)</f>
        <v>101.863</v>
      </c>
      <c r="FB50" s="36">
        <f>FB49-FB51</f>
        <v>392.70600000000002</v>
      </c>
      <c r="FC50" s="432"/>
      <c r="FD50" s="642">
        <f>FD49-FD51</f>
        <v>96.470816831044331</v>
      </c>
      <c r="FE50" s="36">
        <f>FE49-FE51</f>
        <v>104.84559162212814</v>
      </c>
      <c r="FF50" s="36">
        <f>FF49-FF51</f>
        <v>110.04228249846427</v>
      </c>
      <c r="FG50" s="36">
        <f>FG49-FG51</f>
        <v>110.95769519951767</v>
      </c>
      <c r="FH50" s="36">
        <f>FH49-FH51</f>
        <v>422.31638615115435</v>
      </c>
      <c r="FI50" s="432"/>
      <c r="FJ50" s="36">
        <f>FJ49-FJ51</f>
        <v>104.78922548542637</v>
      </c>
      <c r="FK50" s="36">
        <f>FK49-FK51</f>
        <v>111.31426909465571</v>
      </c>
      <c r="FL50" s="36">
        <f>FL49-FL51</f>
        <v>116.71447935714941</v>
      </c>
      <c r="FM50" s="36">
        <f>FM49-FM51</f>
        <v>119.84892747814141</v>
      </c>
      <c r="FN50" s="36">
        <f>FN49-FN51</f>
        <v>452.66690141537288</v>
      </c>
      <c r="FO50" s="432"/>
      <c r="FP50" s="36">
        <f>FP49-FP51</f>
        <v>112.25135638721082</v>
      </c>
      <c r="FQ50" s="36">
        <f>FQ49-FQ51</f>
        <v>119.26879766798699</v>
      </c>
      <c r="FR50" s="36">
        <f>FR49-FR51</f>
        <v>125.05583666008702</v>
      </c>
      <c r="FS50" s="36">
        <f>FS49-FS51</f>
        <v>128.42126316157675</v>
      </c>
      <c r="FT50" s="36">
        <f>FT49-FT51</f>
        <v>484.99725387686158</v>
      </c>
      <c r="FU50" s="432"/>
      <c r="FV50" s="36">
        <f>FV49-FV51</f>
        <v>119.64742109730412</v>
      </c>
      <c r="FW50" s="36">
        <f>FW49-FW51</f>
        <v>127.12723050869661</v>
      </c>
      <c r="FX50" s="36">
        <f>FX49-FX51</f>
        <v>133.29556836651156</v>
      </c>
      <c r="FY50" s="36">
        <f>FY49-FY51</f>
        <v>136.88273750865341</v>
      </c>
      <c r="FZ50" s="36">
        <f>FZ49-FZ51</f>
        <v>516.95295748116564</v>
      </c>
      <c r="GA50" s="432"/>
      <c r="GB50" s="36">
        <f>GB49-GB51</f>
        <v>126.86548581402022</v>
      </c>
      <c r="GC50" s="36">
        <f>GC49-GC51</f>
        <v>134.79653561074642</v>
      </c>
      <c r="GD50" s="36">
        <f>GD49-GD51</f>
        <v>141.33699567097867</v>
      </c>
      <c r="GE50" s="36">
        <f>GE49-GE51</f>
        <v>145.14057080649943</v>
      </c>
      <c r="GF50" s="36">
        <f>GF49-GF51</f>
        <v>548.13958790224478</v>
      </c>
      <c r="GG50" s="432"/>
      <c r="GH50" s="36">
        <f>GH49-GH51</f>
        <v>133.56272279809443</v>
      </c>
      <c r="GI50" s="36">
        <f>GI49-GI51</f>
        <v>141.91245321296</v>
      </c>
      <c r="GJ50" s="36">
        <f>GJ49-GJ51</f>
        <v>148.7981845715851</v>
      </c>
      <c r="GK50" s="36">
        <f>GK49-GK51</f>
        <v>152.80255067799814</v>
      </c>
      <c r="GL50" s="36">
        <f>GL49-GL51</f>
        <v>577.07591126063767</v>
      </c>
      <c r="GM50" s="432"/>
      <c r="GN50" s="36">
        <f>GN49-GN51</f>
        <v>139.86288169776961</v>
      </c>
      <c r="GO50" s="36">
        <f>GO49-GO51</f>
        <v>148.60646922546621</v>
      </c>
      <c r="GP50" s="36">
        <f>GP49-GP51</f>
        <v>155.8170008037259</v>
      </c>
      <c r="GQ50" s="36">
        <f>GQ49-GQ51</f>
        <v>160.01025301723794</v>
      </c>
      <c r="GR50" s="36">
        <f>GR49-GR51</f>
        <v>604.29660474419973</v>
      </c>
      <c r="GS50" s="432"/>
      <c r="GT50" s="36">
        <f>GT49-GT51</f>
        <v>145.66941815280606</v>
      </c>
      <c r="GU50" s="36">
        <f>GU49-GU51</f>
        <v>154.77600377628821</v>
      </c>
      <c r="GV50" s="36">
        <f>GV49-GV51</f>
        <v>162.28588721946824</v>
      </c>
      <c r="GW50" s="36">
        <f>GW49-GW51</f>
        <v>166.65322616383665</v>
      </c>
      <c r="GX50" s="36">
        <f>GX49-GX51</f>
        <v>629.38453531239895</v>
      </c>
      <c r="GY50" s="432"/>
      <c r="GZ50" s="36">
        <f>GZ49-GZ51</f>
        <v>150.88799859457515</v>
      </c>
      <c r="HA50" s="36">
        <f>HA49-HA51</f>
        <v>160.32082599363815</v>
      </c>
      <c r="HB50" s="36">
        <f>HB49-HB51</f>
        <v>168.09974964686029</v>
      </c>
      <c r="HC50" s="36">
        <f>HC49-HC51</f>
        <v>172.62354771550247</v>
      </c>
      <c r="HD50" s="36">
        <f>HD49-HD51</f>
        <v>651.93212195057595</v>
      </c>
      <c r="HE50" s="432"/>
      <c r="HF50" s="36">
        <f>HF49-HF51</f>
        <v>155.42874671749283</v>
      </c>
      <c r="HG50" s="36">
        <f>HG49-HG51</f>
        <v>165.14544091646735</v>
      </c>
      <c r="HH50" s="36">
        <f>HH49-HH51</f>
        <v>173.15845961572163</v>
      </c>
      <c r="HI50" s="36">
        <f>HI49-HI51</f>
        <v>177.81839460565627</v>
      </c>
      <c r="HJ50" s="36">
        <f>HJ49-HJ51</f>
        <v>671.55104185533798</v>
      </c>
      <c r="HK50" s="521"/>
      <c r="HL50" s="521"/>
      <c r="HM50" s="521"/>
      <c r="HN50" s="521"/>
      <c r="HO50" s="521"/>
    </row>
    <row r="51" spans="1:224">
      <c r="B51" s="8" t="s">
        <v>20</v>
      </c>
      <c r="D51" s="17"/>
      <c r="E51" s="17"/>
      <c r="F51" s="17"/>
      <c r="G51" s="17"/>
      <c r="H51" s="17"/>
      <c r="J51" s="17"/>
      <c r="K51" s="17"/>
      <c r="L51" s="17"/>
      <c r="M51" s="17"/>
      <c r="N51" s="17"/>
      <c r="P51" s="17"/>
      <c r="Q51" s="17"/>
      <c r="R51" s="17"/>
      <c r="S51" s="17"/>
      <c r="T51" s="17"/>
      <c r="V51" s="17"/>
      <c r="W51" s="17"/>
      <c r="X51" s="17"/>
      <c r="Y51" s="17"/>
      <c r="Z51" s="17"/>
      <c r="AB51" s="17"/>
      <c r="AC51" s="17"/>
      <c r="AD51" s="17"/>
      <c r="AE51" s="17"/>
      <c r="AF51" s="17"/>
      <c r="AH51" s="17"/>
      <c r="AI51" s="17"/>
      <c r="AJ51" s="17"/>
      <c r="AK51" s="17"/>
      <c r="AL51" s="17"/>
      <c r="AN51" s="17"/>
      <c r="AO51" s="17"/>
      <c r="AP51" s="17"/>
      <c r="AQ51" s="17"/>
      <c r="AR51" s="17"/>
      <c r="AT51" s="17"/>
      <c r="AU51" s="17"/>
      <c r="AV51" s="17"/>
      <c r="AW51" s="17"/>
      <c r="AX51" s="17"/>
      <c r="AZ51" s="17"/>
      <c r="BA51" s="17"/>
      <c r="BB51" s="17"/>
      <c r="BC51" s="17"/>
      <c r="BD51" s="17"/>
      <c r="BF51" s="17"/>
      <c r="BG51" s="17"/>
      <c r="BH51" s="17"/>
      <c r="BI51" s="17"/>
      <c r="BJ51" s="17"/>
      <c r="BL51" s="17"/>
      <c r="BM51" s="17"/>
      <c r="BN51" s="17"/>
      <c r="BO51" s="17"/>
      <c r="BP51" s="17"/>
      <c r="BR51" s="17"/>
      <c r="BS51" s="17"/>
      <c r="BT51" s="17"/>
      <c r="BU51" s="17"/>
      <c r="BV51" s="17"/>
      <c r="BX51" s="17"/>
      <c r="BY51" s="129"/>
      <c r="BZ51" s="17"/>
      <c r="CA51" s="17"/>
      <c r="CB51" s="17"/>
      <c r="CD51" s="17"/>
      <c r="CE51" s="17"/>
      <c r="CF51" s="17"/>
      <c r="CG51" s="17"/>
      <c r="CH51" s="17"/>
      <c r="CJ51" s="17"/>
      <c r="CK51" s="17"/>
      <c r="CL51" s="17"/>
      <c r="CM51" s="17"/>
      <c r="CN51" s="17"/>
      <c r="CP51" s="17"/>
      <c r="CQ51" s="17"/>
      <c r="CR51" s="17"/>
      <c r="CS51" s="17"/>
      <c r="CT51" s="17"/>
      <c r="CV51" s="17"/>
      <c r="CW51" s="17"/>
      <c r="CX51" s="17"/>
      <c r="CY51" s="17"/>
      <c r="CZ51" s="17"/>
      <c r="DB51" s="17"/>
      <c r="DC51" s="17"/>
      <c r="DD51" s="17"/>
      <c r="DE51" s="17"/>
      <c r="DF51" s="17"/>
      <c r="DH51" s="17">
        <f>DH49-DH50</f>
        <v>27.303000000000004</v>
      </c>
      <c r="DI51" s="17">
        <f>DI49-DI50</f>
        <v>30.529999999999994</v>
      </c>
      <c r="DJ51" s="17">
        <f>DJ49-DJ50</f>
        <v>32.321000000000005</v>
      </c>
      <c r="DK51" s="17">
        <f>DK49-DK50</f>
        <v>37.110999999999997</v>
      </c>
      <c r="DL51" s="17">
        <f>DL49-DL50</f>
        <v>127.26500000000001</v>
      </c>
      <c r="DM51" s="354"/>
      <c r="DN51" s="17">
        <f>DN49-DN50</f>
        <v>47.114999999999995</v>
      </c>
      <c r="DO51" s="17">
        <f>DO49-DO50</f>
        <v>48.965999999999994</v>
      </c>
      <c r="DP51" s="17">
        <f>DP49-DP50</f>
        <v>50.831999999999994</v>
      </c>
      <c r="DQ51" s="17">
        <f>DQ49-DQ50</f>
        <v>49.922999999999995</v>
      </c>
      <c r="DR51" s="17">
        <f>DR49-DR50</f>
        <v>196.83599999999998</v>
      </c>
      <c r="DS51" s="354"/>
      <c r="DT51" s="17">
        <f>DT49-DT50</f>
        <v>46.369</v>
      </c>
      <c r="DU51" s="17">
        <f>DU49-DU50</f>
        <v>28.006000000000007</v>
      </c>
      <c r="DV51" s="17">
        <f>DV49-DV50</f>
        <v>54.064999999999998</v>
      </c>
      <c r="DW51" s="17">
        <f>DW49-DW50</f>
        <v>57.453000000000003</v>
      </c>
      <c r="DX51" s="17">
        <f>DX49-DX50</f>
        <v>185.89300000000003</v>
      </c>
      <c r="DY51" s="354"/>
      <c r="DZ51" s="17">
        <f>DZ49-DZ50</f>
        <v>46.873000000000005</v>
      </c>
      <c r="EA51" s="17">
        <f>EA49-EA50</f>
        <v>53.719000000000008</v>
      </c>
      <c r="EB51" s="17">
        <f>EB49-EB50</f>
        <v>52.063000000000002</v>
      </c>
      <c r="EC51" s="17">
        <f>EC49-EC50</f>
        <v>50.11</v>
      </c>
      <c r="ED51" s="17">
        <f>ED49-ED50</f>
        <v>202.76499999999993</v>
      </c>
      <c r="EE51" s="354"/>
      <c r="EF51" s="17">
        <f>EF49-EF50</f>
        <v>43.084999999999994</v>
      </c>
      <c r="EG51" s="17">
        <f>EG49-EG50</f>
        <v>48.798999999999992</v>
      </c>
      <c r="EH51" s="17">
        <f>EH49-EH50</f>
        <v>53.746000000000009</v>
      </c>
      <c r="EI51" s="17">
        <f>EI49-EI50</f>
        <v>61.679000000000016</v>
      </c>
      <c r="EJ51" s="17">
        <f t="shared" si="34"/>
        <v>207.30900000000003</v>
      </c>
      <c r="EK51" s="354"/>
      <c r="EL51" s="17">
        <f>EL49-EL50</f>
        <v>59.666999999999987</v>
      </c>
      <c r="EM51" s="17">
        <f>EM49-EM50</f>
        <v>64.744</v>
      </c>
      <c r="EN51" s="17">
        <f>EN49-EN50</f>
        <v>67.164000000000001</v>
      </c>
      <c r="EO51" s="17">
        <f>EO49-EO50</f>
        <v>72.666999999999987</v>
      </c>
      <c r="EP51" s="17">
        <f>SUM(EL51:EO51)</f>
        <v>264.24199999999996</v>
      </c>
      <c r="EQ51" s="354"/>
      <c r="ER51" s="17">
        <f>ER49-ER50</f>
        <v>70.774000000000015</v>
      </c>
      <c r="ES51" s="17">
        <f>ES49-ES50</f>
        <v>77.76100000000001</v>
      </c>
      <c r="ET51" s="17">
        <f>ET49-ET50</f>
        <v>80.080000000000013</v>
      </c>
      <c r="EU51" s="17">
        <f>EU49-EU50</f>
        <v>82.457000000000008</v>
      </c>
      <c r="EV51" s="17">
        <f>SUM(ER51:EU51)</f>
        <v>311.07200000000006</v>
      </c>
      <c r="EW51" s="354"/>
      <c r="EX51" s="17">
        <f>EX49-EX50</f>
        <v>78.551000000000002</v>
      </c>
      <c r="EY51" s="17">
        <f>EY49-EY50</f>
        <v>82.372000000000014</v>
      </c>
      <c r="EZ51" s="17">
        <f>EZ49-EZ50</f>
        <v>85.396000000000001</v>
      </c>
      <c r="FA51" s="17">
        <f>FA49-FA50</f>
        <v>88.306999999999988</v>
      </c>
      <c r="FB51" s="17">
        <f t="shared" si="35"/>
        <v>334.62599999999998</v>
      </c>
      <c r="FC51" s="354"/>
      <c r="FD51" s="565">
        <f>FD49*FD74</f>
        <v>88.15104918710567</v>
      </c>
      <c r="FE51" s="17">
        <f>FE49*FE74</f>
        <v>91.224853627871923</v>
      </c>
      <c r="FF51" s="17">
        <f>FF49*FF74</f>
        <v>95.538573215535749</v>
      </c>
      <c r="FG51" s="17">
        <f>FG49*FG74</f>
        <v>100.13224556848229</v>
      </c>
      <c r="FH51" s="17">
        <f>SUM(FD51:FG51)</f>
        <v>375.04672159899565</v>
      </c>
      <c r="FI51" s="354"/>
      <c r="FJ51" s="17">
        <f>FJ49*FJ74</f>
        <v>97.842506656335743</v>
      </c>
      <c r="FK51" s="17">
        <f>FK49*FK74</f>
        <v>103.93499011359435</v>
      </c>
      <c r="FL51" s="17">
        <f>FL49*FL74</f>
        <v>108.977208014395</v>
      </c>
      <c r="FM51" s="17">
        <f>FM49*FM74</f>
        <v>111.90386635852744</v>
      </c>
      <c r="FN51" s="17">
        <f>SUM(FJ51:FM51)</f>
        <v>422.65857114285257</v>
      </c>
      <c r="FO51" s="354"/>
      <c r="FP51" s="17">
        <f>FP49*FP74</f>
        <v>110.18658011454218</v>
      </c>
      <c r="FQ51" s="17">
        <f>FQ49*FQ74</f>
        <v>117.07494102856172</v>
      </c>
      <c r="FR51" s="17">
        <f>FR49*FR74</f>
        <v>122.75553194569436</v>
      </c>
      <c r="FS51" s="17">
        <f>FS49*FS74</f>
        <v>126.05905404788477</v>
      </c>
      <c r="FT51" s="17">
        <f>SUM(FP51:FS51)</f>
        <v>476.07610713668305</v>
      </c>
      <c r="FU51" s="354"/>
      <c r="FV51" s="17">
        <f>FV49*FV74</f>
        <v>123.46860141406552</v>
      </c>
      <c r="FW51" s="17">
        <f>FW49*FW74</f>
        <v>131.18729353796292</v>
      </c>
      <c r="FX51" s="17">
        <f>FX49*FX74</f>
        <v>137.55262963437966</v>
      </c>
      <c r="FY51" s="17">
        <f>FY49*FY74</f>
        <v>141.25436221627757</v>
      </c>
      <c r="FZ51" s="17">
        <f>SUM(FV51:FY51)</f>
        <v>533.46288680268572</v>
      </c>
      <c r="GA51" s="354"/>
      <c r="GB51" s="17">
        <f>GB49*GB74</f>
        <v>137.6353012151537</v>
      </c>
      <c r="GC51" s="17">
        <f>GC49*GC74</f>
        <v>146.23963060167435</v>
      </c>
      <c r="GD51" s="17">
        <f>GD49*GD74</f>
        <v>153.33532084949641</v>
      </c>
      <c r="GE51" s="17">
        <f>GE49*GE74</f>
        <v>157.4617876037349</v>
      </c>
      <c r="GF51" s="17">
        <f>SUM(GB51:GE51)</f>
        <v>594.67204027005937</v>
      </c>
      <c r="GG51" s="354"/>
      <c r="GH51" s="17">
        <f>GH49*GH74</f>
        <v>152.35235168345704</v>
      </c>
      <c r="GI51" s="17">
        <f>GI49*GI74</f>
        <v>161.87672373860514</v>
      </c>
      <c r="GJ51" s="17">
        <f>GJ49*GJ74</f>
        <v>169.7311410757907</v>
      </c>
      <c r="GK51" s="17">
        <f>GK49*GK74</f>
        <v>174.29884215684606</v>
      </c>
      <c r="GL51" s="17">
        <f>SUM(GH51:GK51)</f>
        <v>658.25905865469895</v>
      </c>
      <c r="GM51" s="354"/>
      <c r="GN51" s="17">
        <f>GN49*GN74</f>
        <v>167.77063016658971</v>
      </c>
      <c r="GO51" s="17">
        <f>GO49*GO74</f>
        <v>178.25888245791785</v>
      </c>
      <c r="GP51" s="17">
        <f>GP49*GP74</f>
        <v>186.90817819697466</v>
      </c>
      <c r="GQ51" s="17">
        <f>GQ49*GQ74</f>
        <v>191.93813723806298</v>
      </c>
      <c r="GR51" s="17">
        <f>SUM(GN51:GQ51)</f>
        <v>724.87582805954514</v>
      </c>
      <c r="GS51" s="354"/>
      <c r="GT51" s="17">
        <f>GT49*GT74</f>
        <v>183.79412097859583</v>
      </c>
      <c r="GU51" s="17">
        <f>GU49*GU74</f>
        <v>195.28408861221735</v>
      </c>
      <c r="GV51" s="17">
        <f>GV49*GV74</f>
        <v>204.7594640451245</v>
      </c>
      <c r="GW51" s="17">
        <f>GW49*GW74</f>
        <v>210.26982601728375</v>
      </c>
      <c r="GX51" s="17">
        <f>SUM(GT51:GW51)</f>
        <v>794.10749965322145</v>
      </c>
      <c r="GY51" s="354"/>
      <c r="GZ51" s="17">
        <f>GZ49*GZ74</f>
        <v>200.30733391118213</v>
      </c>
      <c r="HA51" s="17">
        <f>HA49*HA74</f>
        <v>212.82963207372524</v>
      </c>
      <c r="HB51" s="17">
        <f>HB49*HB74</f>
        <v>223.15633447675907</v>
      </c>
      <c r="HC51" s="17">
        <f>HC49*HC74</f>
        <v>229.16178181997043</v>
      </c>
      <c r="HD51" s="17">
        <f>SUM(GZ51:HC51)</f>
        <v>865.45508228163681</v>
      </c>
      <c r="HE51" s="354"/>
      <c r="HF51" s="17">
        <f>HF49*HF74</f>
        <v>217.17585654635909</v>
      </c>
      <c r="HG51" s="17">
        <f>HG49*HG74</f>
        <v>230.75269757498097</v>
      </c>
      <c r="HH51" s="17">
        <f>HH49*HH74</f>
        <v>241.94904468762664</v>
      </c>
      <c r="HI51" s="17">
        <f>HI49*HI74</f>
        <v>248.46023000091273</v>
      </c>
      <c r="HJ51" s="17">
        <f>SUM(HF51:HI51)</f>
        <v>938.3378288098794</v>
      </c>
      <c r="HK51" s="513"/>
      <c r="HL51" s="513"/>
      <c r="HM51" s="513"/>
      <c r="HN51" s="513"/>
      <c r="HO51" s="513"/>
    </row>
    <row r="52" spans="1:224">
      <c r="C52" s="8" t="s">
        <v>523</v>
      </c>
      <c r="D52" s="17"/>
      <c r="E52" s="17"/>
      <c r="F52" s="17"/>
      <c r="G52" s="17"/>
      <c r="H52" s="17"/>
      <c r="J52" s="17"/>
      <c r="K52" s="17"/>
      <c r="L52" s="17"/>
      <c r="M52" s="17"/>
      <c r="N52" s="17"/>
      <c r="P52" s="17"/>
      <c r="Q52" s="17"/>
      <c r="R52" s="17"/>
      <c r="S52" s="17"/>
      <c r="T52" s="17"/>
      <c r="U52" s="17"/>
      <c r="V52" s="17"/>
      <c r="W52" s="17"/>
      <c r="X52" s="17"/>
      <c r="Y52" s="17"/>
      <c r="Z52" s="17"/>
      <c r="AB52" s="17"/>
      <c r="AC52" s="17"/>
      <c r="AD52" s="17"/>
      <c r="AE52" s="17"/>
      <c r="AF52" s="17"/>
      <c r="AH52" s="17"/>
      <c r="AI52" s="17"/>
      <c r="AJ52" s="17"/>
      <c r="AK52" s="17"/>
      <c r="AL52" s="17"/>
      <c r="AN52" s="17"/>
      <c r="AO52" s="17"/>
      <c r="AP52" s="17"/>
      <c r="AQ52" s="17"/>
      <c r="AR52" s="17"/>
      <c r="AT52" s="17"/>
      <c r="AU52" s="17"/>
      <c r="AV52" s="17"/>
      <c r="AW52" s="17"/>
      <c r="AX52" s="17"/>
      <c r="AZ52" s="17"/>
      <c r="BA52" s="17"/>
      <c r="BB52" s="17"/>
      <c r="BC52" s="17"/>
      <c r="BD52" s="17"/>
      <c r="BF52" s="17"/>
      <c r="BG52" s="17"/>
      <c r="BH52" s="17"/>
      <c r="BI52" s="17"/>
      <c r="BJ52" s="17"/>
      <c r="BL52" s="17"/>
      <c r="BM52" s="17"/>
      <c r="BN52" s="17"/>
      <c r="BO52" s="17"/>
      <c r="BP52" s="17"/>
      <c r="BR52" s="17"/>
      <c r="BS52" s="17"/>
      <c r="BT52" s="17"/>
      <c r="BU52" s="17"/>
      <c r="BV52" s="17"/>
      <c r="BX52" s="17"/>
      <c r="BY52" s="129"/>
      <c r="BZ52" s="129"/>
      <c r="CA52" s="129"/>
      <c r="CB52" s="17"/>
      <c r="CD52" s="17"/>
      <c r="CE52" s="17"/>
      <c r="CF52" s="17"/>
      <c r="CG52" s="17"/>
      <c r="CH52" s="17"/>
      <c r="CJ52" s="17"/>
      <c r="CK52" s="17"/>
      <c r="CL52" s="17"/>
      <c r="CM52" s="17"/>
      <c r="CN52" s="17"/>
      <c r="CP52" s="17"/>
      <c r="CQ52" s="17"/>
      <c r="CR52" s="17"/>
      <c r="CS52" s="17"/>
      <c r="CT52" s="17"/>
      <c r="CV52" s="109"/>
      <c r="CW52" s="109"/>
      <c r="CX52" s="109"/>
      <c r="CY52" s="109"/>
      <c r="CZ52" s="17"/>
      <c r="DB52" s="109"/>
      <c r="DC52" s="109"/>
      <c r="DD52" s="109"/>
      <c r="DE52" s="109"/>
      <c r="DF52" s="17"/>
      <c r="DH52" s="17">
        <f>DH12-SUM(DH34:DH38)</f>
        <v>14.030000000000001</v>
      </c>
      <c r="DI52" s="17">
        <f>DI12-SUM(DI34:DI38)</f>
        <v>15.407</v>
      </c>
      <c r="DJ52" s="17">
        <f>DJ12-SUM(DJ34:DJ38)</f>
        <v>17.773</v>
      </c>
      <c r="DK52" s="17">
        <f>DK12-SUM(DK34:DK38)</f>
        <v>19.911999999999999</v>
      </c>
      <c r="DL52" s="17">
        <f t="shared" ref="DL52:DL61" si="36">SUM(DH52:DK52)</f>
        <v>67.122</v>
      </c>
      <c r="DM52" s="354"/>
      <c r="DN52" s="17">
        <f>DN12-SUM(DN34:DN38)</f>
        <v>21.033000000000001</v>
      </c>
      <c r="DO52" s="17">
        <f>DO12-SUM(DO34:DO38)</f>
        <v>23.191000000000003</v>
      </c>
      <c r="DP52" s="17">
        <f>DP12-SUM(DP34:DP38)</f>
        <v>26.701000000000001</v>
      </c>
      <c r="DQ52" s="17">
        <f>DQ12-SUM(DQ34:DQ38)</f>
        <v>27.585999999999999</v>
      </c>
      <c r="DR52" s="17">
        <f>SUM(DN52:DQ52)</f>
        <v>98.51100000000001</v>
      </c>
      <c r="DS52" s="354"/>
      <c r="DT52" s="17">
        <f>DT12-SUM(DT34:DT38)</f>
        <v>30.44</v>
      </c>
      <c r="DU52" s="17">
        <f>DU12-SUM(DU34:DU38)</f>
        <v>31.366</v>
      </c>
      <c r="DV52" s="17">
        <f>DV12-SUM(DV34:DV38)</f>
        <v>30.603999999999999</v>
      </c>
      <c r="DW52" s="17">
        <f>DW12-SUM(DW34:DW38)</f>
        <v>35.409000000000006</v>
      </c>
      <c r="DX52" s="17">
        <f>SUM(DT52:DW52)</f>
        <v>127.819</v>
      </c>
      <c r="DY52" s="354"/>
      <c r="DZ52" s="17">
        <f>DZ12-SUM(DZ34:DZ38)+SUM(DZ28:DZ30)</f>
        <v>28.307999999999996</v>
      </c>
      <c r="EA52" s="17">
        <f>EA12-SUM(EA34:EA38)+SUM(EA28:EA30)</f>
        <v>35.57</v>
      </c>
      <c r="EB52" s="17">
        <f>EB12-SUM(EB34:EB38)+SUM(EB28:EB30)</f>
        <v>40.33</v>
      </c>
      <c r="EC52" s="17">
        <f>EC12-SUM(EC34:EC38)+SUM(EC28:EC30)</f>
        <v>42.92</v>
      </c>
      <c r="ED52" s="17">
        <f>SUM(DZ52:EC52)</f>
        <v>147.12799999999999</v>
      </c>
      <c r="EE52" s="354"/>
      <c r="EF52" s="17">
        <f>EF12-SUM(EF34:EF38)+SUM(EF28:EF30)</f>
        <v>46.647000000000006</v>
      </c>
      <c r="EG52" s="17">
        <f>EG12-SUM(EG34:EG38)+SUM(EG28:EG30)</f>
        <v>47.497000000000007</v>
      </c>
      <c r="EH52" s="17">
        <f>EH12-SUM(EH34:EH38)+SUM(EH28:EH30)</f>
        <v>50.18</v>
      </c>
      <c r="EI52" s="17">
        <f>EI12-SUM(EI34:EI38)+SUM(EI28:EI30)+EI36</f>
        <v>48.506</v>
      </c>
      <c r="EJ52" s="17">
        <f t="shared" si="34"/>
        <v>192.83</v>
      </c>
      <c r="EK52" s="354"/>
      <c r="EL52" s="17">
        <f>EL12-SUM(EL34:EL38)+SUM(EL28:EL30)+EL36</f>
        <v>52.071999999999996</v>
      </c>
      <c r="EM52" s="17">
        <f>EM12-SUM(EM34:EM38)+SUM(EM28:EM30)+EM36</f>
        <v>50.597000000000001</v>
      </c>
      <c r="EN52" s="17">
        <f>EN12-SUM(EN34:EN38)+SUM(EN28:EN30)+EN36</f>
        <v>50.216999999999992</v>
      </c>
      <c r="EO52" s="17">
        <f>EO12-SUM(EO34:EO38)+SUM(EO28:EO30)+EO36</f>
        <v>47.821999999999996</v>
      </c>
      <c r="EP52" s="17">
        <f>SUM(EL52:EO52)</f>
        <v>200.708</v>
      </c>
      <c r="EQ52" s="354"/>
      <c r="ER52" s="17">
        <f>ER12-SUM(ER34:ER38)+SUM(ER28:ER30)+ER36</f>
        <v>49.082999999999998</v>
      </c>
      <c r="ES52" s="17">
        <f>ES12-SUM(ES34:ES38)+SUM(ES28:ES30)+ES36</f>
        <v>47.073</v>
      </c>
      <c r="ET52" s="17">
        <f>ET12-SUM(ET34:ET38)+SUM(ET28:ET30)+ET36</f>
        <v>48.54699999999999</v>
      </c>
      <c r="EU52" s="17">
        <f>EU12-SUM(EU34:EU38)+SUM(EU28:EU30)+EU36</f>
        <v>49.672000000000011</v>
      </c>
      <c r="EV52" s="17">
        <f>SUM(ER52:EU52)</f>
        <v>194.375</v>
      </c>
      <c r="EW52" s="354"/>
      <c r="EX52" s="17">
        <f>EX12-SUM(EX34:EX38)+SUM(EX28:EX30)+EX36</f>
        <v>48.047999999999995</v>
      </c>
      <c r="EY52" s="17">
        <f>EY12-SUM(EY34:EY38)+SUM(EY28:EY30)+EY38</f>
        <v>52.681000000000004</v>
      </c>
      <c r="EZ52" s="17">
        <f>EZ12-SUM(EZ34:EZ38)+SUM(EZ28:EZ30)+EZ36</f>
        <v>44.365000000000002</v>
      </c>
      <c r="FA52" s="17">
        <f>FA12-SUM(FA34:FA38)+SUM(FA28:FA30)+FA36</f>
        <v>50.876999999999995</v>
      </c>
      <c r="FB52" s="17">
        <f t="shared" si="35"/>
        <v>195.971</v>
      </c>
      <c r="FC52" s="354"/>
      <c r="FD52" s="565">
        <f t="shared" ref="FD52:FG54" si="37">FD$49*FD75</f>
        <v>52.790855586277083</v>
      </c>
      <c r="FE52" s="17">
        <f t="shared" si="37"/>
        <v>53.919372443750021</v>
      </c>
      <c r="FF52" s="17">
        <f t="shared" si="37"/>
        <v>53.45102248564001</v>
      </c>
      <c r="FG52" s="17">
        <f t="shared" si="37"/>
        <v>54.883384599679992</v>
      </c>
      <c r="FH52" s="17">
        <f>SUM(FD52:FG52)</f>
        <v>215.04463511534712</v>
      </c>
      <c r="FI52" s="354"/>
      <c r="FJ52" s="17">
        <f t="shared" ref="FJ52:FM54" si="38">FJ$49*FJ75</f>
        <v>53.838185154648578</v>
      </c>
      <c r="FK52" s="17">
        <f t="shared" si="38"/>
        <v>57.190595713544276</v>
      </c>
      <c r="FL52" s="17">
        <f t="shared" si="38"/>
        <v>59.965093937377453</v>
      </c>
      <c r="FM52" s="17">
        <f t="shared" si="38"/>
        <v>61.575498036786286</v>
      </c>
      <c r="FN52" s="17">
        <f>SUM(FJ52:FM52)</f>
        <v>232.56937284235659</v>
      </c>
      <c r="FO52" s="354"/>
      <c r="FP52" s="17">
        <f t="shared" ref="FP52:FS54" si="39">FP$49*FP75</f>
        <v>57.988399767228145</v>
      </c>
      <c r="FQ52" s="17">
        <f t="shared" si="39"/>
        <v>61.613569238935852</v>
      </c>
      <c r="FR52" s="17">
        <f>FR$49*FR75</f>
        <v>64.603120023381138</v>
      </c>
      <c r="FS52" s="17">
        <f t="shared" si="39"/>
        <v>66.341679838038715</v>
      </c>
      <c r="FT52" s="17">
        <f>SUM(FP52:FS52)</f>
        <v>250.54676886758386</v>
      </c>
      <c r="FU52" s="354"/>
      <c r="FV52" s="17">
        <f t="shared" ref="FV52:FY54" si="40">FV$49*FV75</f>
        <v>61.677255841896461</v>
      </c>
      <c r="FW52" s="17">
        <f t="shared" si="40"/>
        <v>65.533035719842147</v>
      </c>
      <c r="FX52" s="17">
        <f t="shared" si="40"/>
        <v>68.712762860524165</v>
      </c>
      <c r="FY52" s="17">
        <f t="shared" si="40"/>
        <v>70.561918879926452</v>
      </c>
      <c r="FZ52" s="17">
        <f>SUM(FV52:FY52)</f>
        <v>266.48497330218925</v>
      </c>
      <c r="GA52" s="354"/>
      <c r="GB52" s="17">
        <f t="shared" ref="GB52:GE54" si="41">GB$49*GB75</f>
        <v>65.779954156518571</v>
      </c>
      <c r="GC52" s="17">
        <f t="shared" si="41"/>
        <v>69.892215964324294</v>
      </c>
      <c r="GD52" s="17">
        <f t="shared" si="41"/>
        <v>73.283454804140206</v>
      </c>
      <c r="GE52" s="17">
        <f t="shared" si="41"/>
        <v>75.255614501003791</v>
      </c>
      <c r="GF52" s="17">
        <f>SUM(GB52:GE52)</f>
        <v>284.21123942598683</v>
      </c>
      <c r="GG52" s="354"/>
      <c r="GH52" s="17">
        <f t="shared" ref="GH52:GK54" si="42">GH$49*GH75</f>
        <v>69.675999409793619</v>
      </c>
      <c r="GI52" s="17">
        <f t="shared" si="42"/>
        <v>74.031824143447608</v>
      </c>
      <c r="GJ52" s="17">
        <f t="shared" si="42"/>
        <v>77.623920830521172</v>
      </c>
      <c r="GK52" s="17">
        <f t="shared" si="42"/>
        <v>79.712888505197938</v>
      </c>
      <c r="GL52" s="17">
        <f>SUM(GH52:GK52)</f>
        <v>301.04463288896034</v>
      </c>
      <c r="GM52" s="354"/>
      <c r="GN52" s="17">
        <f t="shared" ref="GN52:GQ54" si="43">GN$49*GN75</f>
        <v>73.430500776760994</v>
      </c>
      <c r="GO52" s="17">
        <f t="shared" si="43"/>
        <v>78.021039760017473</v>
      </c>
      <c r="GP52" s="17">
        <f t="shared" si="43"/>
        <v>81.806697099771128</v>
      </c>
      <c r="GQ52" s="17">
        <f t="shared" si="43"/>
        <v>84.008229101570009</v>
      </c>
      <c r="GR52" s="17">
        <f>SUM(GN52:GQ52)</f>
        <v>317.26646673811956</v>
      </c>
      <c r="GS52" s="354"/>
      <c r="GT52" s="17">
        <f t="shared" ref="GT52:GW54" si="44">GT$49*GT75</f>
        <v>76.9938957387551</v>
      </c>
      <c r="GU52" s="17">
        <f t="shared" si="44"/>
        <v>81.80720187343691</v>
      </c>
      <c r="GV52" s="17">
        <f t="shared" si="44"/>
        <v>85.77656751082732</v>
      </c>
      <c r="GW52" s="17">
        <f t="shared" si="44"/>
        <v>88.084934246979003</v>
      </c>
      <c r="GX52" s="17">
        <f>SUM(GT52:GW52)</f>
        <v>332.6625993699983</v>
      </c>
      <c r="GY52" s="354"/>
      <c r="GZ52" s="17">
        <f t="shared" ref="GZ52:HC54" si="45">GZ$49*GZ75</f>
        <v>79.965329521138457</v>
      </c>
      <c r="HA52" s="17">
        <f t="shared" si="45"/>
        <v>84.964396102363651</v>
      </c>
      <c r="HB52" s="17">
        <f t="shared" si="45"/>
        <v>89.086951899005072</v>
      </c>
      <c r="HC52" s="17">
        <f t="shared" si="45"/>
        <v>91.484405683371634</v>
      </c>
      <c r="HD52" s="17">
        <f>SUM(GZ52:HC52)</f>
        <v>345.50108320587884</v>
      </c>
      <c r="HE52" s="354"/>
      <c r="HF52" s="17">
        <f t="shared" ref="HF52:HI52" si="46">HF$49*HF75</f>
        <v>82.60448021584358</v>
      </c>
      <c r="HG52" s="17">
        <f>HG$49*HG75</f>
        <v>87.768534425078613</v>
      </c>
      <c r="HH52" s="17">
        <f t="shared" si="46"/>
        <v>92.027149762271179</v>
      </c>
      <c r="HI52" s="17">
        <f t="shared" si="46"/>
        <v>94.50372836058429</v>
      </c>
      <c r="HJ52" s="17">
        <f>SUM(HF52:HI52)</f>
        <v>356.90389276377766</v>
      </c>
      <c r="HK52" s="513"/>
      <c r="HL52" s="513"/>
      <c r="HM52" s="513"/>
      <c r="HN52" s="513"/>
      <c r="HO52" s="513"/>
    </row>
    <row r="53" spans="1:224">
      <c r="C53" s="8" t="s">
        <v>524</v>
      </c>
      <c r="D53" s="17"/>
      <c r="E53" s="17"/>
      <c r="F53" s="17"/>
      <c r="G53" s="17"/>
      <c r="H53" s="17"/>
      <c r="J53" s="17"/>
      <c r="K53" s="17"/>
      <c r="L53" s="17"/>
      <c r="M53" s="17"/>
      <c r="N53" s="17"/>
      <c r="P53" s="17"/>
      <c r="Q53" s="17"/>
      <c r="R53" s="17"/>
      <c r="S53" s="17"/>
      <c r="T53" s="17"/>
      <c r="U53" s="17"/>
      <c r="V53" s="17"/>
      <c r="W53" s="17"/>
      <c r="X53" s="17"/>
      <c r="Y53" s="17"/>
      <c r="Z53" s="17"/>
      <c r="AB53" s="17"/>
      <c r="AC53" s="17"/>
      <c r="AD53" s="17"/>
      <c r="AE53" s="17"/>
      <c r="AF53" s="17"/>
      <c r="AH53" s="17"/>
      <c r="AI53" s="17"/>
      <c r="AJ53" s="17"/>
      <c r="AK53" s="17"/>
      <c r="AL53" s="17"/>
      <c r="AN53" s="17"/>
      <c r="AO53" s="17"/>
      <c r="AP53" s="17"/>
      <c r="AQ53" s="17"/>
      <c r="AR53" s="17"/>
      <c r="AT53" s="17"/>
      <c r="AU53" s="17"/>
      <c r="AV53" s="17"/>
      <c r="AW53" s="17"/>
      <c r="AX53" s="17"/>
      <c r="AZ53" s="17"/>
      <c r="BA53" s="17"/>
      <c r="BB53" s="17"/>
      <c r="BC53" s="17"/>
      <c r="BD53" s="17"/>
      <c r="BF53" s="17"/>
      <c r="BG53" s="17"/>
      <c r="BH53" s="17"/>
      <c r="BI53" s="17"/>
      <c r="BJ53" s="17"/>
      <c r="BL53" s="17"/>
      <c r="BM53" s="17"/>
      <c r="BN53" s="17"/>
      <c r="BO53" s="17"/>
      <c r="BP53" s="17"/>
      <c r="BR53" s="17"/>
      <c r="BS53" s="17"/>
      <c r="BT53" s="17"/>
      <c r="BU53" s="17"/>
      <c r="BV53" s="17"/>
      <c r="BX53" s="17"/>
      <c r="BY53" s="129"/>
      <c r="BZ53" s="129"/>
      <c r="CA53" s="129"/>
      <c r="CB53" s="17"/>
      <c r="CD53" s="17"/>
      <c r="CE53" s="17"/>
      <c r="CF53" s="17"/>
      <c r="CG53" s="17"/>
      <c r="CH53" s="17"/>
      <c r="CJ53" s="17"/>
      <c r="CK53" s="17"/>
      <c r="CL53" s="17"/>
      <c r="CM53" s="17"/>
      <c r="CN53" s="17"/>
      <c r="CP53" s="17"/>
      <c r="CQ53" s="17"/>
      <c r="CR53" s="17"/>
      <c r="CS53" s="17"/>
      <c r="CT53" s="17"/>
      <c r="CV53" s="109"/>
      <c r="CW53" s="109"/>
      <c r="CX53" s="109"/>
      <c r="CY53" s="109"/>
      <c r="CZ53" s="17"/>
      <c r="DB53" s="109"/>
      <c r="DC53" s="109"/>
      <c r="DD53" s="109"/>
      <c r="DE53" s="109"/>
      <c r="DF53" s="17"/>
      <c r="DH53" s="17">
        <f t="shared" ref="DH53:DK55" si="47">DH13</f>
        <v>6.7750000000000004</v>
      </c>
      <c r="DI53" s="17">
        <f t="shared" si="47"/>
        <v>7.68</v>
      </c>
      <c r="DJ53" s="17">
        <f t="shared" si="47"/>
        <v>6.9</v>
      </c>
      <c r="DK53" s="17">
        <f t="shared" si="47"/>
        <v>8.0470000000000006</v>
      </c>
      <c r="DL53" s="17">
        <f t="shared" si="36"/>
        <v>29.402000000000001</v>
      </c>
      <c r="DM53" s="354"/>
      <c r="DN53" s="17">
        <f t="shared" ref="DN53:DQ55" si="48">DN13</f>
        <v>11.215999999999999</v>
      </c>
      <c r="DO53" s="17">
        <f t="shared" si="48"/>
        <v>12.324</v>
      </c>
      <c r="DP53" s="17">
        <f t="shared" si="48"/>
        <v>11.507999999999999</v>
      </c>
      <c r="DQ53" s="17">
        <f t="shared" si="48"/>
        <v>12.302</v>
      </c>
      <c r="DR53" s="17">
        <f>SUM(DN53:DQ53)</f>
        <v>47.35</v>
      </c>
      <c r="DS53" s="354"/>
      <c r="DT53" s="17">
        <f t="shared" ref="DT53:DW55" si="49">DT13</f>
        <v>13.257999999999999</v>
      </c>
      <c r="DU53" s="17">
        <f t="shared" si="49"/>
        <v>10.195</v>
      </c>
      <c r="DV53" s="17">
        <f t="shared" si="49"/>
        <v>11.304</v>
      </c>
      <c r="DW53" s="17">
        <f t="shared" si="49"/>
        <v>13.105</v>
      </c>
      <c r="DX53" s="17">
        <f>SUM(DT53:DW53)</f>
        <v>47.861999999999995</v>
      </c>
      <c r="DY53" s="354"/>
      <c r="DZ53" s="17">
        <f t="shared" ref="DZ53:EC55" si="50">DZ13</f>
        <v>13.749000000000001</v>
      </c>
      <c r="EA53" s="17">
        <f t="shared" si="50"/>
        <v>17.224</v>
      </c>
      <c r="EB53" s="17">
        <f t="shared" si="50"/>
        <v>15.704000000000001</v>
      </c>
      <c r="EC53" s="17">
        <f t="shared" si="50"/>
        <v>15.917</v>
      </c>
      <c r="ED53" s="17">
        <f>SUM(DZ53:EC53)</f>
        <v>62.594000000000001</v>
      </c>
      <c r="EE53" s="354"/>
      <c r="EF53" s="17">
        <f t="shared" ref="EF53:EI54" si="51">EF13</f>
        <v>16.298999999999999</v>
      </c>
      <c r="EG53" s="17">
        <f t="shared" si="51"/>
        <v>17.071000000000002</v>
      </c>
      <c r="EH53" s="17">
        <f t="shared" si="51"/>
        <v>16.809000000000001</v>
      </c>
      <c r="EI53" s="17">
        <f t="shared" si="51"/>
        <v>17.141999999999999</v>
      </c>
      <c r="EJ53" s="17">
        <f t="shared" si="34"/>
        <v>67.320999999999998</v>
      </c>
      <c r="EK53" s="354"/>
      <c r="EL53" s="17">
        <f t="shared" ref="EL53:EO54" si="52">EL13</f>
        <v>16.259</v>
      </c>
      <c r="EM53" s="17">
        <f t="shared" si="52"/>
        <v>18.901</v>
      </c>
      <c r="EN53" s="17">
        <f t="shared" si="52"/>
        <v>17.61</v>
      </c>
      <c r="EO53" s="17">
        <f t="shared" si="52"/>
        <v>18.071999999999999</v>
      </c>
      <c r="EP53" s="17">
        <f>SUM(EL53:EO53)</f>
        <v>70.841999999999999</v>
      </c>
      <c r="EQ53" s="354"/>
      <c r="ER53" s="17">
        <f t="shared" ref="ER53:ET54" si="53">ER13</f>
        <v>20.221</v>
      </c>
      <c r="ES53" s="17">
        <f t="shared" si="53"/>
        <v>21.677</v>
      </c>
      <c r="ET53" s="17">
        <f t="shared" si="53"/>
        <v>20.414999999999999</v>
      </c>
      <c r="EU53" s="17">
        <f>EU13</f>
        <v>22.338999999999999</v>
      </c>
      <c r="EV53" s="17">
        <f>SUM(ER53:EU53)</f>
        <v>84.651999999999987</v>
      </c>
      <c r="EW53" s="354"/>
      <c r="EX53" s="17">
        <f t="shared" ref="EX53:EZ54" si="54">EX13</f>
        <v>22.683</v>
      </c>
      <c r="EY53" s="17">
        <f t="shared" si="54"/>
        <v>24.074999999999999</v>
      </c>
      <c r="EZ53" s="17">
        <f t="shared" si="54"/>
        <v>21.806000000000001</v>
      </c>
      <c r="FA53" s="17">
        <f t="shared" ref="FA53" si="55">FA13</f>
        <v>23.443000000000001</v>
      </c>
      <c r="FB53" s="17">
        <f t="shared" si="35"/>
        <v>92.006999999999991</v>
      </c>
      <c r="FC53" s="354"/>
      <c r="FD53" s="565">
        <f t="shared" si="37"/>
        <v>24.922056636353712</v>
      </c>
      <c r="FE53" s="17">
        <f t="shared" si="37"/>
        <v>25.48915788250001</v>
      </c>
      <c r="FF53" s="17">
        <f t="shared" si="37"/>
        <v>25.697606964250003</v>
      </c>
      <c r="FG53" s="17">
        <f t="shared" si="37"/>
        <v>26.021882954326252</v>
      </c>
      <c r="FH53" s="17">
        <f>SUM(FD53:FG53)</f>
        <v>102.13070443742998</v>
      </c>
      <c r="FI53" s="354"/>
      <c r="FJ53" s="17">
        <f t="shared" si="38"/>
        <v>25.548936502915666</v>
      </c>
      <c r="FK53" s="17">
        <f t="shared" si="38"/>
        <v>27.139824536286437</v>
      </c>
      <c r="FL53" s="17">
        <f t="shared" si="38"/>
        <v>28.456463994777646</v>
      </c>
      <c r="FM53" s="17">
        <f t="shared" si="38"/>
        <v>29.220682030018732</v>
      </c>
      <c r="FN53" s="17">
        <f>SUM(FJ53:FM53)</f>
        <v>110.36590706399849</v>
      </c>
      <c r="FO53" s="354"/>
      <c r="FP53" s="17">
        <f t="shared" si="39"/>
        <v>27.490118135630127</v>
      </c>
      <c r="FQ53" s="17">
        <f t="shared" si="39"/>
        <v>29.20867456138004</v>
      </c>
      <c r="FR53" s="17">
        <f>FR$49*FR76</f>
        <v>30.625908086822346</v>
      </c>
      <c r="FS53" s="17">
        <f t="shared" si="39"/>
        <v>31.450093870231498</v>
      </c>
      <c r="FT53" s="17">
        <f>SUM(FP53:FS53)</f>
        <v>118.77479465406401</v>
      </c>
      <c r="FU53" s="354"/>
      <c r="FV53" s="17">
        <f t="shared" si="40"/>
        <v>29.437841028999127</v>
      </c>
      <c r="FW53" s="17">
        <f t="shared" si="40"/>
        <v>31.278160179720423</v>
      </c>
      <c r="FX53" s="17">
        <f t="shared" si="40"/>
        <v>32.795807176255686</v>
      </c>
      <c r="FY53" s="17">
        <f t="shared" si="40"/>
        <v>33.678387962218672</v>
      </c>
      <c r="FZ53" s="17">
        <f>SUM(FV53:FY53)</f>
        <v>127.1901963471939</v>
      </c>
      <c r="GA53" s="354"/>
      <c r="GB53" s="17">
        <f t="shared" si="41"/>
        <v>31.365975362727099</v>
      </c>
      <c r="GC53" s="17">
        <f t="shared" si="41"/>
        <v>33.326832651283546</v>
      </c>
      <c r="GD53" s="17">
        <f t="shared" si="41"/>
        <v>34.943883244625255</v>
      </c>
      <c r="GE53" s="17">
        <f t="shared" si="41"/>
        <v>35.88427174529216</v>
      </c>
      <c r="GF53" s="17">
        <f>SUM(GB53:GE53)</f>
        <v>135.52096300392805</v>
      </c>
      <c r="GG53" s="354"/>
      <c r="GH53" s="17">
        <f t="shared" si="42"/>
        <v>33.190613060416482</v>
      </c>
      <c r="GI53" s="17">
        <f t="shared" si="42"/>
        <v>35.265538350592948</v>
      </c>
      <c r="GJ53" s="17">
        <f t="shared" si="42"/>
        <v>36.976656845141655</v>
      </c>
      <c r="GK53" s="17">
        <f t="shared" si="42"/>
        <v>37.971750110731307</v>
      </c>
      <c r="GL53" s="17">
        <f>SUM(GH53:GK53)</f>
        <v>143.40455836688238</v>
      </c>
      <c r="GM53" s="354"/>
      <c r="GN53" s="17">
        <f t="shared" si="43"/>
        <v>34.942726362640023</v>
      </c>
      <c r="GO53" s="17">
        <f t="shared" si="43"/>
        <v>37.127185761012093</v>
      </c>
      <c r="GP53" s="17">
        <f t="shared" si="43"/>
        <v>38.928633213044122</v>
      </c>
      <c r="GQ53" s="17">
        <f t="shared" si="43"/>
        <v>39.976256877648069</v>
      </c>
      <c r="GR53" s="17">
        <f>SUM(GN53:GQ53)</f>
        <v>150.97480221434432</v>
      </c>
      <c r="GS53" s="354"/>
      <c r="GT53" s="17">
        <f t="shared" si="44"/>
        <v>37.422302351154471</v>
      </c>
      <c r="GU53" s="17">
        <f t="shared" si="44"/>
        <v>39.761773496917819</v>
      </c>
      <c r="GV53" s="17">
        <f t="shared" si="44"/>
        <v>41.691053728804278</v>
      </c>
      <c r="GW53" s="17">
        <f t="shared" si="44"/>
        <v>42.813017971667421</v>
      </c>
      <c r="GX53" s="17">
        <f>SUM(GT53:GW53)</f>
        <v>161.68814754854401</v>
      </c>
      <c r="GY53" s="354"/>
      <c r="GZ53" s="17">
        <f t="shared" si="45"/>
        <v>39.890720387432495</v>
      </c>
      <c r="HA53" s="17">
        <f t="shared" si="45"/>
        <v>42.384505736458003</v>
      </c>
      <c r="HB53" s="17">
        <f t="shared" si="45"/>
        <v>44.44104350789231</v>
      </c>
      <c r="HC53" s="17">
        <f t="shared" si="45"/>
        <v>45.637013800601196</v>
      </c>
      <c r="HD53" s="17">
        <f>SUM(GZ53:HC53)</f>
        <v>172.35328343238399</v>
      </c>
      <c r="HE53" s="354"/>
      <c r="HF53" s="17">
        <f t="shared" ref="HF53:HI53" si="56">HF$49*HF76</f>
        <v>42.322504510007604</v>
      </c>
      <c r="HG53" s="17">
        <f>HG$49*HG76</f>
        <v>44.968313877601133</v>
      </c>
      <c r="HH53" s="17">
        <f t="shared" si="56"/>
        <v>47.150220553168481</v>
      </c>
      <c r="HI53" s="17">
        <f t="shared" si="56"/>
        <v>48.419098568290856</v>
      </c>
      <c r="HJ53" s="17">
        <f>SUM(HF53:HI53)</f>
        <v>182.86013750906807</v>
      </c>
      <c r="HK53" s="513"/>
      <c r="HL53" s="513"/>
      <c r="HM53" s="513"/>
      <c r="HN53" s="513"/>
      <c r="HO53" s="513"/>
    </row>
    <row r="54" spans="1:224" s="19" customFormat="1">
      <c r="A54" s="8"/>
      <c r="B54" s="8"/>
      <c r="C54" s="8" t="s">
        <v>21</v>
      </c>
      <c r="D54" s="18"/>
      <c r="E54" s="18"/>
      <c r="F54" s="18"/>
      <c r="G54" s="17"/>
      <c r="H54" s="18"/>
      <c r="J54" s="18"/>
      <c r="K54" s="18"/>
      <c r="L54" s="18"/>
      <c r="M54" s="18"/>
      <c r="N54" s="18"/>
      <c r="P54" s="18"/>
      <c r="Q54" s="18"/>
      <c r="R54" s="18"/>
      <c r="S54" s="17"/>
      <c r="T54" s="18"/>
      <c r="V54" s="18"/>
      <c r="W54" s="18"/>
      <c r="X54" s="18"/>
      <c r="Y54" s="17"/>
      <c r="Z54" s="18"/>
      <c r="AB54" s="18"/>
      <c r="AC54" s="18"/>
      <c r="AD54" s="18"/>
      <c r="AE54" s="17"/>
      <c r="AF54" s="18"/>
      <c r="AH54" s="18"/>
      <c r="AI54" s="18"/>
      <c r="AJ54" s="18"/>
      <c r="AK54" s="17"/>
      <c r="AL54" s="18"/>
      <c r="AN54" s="18"/>
      <c r="AO54" s="18"/>
      <c r="AP54" s="18"/>
      <c r="AQ54" s="17"/>
      <c r="AR54" s="18"/>
      <c r="AT54" s="18"/>
      <c r="AU54" s="18"/>
      <c r="AV54" s="18"/>
      <c r="AW54" s="17"/>
      <c r="AX54" s="18"/>
      <c r="AZ54" s="18"/>
      <c r="BA54" s="18"/>
      <c r="BB54" s="18"/>
      <c r="BC54" s="17"/>
      <c r="BD54" s="18"/>
      <c r="BF54" s="18"/>
      <c r="BG54" s="18"/>
      <c r="BH54" s="18"/>
      <c r="BI54" s="18"/>
      <c r="BJ54" s="18"/>
      <c r="BL54" s="18"/>
      <c r="BM54" s="18"/>
      <c r="BN54" s="18"/>
      <c r="BO54" s="18"/>
      <c r="BP54" s="18"/>
      <c r="BR54" s="18"/>
      <c r="BS54" s="18"/>
      <c r="BT54" s="18"/>
      <c r="BU54" s="18"/>
      <c r="BV54" s="18"/>
      <c r="BX54" s="18"/>
      <c r="BY54" s="117"/>
      <c r="BZ54" s="117"/>
      <c r="CA54" s="117"/>
      <c r="CB54" s="18"/>
      <c r="CD54" s="18"/>
      <c r="CE54" s="18"/>
      <c r="CF54" s="18"/>
      <c r="CG54" s="18"/>
      <c r="CH54" s="18"/>
      <c r="CJ54" s="18"/>
      <c r="CK54" s="18"/>
      <c r="CL54" s="18"/>
      <c r="CM54" s="18"/>
      <c r="CN54" s="18"/>
      <c r="CP54" s="18"/>
      <c r="CQ54" s="18"/>
      <c r="CR54" s="18"/>
      <c r="CS54" s="18"/>
      <c r="CT54" s="18"/>
      <c r="CV54" s="114"/>
      <c r="CW54" s="114"/>
      <c r="CX54" s="114"/>
      <c r="CY54" s="114"/>
      <c r="CZ54" s="18"/>
      <c r="DB54" s="114"/>
      <c r="DC54" s="114"/>
      <c r="DD54" s="114"/>
      <c r="DE54" s="114"/>
      <c r="DF54" s="18"/>
      <c r="DH54" s="17">
        <f t="shared" si="47"/>
        <v>0.95599999999999996</v>
      </c>
      <c r="DI54" s="17">
        <f t="shared" si="47"/>
        <v>1.073</v>
      </c>
      <c r="DJ54" s="17">
        <f t="shared" si="47"/>
        <v>0.44600000000000001</v>
      </c>
      <c r="DK54" s="17">
        <f t="shared" si="47"/>
        <v>0.52600000000000002</v>
      </c>
      <c r="DL54" s="17">
        <f t="shared" si="36"/>
        <v>3.0010000000000003</v>
      </c>
      <c r="DM54" s="354"/>
      <c r="DN54" s="17">
        <f t="shared" si="48"/>
        <v>1.2090000000000001</v>
      </c>
      <c r="DO54" s="17">
        <f t="shared" si="48"/>
        <v>2.5870000000000002</v>
      </c>
      <c r="DP54" s="17">
        <f t="shared" si="48"/>
        <v>2.6110000000000002</v>
      </c>
      <c r="DQ54" s="17">
        <f t="shared" si="48"/>
        <v>2.08</v>
      </c>
      <c r="DR54" s="17">
        <f>SUM(DN54:DQ54)</f>
        <v>8.4870000000000001</v>
      </c>
      <c r="DS54" s="354"/>
      <c r="DT54" s="17">
        <f t="shared" si="49"/>
        <v>2.06</v>
      </c>
      <c r="DU54" s="17">
        <f t="shared" si="49"/>
        <v>2.105</v>
      </c>
      <c r="DV54" s="17">
        <f t="shared" si="49"/>
        <v>1.964</v>
      </c>
      <c r="DW54" s="17">
        <f t="shared" si="49"/>
        <v>2.1</v>
      </c>
      <c r="DX54" s="17">
        <f>SUM(DT54:DW54)</f>
        <v>8.2289999999999992</v>
      </c>
      <c r="DY54" s="354"/>
      <c r="DZ54" s="17">
        <f t="shared" si="50"/>
        <v>2.456</v>
      </c>
      <c r="EA54" s="17">
        <f t="shared" si="50"/>
        <v>3.4950000000000001</v>
      </c>
      <c r="EB54" s="17">
        <f t="shared" si="50"/>
        <v>7.4089999999999998</v>
      </c>
      <c r="EC54" s="17">
        <f t="shared" si="50"/>
        <v>8.5129999999999999</v>
      </c>
      <c r="ED54" s="17">
        <f>SUM(DZ54:EC54)</f>
        <v>21.872999999999998</v>
      </c>
      <c r="EE54" s="354"/>
      <c r="EF54" s="17">
        <f t="shared" si="51"/>
        <v>7.7130000000000001</v>
      </c>
      <c r="EG54" s="17">
        <f t="shared" si="51"/>
        <v>8.6259999999999994</v>
      </c>
      <c r="EH54" s="17">
        <f t="shared" si="51"/>
        <v>7.3120000000000003</v>
      </c>
      <c r="EI54" s="17">
        <f t="shared" si="51"/>
        <v>6.6749999999999998</v>
      </c>
      <c r="EJ54" s="17">
        <f t="shared" si="34"/>
        <v>30.326000000000001</v>
      </c>
      <c r="EK54" s="354"/>
      <c r="EL54" s="17">
        <f t="shared" si="52"/>
        <v>7.3949999999999996</v>
      </c>
      <c r="EM54" s="17">
        <f t="shared" si="52"/>
        <v>7.5019999999999998</v>
      </c>
      <c r="EN54" s="17">
        <f t="shared" si="52"/>
        <v>5.2850000000000001</v>
      </c>
      <c r="EO54" s="17">
        <f t="shared" si="52"/>
        <v>7.1269999999999998</v>
      </c>
      <c r="EP54" s="17">
        <f>SUM(EL54:EO54)</f>
        <v>27.308999999999997</v>
      </c>
      <c r="EQ54" s="354"/>
      <c r="ER54" s="17">
        <f t="shared" si="53"/>
        <v>7.62</v>
      </c>
      <c r="ES54" s="17">
        <f t="shared" si="53"/>
        <v>7.8860000000000001</v>
      </c>
      <c r="ET54" s="17">
        <f t="shared" si="53"/>
        <v>7.6840000000000002</v>
      </c>
      <c r="EU54" s="17">
        <f>EU14</f>
        <v>7.9690000000000003</v>
      </c>
      <c r="EV54" s="17">
        <f>SUM(ER54:EU54)</f>
        <v>31.159000000000002</v>
      </c>
      <c r="EW54" s="354"/>
      <c r="EX54" s="17">
        <f t="shared" si="54"/>
        <v>10.180999999999999</v>
      </c>
      <c r="EY54" s="17">
        <f t="shared" si="54"/>
        <v>9.0229999999999997</v>
      </c>
      <c r="EZ54" s="17">
        <f t="shared" si="54"/>
        <v>8.6940000000000008</v>
      </c>
      <c r="FA54" s="17">
        <f t="shared" ref="FA54" si="57">FA14</f>
        <v>9.1790000000000003</v>
      </c>
      <c r="FB54" s="17">
        <f t="shared" si="35"/>
        <v>37.077000000000005</v>
      </c>
      <c r="FC54" s="354"/>
      <c r="FD54" s="565">
        <f t="shared" si="37"/>
        <v>11.185974457290357</v>
      </c>
      <c r="FE54" s="17">
        <f t="shared" si="37"/>
        <v>9.7564861164217191</v>
      </c>
      <c r="FF54" s="17">
        <f t="shared" si="37"/>
        <v>9.5172977181611866</v>
      </c>
      <c r="FG54" s="17">
        <f t="shared" si="37"/>
        <v>10.188749888570603</v>
      </c>
      <c r="FH54" s="17">
        <f>SUM(FD54:FG54)</f>
        <v>40.648508180443869</v>
      </c>
      <c r="FI54" s="354"/>
      <c r="FJ54" s="17">
        <f t="shared" si="38"/>
        <v>10.329895553887166</v>
      </c>
      <c r="FK54" s="17">
        <f t="shared" si="38"/>
        <v>10.973120261920457</v>
      </c>
      <c r="FL54" s="17">
        <f t="shared" si="38"/>
        <v>11.505461327733064</v>
      </c>
      <c r="FM54" s="17">
        <f t="shared" si="38"/>
        <v>11.814448454595913</v>
      </c>
      <c r="FN54" s="17">
        <f>SUM(FJ54:FM54)</f>
        <v>44.622925598136597</v>
      </c>
      <c r="FO54" s="354"/>
      <c r="FP54" s="17">
        <f t="shared" si="39"/>
        <v>11.339589446325069</v>
      </c>
      <c r="FQ54" s="17">
        <f t="shared" si="39"/>
        <v>12.048488702857899</v>
      </c>
      <c r="FR54" s="17">
        <f>FR$49*FR77</f>
        <v>12.633093186868978</v>
      </c>
      <c r="FS54" s="17">
        <f t="shared" si="39"/>
        <v>12.973067295574037</v>
      </c>
      <c r="FT54" s="17">
        <f>SUM(FP54:FS54)</f>
        <v>48.994238631625976</v>
      </c>
      <c r="FU54" s="354"/>
      <c r="FV54" s="17">
        <f t="shared" si="40"/>
        <v>12.393730702859353</v>
      </c>
      <c r="FW54" s="17">
        <f t="shared" si="40"/>
        <v>13.168530048330579</v>
      </c>
      <c r="FX54" s="17">
        <f t="shared" si="40"/>
        <v>13.807480036494873</v>
      </c>
      <c r="FY54" s="17">
        <f t="shared" si="40"/>
        <v>14.179058528748017</v>
      </c>
      <c r="FZ54" s="17">
        <f>SUM(FV54:FY54)</f>
        <v>53.54879931643282</v>
      </c>
      <c r="GA54" s="354"/>
      <c r="GB54" s="17">
        <f t="shared" si="41"/>
        <v>13.483897487590019</v>
      </c>
      <c r="GC54" s="17">
        <f t="shared" si="41"/>
        <v>14.326849073215124</v>
      </c>
      <c r="GD54" s="17">
        <f t="shared" si="41"/>
        <v>15.022001836064534</v>
      </c>
      <c r="GE54" s="17">
        <f t="shared" si="41"/>
        <v>15.426264799191424</v>
      </c>
      <c r="GF54" s="17">
        <f>SUM(GB54:GE54)</f>
        <v>58.259013196061098</v>
      </c>
      <c r="GG54" s="354"/>
      <c r="GH54" s="17">
        <f t="shared" si="42"/>
        <v>14.575569312164953</v>
      </c>
      <c r="GI54" s="17">
        <f t="shared" si="42"/>
        <v>15.486767226149839</v>
      </c>
      <c r="GJ54" s="17">
        <f t="shared" si="42"/>
        <v>16.238200354945114</v>
      </c>
      <c r="GK54" s="17">
        <f t="shared" si="42"/>
        <v>16.675192911794515</v>
      </c>
      <c r="GL54" s="17">
        <f>SUM(GH54:GK54)</f>
        <v>62.975729805054414</v>
      </c>
      <c r="GM54" s="354"/>
      <c r="GN54" s="17">
        <f t="shared" si="43"/>
        <v>15.682746294697422</v>
      </c>
      <c r="GO54" s="17">
        <f t="shared" si="43"/>
        <v>16.663159848585558</v>
      </c>
      <c r="GP54" s="17">
        <f t="shared" si="43"/>
        <v>17.471672700738196</v>
      </c>
      <c r="GQ54" s="17">
        <f t="shared" si="43"/>
        <v>17.941859714018051</v>
      </c>
      <c r="GR54" s="17">
        <f>SUM(GN54:GQ54)</f>
        <v>67.759438558039221</v>
      </c>
      <c r="GS54" s="354"/>
      <c r="GT54" s="17">
        <f t="shared" si="44"/>
        <v>16.7956119807554</v>
      </c>
      <c r="GU54" s="17">
        <f t="shared" si="44"/>
        <v>17.845596806266872</v>
      </c>
      <c r="GV54" s="17">
        <f t="shared" si="44"/>
        <v>18.711482658848766</v>
      </c>
      <c r="GW54" s="17">
        <f t="shared" si="44"/>
        <v>19.215034682521352</v>
      </c>
      <c r="GX54" s="17">
        <f>SUM(GT54:GW54)</f>
        <v>72.567726128392394</v>
      </c>
      <c r="GY54" s="354"/>
      <c r="GZ54" s="17">
        <f t="shared" si="45"/>
        <v>17.903469833930618</v>
      </c>
      <c r="HA54" s="17">
        <f t="shared" si="45"/>
        <v>19.022712864263116</v>
      </c>
      <c r="HB54" s="17">
        <f t="shared" si="45"/>
        <v>19.94571354200502</v>
      </c>
      <c r="HC54" s="17">
        <f t="shared" si="45"/>
        <v>20.482480435403531</v>
      </c>
      <c r="HD54" s="17">
        <f>SUM(GZ54:HC54)</f>
        <v>77.354376675602282</v>
      </c>
      <c r="HE54" s="354"/>
      <c r="HF54" s="17">
        <f t="shared" ref="HF54:HI54" si="58">HF$49*HF77</f>
        <v>18.994885914119315</v>
      </c>
      <c r="HG54" s="17">
        <f>HG$49*HG77</f>
        <v>20.182359284842533</v>
      </c>
      <c r="HH54" s="17">
        <f t="shared" si="58"/>
        <v>21.161627143810023</v>
      </c>
      <c r="HI54" s="17">
        <f t="shared" si="58"/>
        <v>21.731115963416254</v>
      </c>
      <c r="HJ54" s="17">
        <f>SUM(HF54:HI54)</f>
        <v>82.069988306188122</v>
      </c>
      <c r="HK54" s="513"/>
      <c r="HL54" s="513"/>
      <c r="HM54" s="513"/>
      <c r="HN54" s="513"/>
      <c r="HO54" s="513"/>
      <c r="HP54" s="8"/>
    </row>
    <row r="55" spans="1:224" s="19" customFormat="1">
      <c r="C55" s="8" t="s">
        <v>22</v>
      </c>
      <c r="D55" s="18"/>
      <c r="E55" s="18"/>
      <c r="F55" s="18"/>
      <c r="G55" s="18"/>
      <c r="H55" s="18"/>
      <c r="J55" s="18"/>
      <c r="K55" s="18"/>
      <c r="L55" s="18"/>
      <c r="M55" s="18"/>
      <c r="N55" s="18"/>
      <c r="P55" s="18"/>
      <c r="Q55" s="18"/>
      <c r="R55" s="18"/>
      <c r="S55" s="18"/>
      <c r="T55" s="18"/>
      <c r="V55" s="18"/>
      <c r="W55" s="18"/>
      <c r="X55" s="18"/>
      <c r="Y55" s="18"/>
      <c r="Z55" s="18"/>
      <c r="AB55" s="18"/>
      <c r="AC55" s="18"/>
      <c r="AD55" s="18"/>
      <c r="AE55" s="18"/>
      <c r="AF55" s="18"/>
      <c r="AH55" s="18"/>
      <c r="AI55" s="18"/>
      <c r="AJ55" s="18"/>
      <c r="AK55" s="18"/>
      <c r="AL55" s="18"/>
      <c r="AN55" s="18"/>
      <c r="AO55" s="18"/>
      <c r="AP55" s="18"/>
      <c r="AQ55" s="18"/>
      <c r="AR55" s="18"/>
      <c r="AT55" s="18"/>
      <c r="AU55" s="18"/>
      <c r="AV55" s="18"/>
      <c r="AW55" s="18"/>
      <c r="AX55" s="18"/>
      <c r="AZ55" s="18"/>
      <c r="BA55" s="18"/>
      <c r="BB55" s="18"/>
      <c r="BC55" s="18"/>
      <c r="BD55" s="18"/>
      <c r="BF55" s="18"/>
      <c r="BG55" s="18"/>
      <c r="BH55" s="18"/>
      <c r="BI55" s="18"/>
      <c r="BJ55" s="18"/>
      <c r="BL55" s="18"/>
      <c r="BM55" s="18"/>
      <c r="BN55" s="18"/>
      <c r="BO55" s="18"/>
      <c r="BP55" s="18"/>
      <c r="BR55" s="18"/>
      <c r="BS55" s="18"/>
      <c r="BT55" s="18"/>
      <c r="BU55" s="18"/>
      <c r="BV55" s="18"/>
      <c r="BX55" s="18"/>
      <c r="BY55" s="117"/>
      <c r="BZ55" s="117"/>
      <c r="CA55" s="117"/>
      <c r="CB55" s="18"/>
      <c r="CD55" s="18"/>
      <c r="CE55" s="18"/>
      <c r="CF55" s="18"/>
      <c r="CG55" s="18"/>
      <c r="CH55" s="18"/>
      <c r="CJ55" s="18"/>
      <c r="CK55" s="18"/>
      <c r="CL55" s="18"/>
      <c r="CM55" s="18"/>
      <c r="CN55" s="18"/>
      <c r="CP55" s="18"/>
      <c r="CQ55" s="18"/>
      <c r="CR55" s="18"/>
      <c r="CS55" s="18"/>
      <c r="CT55" s="18"/>
      <c r="CV55" s="114"/>
      <c r="CW55" s="114"/>
      <c r="CX55" s="114"/>
      <c r="CY55" s="114"/>
      <c r="CZ55" s="18"/>
      <c r="DB55" s="114"/>
      <c r="DC55" s="114"/>
      <c r="DD55" s="114"/>
      <c r="DE55" s="114"/>
      <c r="DF55" s="18"/>
      <c r="DH55" s="18">
        <f t="shared" si="47"/>
        <v>0</v>
      </c>
      <c r="DI55" s="18">
        <f t="shared" si="47"/>
        <v>0</v>
      </c>
      <c r="DJ55" s="18">
        <f t="shared" si="47"/>
        <v>0</v>
      </c>
      <c r="DK55" s="18">
        <f t="shared" si="47"/>
        <v>0</v>
      </c>
      <c r="DL55" s="18">
        <f t="shared" si="36"/>
        <v>0</v>
      </c>
      <c r="DM55" s="432"/>
      <c r="DN55" s="18">
        <f t="shared" si="48"/>
        <v>0</v>
      </c>
      <c r="DO55" s="18">
        <f t="shared" si="48"/>
        <v>0</v>
      </c>
      <c r="DP55" s="18">
        <f t="shared" si="48"/>
        <v>0</v>
      </c>
      <c r="DQ55" s="18">
        <f t="shared" si="48"/>
        <v>0</v>
      </c>
      <c r="DR55" s="18">
        <f>SUM(DN55:DQ55)</f>
        <v>0</v>
      </c>
      <c r="DS55" s="432"/>
      <c r="DT55" s="18">
        <f t="shared" si="49"/>
        <v>0</v>
      </c>
      <c r="DU55" s="18">
        <f t="shared" si="49"/>
        <v>0</v>
      </c>
      <c r="DV55" s="18">
        <f t="shared" si="49"/>
        <v>0</v>
      </c>
      <c r="DW55" s="18">
        <f t="shared" si="49"/>
        <v>0</v>
      </c>
      <c r="DX55" s="18">
        <f>SUM(DT55:DW55)</f>
        <v>0</v>
      </c>
      <c r="DY55" s="432"/>
      <c r="DZ55" s="18">
        <f t="shared" si="50"/>
        <v>0</v>
      </c>
      <c r="EA55" s="18">
        <f t="shared" si="50"/>
        <v>0</v>
      </c>
      <c r="EB55" s="18">
        <f t="shared" si="50"/>
        <v>0</v>
      </c>
      <c r="EC55" s="18">
        <f t="shared" si="50"/>
        <v>0</v>
      </c>
      <c r="ED55" s="18">
        <f>SUM(DZ55:EC55)</f>
        <v>0</v>
      </c>
      <c r="EE55" s="432"/>
      <c r="EF55" s="18">
        <f>EF15</f>
        <v>0</v>
      </c>
      <c r="EG55" s="18">
        <f>EG15</f>
        <v>0</v>
      </c>
      <c r="EH55" s="18">
        <f>EH15</f>
        <v>0</v>
      </c>
      <c r="EI55" s="18">
        <f>EI15-EI36</f>
        <v>0</v>
      </c>
      <c r="EJ55" s="18">
        <f t="shared" si="34"/>
        <v>0</v>
      </c>
      <c r="EK55" s="432"/>
      <c r="EL55" s="18">
        <f>EL15-EL36</f>
        <v>0</v>
      </c>
      <c r="EM55" s="18">
        <f>EM15-EM36</f>
        <v>0</v>
      </c>
      <c r="EN55" s="18">
        <f>EN15-EN36</f>
        <v>0</v>
      </c>
      <c r="EO55" s="18">
        <f>EO15-EO36</f>
        <v>0</v>
      </c>
      <c r="EP55" s="18">
        <f>SUM(EL55:EO55)</f>
        <v>0</v>
      </c>
      <c r="EQ55" s="432"/>
      <c r="ER55" s="18">
        <f>ER15-ER36</f>
        <v>0</v>
      </c>
      <c r="ES55" s="18">
        <f>ES15-ES36</f>
        <v>0</v>
      </c>
      <c r="ET55" s="18">
        <f>ET15-ET36</f>
        <v>0</v>
      </c>
      <c r="EU55" s="18">
        <f>EU15-EU36</f>
        <v>0</v>
      </c>
      <c r="EV55" s="36">
        <f>SUM(ER55:EU55)</f>
        <v>0</v>
      </c>
      <c r="EW55" s="432"/>
      <c r="EX55" s="36">
        <f>EX15-EX36</f>
        <v>0</v>
      </c>
      <c r="EY55" s="36">
        <f>EY15-EY38</f>
        <v>-4.4600000000000009</v>
      </c>
      <c r="EZ55" s="36">
        <f>EZ15-EZ36</f>
        <v>6.7670000000000003</v>
      </c>
      <c r="FA55" s="36">
        <f>FA15-FA36</f>
        <v>0.27500000000000002</v>
      </c>
      <c r="FB55" s="36">
        <f t="shared" si="35"/>
        <v>2.5819999999999994</v>
      </c>
      <c r="FC55" s="432"/>
      <c r="FD55" s="642">
        <v>0</v>
      </c>
      <c r="FE55" s="36">
        <v>0</v>
      </c>
      <c r="FF55" s="36">
        <v>0</v>
      </c>
      <c r="FG55" s="36">
        <v>0</v>
      </c>
      <c r="FH55" s="36">
        <f>SUM(FD55:FG55)</f>
        <v>0</v>
      </c>
      <c r="FI55" s="432"/>
      <c r="FJ55" s="36">
        <f>FD55</f>
        <v>0</v>
      </c>
      <c r="FK55" s="36">
        <f>FE55</f>
        <v>0</v>
      </c>
      <c r="FL55" s="36">
        <f>FF55</f>
        <v>0</v>
      </c>
      <c r="FM55" s="36">
        <f>FG55</f>
        <v>0</v>
      </c>
      <c r="FN55" s="36">
        <f>SUM(FJ55:FM55)</f>
        <v>0</v>
      </c>
      <c r="FO55" s="432"/>
      <c r="FP55" s="36">
        <f>FJ55</f>
        <v>0</v>
      </c>
      <c r="FQ55" s="36">
        <f>FK55</f>
        <v>0</v>
      </c>
      <c r="FR55" s="36">
        <f>FL55</f>
        <v>0</v>
      </c>
      <c r="FS55" s="36">
        <f>FM55</f>
        <v>0</v>
      </c>
      <c r="FT55" s="36">
        <f>SUM(FP55:FS55)</f>
        <v>0</v>
      </c>
      <c r="FU55" s="432"/>
      <c r="FV55" s="36">
        <f>FP55</f>
        <v>0</v>
      </c>
      <c r="FW55" s="36">
        <f>FQ55</f>
        <v>0</v>
      </c>
      <c r="FX55" s="36">
        <f>FR55</f>
        <v>0</v>
      </c>
      <c r="FY55" s="36">
        <f>FS55</f>
        <v>0</v>
      </c>
      <c r="FZ55" s="36">
        <f>SUM(FV55:FY55)</f>
        <v>0</v>
      </c>
      <c r="GA55" s="432"/>
      <c r="GB55" s="36">
        <f>FV55</f>
        <v>0</v>
      </c>
      <c r="GC55" s="36">
        <f>FW55</f>
        <v>0</v>
      </c>
      <c r="GD55" s="36">
        <f>FX55</f>
        <v>0</v>
      </c>
      <c r="GE55" s="36">
        <f>FY55</f>
        <v>0</v>
      </c>
      <c r="GF55" s="36">
        <f>SUM(GB55:GE55)</f>
        <v>0</v>
      </c>
      <c r="GG55" s="432"/>
      <c r="GH55" s="36">
        <f>GB55</f>
        <v>0</v>
      </c>
      <c r="GI55" s="36">
        <f>GC55</f>
        <v>0</v>
      </c>
      <c r="GJ55" s="36">
        <f>GD55</f>
        <v>0</v>
      </c>
      <c r="GK55" s="36">
        <f>GE55</f>
        <v>0</v>
      </c>
      <c r="GL55" s="36">
        <f>SUM(GH55:GK55)</f>
        <v>0</v>
      </c>
      <c r="GM55" s="432"/>
      <c r="GN55" s="36">
        <f>GH55</f>
        <v>0</v>
      </c>
      <c r="GO55" s="36">
        <f>GI55</f>
        <v>0</v>
      </c>
      <c r="GP55" s="36">
        <f>GJ55</f>
        <v>0</v>
      </c>
      <c r="GQ55" s="36">
        <f>GK55</f>
        <v>0</v>
      </c>
      <c r="GR55" s="36">
        <f>SUM(GN55:GQ55)</f>
        <v>0</v>
      </c>
      <c r="GS55" s="432"/>
      <c r="GT55" s="36">
        <f>GN55</f>
        <v>0</v>
      </c>
      <c r="GU55" s="36">
        <f>GO55</f>
        <v>0</v>
      </c>
      <c r="GV55" s="36">
        <f>GP55</f>
        <v>0</v>
      </c>
      <c r="GW55" s="36">
        <f>GQ55</f>
        <v>0</v>
      </c>
      <c r="GX55" s="36">
        <f>SUM(GT55:GW55)</f>
        <v>0</v>
      </c>
      <c r="GY55" s="432"/>
      <c r="GZ55" s="36">
        <f>GT55</f>
        <v>0</v>
      </c>
      <c r="HA55" s="36">
        <f>GU55</f>
        <v>0</v>
      </c>
      <c r="HB55" s="36">
        <f>GV55</f>
        <v>0</v>
      </c>
      <c r="HC55" s="36">
        <f>GW55</f>
        <v>0</v>
      </c>
      <c r="HD55" s="36">
        <f>SUM(GZ55:HC55)</f>
        <v>0</v>
      </c>
      <c r="HE55" s="432"/>
      <c r="HF55" s="36">
        <f>GZ55</f>
        <v>0</v>
      </c>
      <c r="HG55" s="36">
        <f>HA55</f>
        <v>0</v>
      </c>
      <c r="HH55" s="36">
        <f>HB55</f>
        <v>0</v>
      </c>
      <c r="HI55" s="36">
        <f>HC55</f>
        <v>0</v>
      </c>
      <c r="HJ55" s="36">
        <f>SUM(HF55:HI55)</f>
        <v>0</v>
      </c>
      <c r="HK55" s="521"/>
      <c r="HL55" s="521"/>
      <c r="HM55" s="521"/>
      <c r="HN55" s="521"/>
      <c r="HO55" s="521"/>
    </row>
    <row r="56" spans="1:224">
      <c r="B56" s="8" t="s">
        <v>406</v>
      </c>
      <c r="D56" s="106"/>
      <c r="E56" s="106"/>
      <c r="F56" s="106"/>
      <c r="G56" s="106"/>
      <c r="H56" s="106"/>
      <c r="J56" s="17"/>
      <c r="K56" s="17"/>
      <c r="L56" s="17"/>
      <c r="M56" s="17"/>
      <c r="N56" s="17"/>
      <c r="P56" s="106"/>
      <c r="Q56" s="106"/>
      <c r="R56" s="106"/>
      <c r="S56" s="106"/>
      <c r="T56" s="106"/>
      <c r="V56" s="17"/>
      <c r="W56" s="17"/>
      <c r="X56" s="17"/>
      <c r="Y56" s="17"/>
      <c r="Z56" s="17"/>
      <c r="AA56" s="17"/>
      <c r="AB56" s="17"/>
      <c r="AC56" s="17"/>
      <c r="AD56" s="17"/>
      <c r="AE56" s="17"/>
      <c r="AF56" s="17"/>
      <c r="AH56" s="17"/>
      <c r="AI56" s="17"/>
      <c r="AJ56" s="17"/>
      <c r="AK56" s="17"/>
      <c r="AL56" s="17"/>
      <c r="AN56" s="17"/>
      <c r="AO56" s="17"/>
      <c r="AP56" s="17"/>
      <c r="AQ56" s="17"/>
      <c r="AR56" s="17"/>
      <c r="AT56" s="17"/>
      <c r="AU56" s="17"/>
      <c r="AV56" s="17"/>
      <c r="AW56" s="17"/>
      <c r="AX56" s="17"/>
      <c r="AZ56" s="17"/>
      <c r="BA56" s="17"/>
      <c r="BB56" s="17"/>
      <c r="BC56" s="17"/>
      <c r="BD56" s="17"/>
      <c r="BE56" s="17"/>
      <c r="BF56" s="17"/>
      <c r="BG56" s="17"/>
      <c r="BH56" s="17"/>
      <c r="BI56" s="17"/>
      <c r="BJ56" s="17"/>
      <c r="BL56" s="17"/>
      <c r="BM56" s="17"/>
      <c r="BN56" s="17"/>
      <c r="BO56" s="17"/>
      <c r="BP56" s="17"/>
      <c r="BR56" s="17"/>
      <c r="BS56" s="17"/>
      <c r="BT56" s="17"/>
      <c r="BU56" s="17"/>
      <c r="BV56" s="17"/>
      <c r="BX56" s="17"/>
      <c r="BY56" s="129"/>
      <c r="BZ56" s="17"/>
      <c r="CA56" s="17"/>
      <c r="CB56" s="17"/>
      <c r="CD56" s="17"/>
      <c r="CE56" s="17"/>
      <c r="CF56" s="17"/>
      <c r="CG56" s="17"/>
      <c r="CH56" s="17"/>
      <c r="CJ56" s="17"/>
      <c r="CK56" s="17"/>
      <c r="CL56" s="17"/>
      <c r="CM56" s="17"/>
      <c r="CN56" s="17"/>
      <c r="CP56" s="17"/>
      <c r="CQ56" s="17"/>
      <c r="CR56" s="17"/>
      <c r="CS56" s="17"/>
      <c r="CT56" s="17"/>
      <c r="CV56" s="17"/>
      <c r="CW56" s="17"/>
      <c r="CX56" s="17"/>
      <c r="CY56" s="17"/>
      <c r="CZ56" s="17"/>
      <c r="DB56" s="17"/>
      <c r="DC56" s="17"/>
      <c r="DD56" s="17"/>
      <c r="DE56" s="17"/>
      <c r="DF56" s="17"/>
      <c r="DG56" s="17"/>
      <c r="DH56" s="17">
        <f>DH51-SUM(DH52:DH55)</f>
        <v>5.5420000000000051</v>
      </c>
      <c r="DI56" s="17">
        <f>DI51-SUM(DI52:DI55)</f>
        <v>6.3699999999999939</v>
      </c>
      <c r="DJ56" s="17">
        <f>DJ51-SUM(DJ52:DJ55)</f>
        <v>7.2020000000000017</v>
      </c>
      <c r="DK56" s="17">
        <f>DK51-SUM(DK52:DK55)</f>
        <v>8.6259999999999977</v>
      </c>
      <c r="DL56" s="17">
        <f>DL51-SUM(DL52:DL55)</f>
        <v>27.740000000000009</v>
      </c>
      <c r="DM56" s="354"/>
      <c r="DN56" s="17">
        <f>DN51-SUM(DN52:DN55)</f>
        <v>13.656999999999989</v>
      </c>
      <c r="DO56" s="17">
        <f>DO51-SUM(DO52:DO55)</f>
        <v>10.86399999999999</v>
      </c>
      <c r="DP56" s="17">
        <f>DP51-SUM(DP52:DP55)</f>
        <v>10.011999999999993</v>
      </c>
      <c r="DQ56" s="17">
        <f>DQ51-SUM(DQ52:DQ55)</f>
        <v>7.9549999999999983</v>
      </c>
      <c r="DR56" s="17">
        <f>DR51-SUM(DR52:DR55)</f>
        <v>42.487999999999971</v>
      </c>
      <c r="DS56" s="354"/>
      <c r="DT56" s="17">
        <f>DT51-SUM(DT52:DT55)</f>
        <v>0.6109999999999971</v>
      </c>
      <c r="DU56" s="17">
        <f>DU51-SUM(DU52:DU55)</f>
        <v>-15.659999999999989</v>
      </c>
      <c r="DV56" s="17">
        <f>DV51-SUM(DV52:DV55)</f>
        <v>10.192999999999998</v>
      </c>
      <c r="DW56" s="17">
        <f>DW51-SUM(DW52:DW55)</f>
        <v>6.8389999999999915</v>
      </c>
      <c r="DX56" s="17">
        <f>DX51-SUM(DX52:DX55)</f>
        <v>1.9830000000000609</v>
      </c>
      <c r="DY56" s="354"/>
      <c r="DZ56" s="17">
        <f>DZ51-SUM(DZ52:DZ55)</f>
        <v>2.3600000000000065</v>
      </c>
      <c r="EA56" s="17">
        <f>EA51-SUM(EA52:EA55)</f>
        <v>-2.5699999999999861</v>
      </c>
      <c r="EB56" s="17">
        <f>EB51-SUM(EB52:EB55)</f>
        <v>-11.379999999999995</v>
      </c>
      <c r="EC56" s="17">
        <f>EC51-SUM(EC52:EC55)</f>
        <v>-17.240000000000009</v>
      </c>
      <c r="ED56" s="17">
        <f>ED51-SUM(ED52:ED55)</f>
        <v>-28.830000000000041</v>
      </c>
      <c r="EE56" s="354"/>
      <c r="EF56" s="17">
        <f>EF51-SUM(EF52:EF55)</f>
        <v>-27.574000000000012</v>
      </c>
      <c r="EG56" s="17">
        <f>EG51-SUM(EG52:EG55)</f>
        <v>-24.395000000000024</v>
      </c>
      <c r="EH56" s="17">
        <f>EH51-SUM(EH52:EH55)</f>
        <v>-20.554999999999993</v>
      </c>
      <c r="EI56" s="17">
        <f>EI51-SUM(EI52:EI55)</f>
        <v>-10.643999999999977</v>
      </c>
      <c r="EJ56" s="17">
        <f>EJ51-SUM(EJ52:EJ55)</f>
        <v>-83.168000000000006</v>
      </c>
      <c r="EK56" s="354"/>
      <c r="EL56" s="17">
        <f>EL51-SUM(EL52:EL55)</f>
        <v>-16.058999999999997</v>
      </c>
      <c r="EM56" s="17">
        <f>EM51-SUM(EM52:EM55)</f>
        <v>-12.256</v>
      </c>
      <c r="EN56" s="17">
        <f>EN51-SUM(EN52:EN55)</f>
        <v>-5.9479999999999933</v>
      </c>
      <c r="EO56" s="17">
        <f>EO51-SUM(EO52:EO55)</f>
        <v>-0.3539999999999992</v>
      </c>
      <c r="EP56" s="17">
        <f>EP51-SUM(EP52:EP55)</f>
        <v>-34.617000000000075</v>
      </c>
      <c r="EQ56" s="354"/>
      <c r="ER56" s="17">
        <f>ER51-SUM(ER52:ER55)</f>
        <v>-6.1499999999999915</v>
      </c>
      <c r="ES56" s="17">
        <f>ES51-SUM(ES52:ES55)</f>
        <v>1.1250000000000142</v>
      </c>
      <c r="ET56" s="17">
        <f>ET51-SUM(ET52:ET55)</f>
        <v>3.4340000000000259</v>
      </c>
      <c r="EU56" s="17">
        <f>EU51-SUM(EU52:EU55)</f>
        <v>2.4770000000000039</v>
      </c>
      <c r="EV56" s="17">
        <f>EV51-SUM(EV52:EV55)</f>
        <v>0.88600000000008095</v>
      </c>
      <c r="EW56" s="354"/>
      <c r="EX56" s="17">
        <f>EX51-SUM(EX52:EX55)</f>
        <v>-2.36099999999999</v>
      </c>
      <c r="EY56" s="17">
        <f>EY51-SUM(EY52:EY55)</f>
        <v>1.0530000000000257</v>
      </c>
      <c r="EZ56" s="17">
        <f>EZ51-SUM(EZ52:EZ55)</f>
        <v>3.7639999999999958</v>
      </c>
      <c r="FA56" s="17">
        <f>FA51-SUM(FA52:FA55)</f>
        <v>4.532999999999987</v>
      </c>
      <c r="FB56" s="17">
        <f>FB51-SUM(FB52:FB55)</f>
        <v>6.9889999999999759</v>
      </c>
      <c r="FC56" s="354"/>
      <c r="FD56" s="565">
        <f>FD51-SUM(FD52:FD55)</f>
        <v>-0.74783749281547784</v>
      </c>
      <c r="FE56" s="17">
        <f>FE51-SUM(FE52:FE55)</f>
        <v>2.0598371852001804</v>
      </c>
      <c r="FF56" s="17">
        <f>FF51-SUM(FF52:FF55)</f>
        <v>6.872646047484551</v>
      </c>
      <c r="FG56" s="17">
        <f>FG51-SUM(FG52:FG55)</f>
        <v>9.038228125905448</v>
      </c>
      <c r="FH56" s="17">
        <f>FH51-SUM(FH52:FH55)</f>
        <v>17.222873865774659</v>
      </c>
      <c r="FI56" s="354"/>
      <c r="FJ56" s="17">
        <f>FJ51-SUM(FJ52:FJ55)</f>
        <v>8.1254894448843231</v>
      </c>
      <c r="FK56" s="17">
        <f>FK51-SUM(FK52:FK55)</f>
        <v>8.6314496018431868</v>
      </c>
      <c r="FL56" s="17">
        <f>FL51-SUM(FL52:FL55)</f>
        <v>9.0501887545068485</v>
      </c>
      <c r="FM56" s="17">
        <f>FM51-SUM(FM52:FM55)</f>
        <v>9.2932378371264974</v>
      </c>
      <c r="FN56" s="17">
        <f>FN51-SUM(FN52:FN55)</f>
        <v>35.100365638360927</v>
      </c>
      <c r="FO56" s="354"/>
      <c r="FP56" s="17">
        <f>FP51-SUM(FP52:FP55)</f>
        <v>13.368472765358845</v>
      </c>
      <c r="FQ56" s="17">
        <f>FQ51-SUM(FQ52:FQ55)</f>
        <v>14.204208525387941</v>
      </c>
      <c r="FR56" s="17">
        <f>FR51-SUM(FR52:FR55)</f>
        <v>14.893410648621895</v>
      </c>
      <c r="FS56" s="17">
        <f>FS51-SUM(FS52:FS55)</f>
        <v>15.294213044040518</v>
      </c>
      <c r="FT56" s="17">
        <f>FT51-SUM(FT52:FT55)</f>
        <v>57.760304983409185</v>
      </c>
      <c r="FU56" s="354"/>
      <c r="FV56" s="17">
        <f>FV51-SUM(FV52:FV55)</f>
        <v>19.959773840310575</v>
      </c>
      <c r="FW56" s="17">
        <f>FW51-SUM(FW52:FW55)</f>
        <v>21.207567590069772</v>
      </c>
      <c r="FX56" s="17">
        <f>FX51-SUM(FX52:FX55)</f>
        <v>22.236579561104946</v>
      </c>
      <c r="FY56" s="17">
        <f>FY51-SUM(FY52:FY55)</f>
        <v>22.834996845384438</v>
      </c>
      <c r="FZ56" s="17">
        <f>FZ51-SUM(FZ52:FZ55)</f>
        <v>86.238917836869746</v>
      </c>
      <c r="GA56" s="354"/>
      <c r="GB56" s="17">
        <f>GB51-SUM(GB52:GB55)</f>
        <v>27.00547420831802</v>
      </c>
      <c r="GC56" s="17">
        <f>GC51-SUM(GC52:GC55)</f>
        <v>28.693732912851374</v>
      </c>
      <c r="GD56" s="17">
        <f>GD51-SUM(GD52:GD55)</f>
        <v>30.085980964666419</v>
      </c>
      <c r="GE56" s="17">
        <f>GE51-SUM(GE52:GE55)</f>
        <v>30.895636558247517</v>
      </c>
      <c r="GF56" s="17">
        <f>GF51-SUM(GF52:GF55)</f>
        <v>116.68082464408337</v>
      </c>
      <c r="GG56" s="354"/>
      <c r="GH56" s="17">
        <f>GH51-SUM(GH52:GH55)</f>
        <v>34.910169901081986</v>
      </c>
      <c r="GI56" s="17">
        <f>GI51-SUM(GI52:GI55)</f>
        <v>37.092594018414744</v>
      </c>
      <c r="GJ56" s="17">
        <f>GJ51-SUM(GJ52:GJ55)</f>
        <v>38.892363045182748</v>
      </c>
      <c r="GK56" s="17">
        <f>GK51-SUM(GK52:GK55)</f>
        <v>39.939010629122293</v>
      </c>
      <c r="GL56" s="17">
        <f>GL51-SUM(GL52:GL55)</f>
        <v>150.83413759380181</v>
      </c>
      <c r="GM56" s="354"/>
      <c r="GN56" s="17">
        <f>GN51-SUM(GN52:GN55)</f>
        <v>43.714656732491264</v>
      </c>
      <c r="GO56" s="17">
        <f>GO51-SUM(GO52:GO55)</f>
        <v>46.447497088302725</v>
      </c>
      <c r="GP56" s="17">
        <f>GP51-SUM(GP52:GP55)</f>
        <v>48.701175183421213</v>
      </c>
      <c r="GQ56" s="17">
        <f>GQ51-SUM(GQ52:GQ55)</f>
        <v>50.011791544826849</v>
      </c>
      <c r="GR56" s="17">
        <f>GR51-SUM(GR52:GR55)</f>
        <v>188.87512054904198</v>
      </c>
      <c r="GS56" s="354"/>
      <c r="GT56" s="17">
        <f>GT51-SUM(GT52:GT55)</f>
        <v>52.582310907930861</v>
      </c>
      <c r="GU56" s="17">
        <f>GU51-SUM(GU52:GU55)</f>
        <v>55.869516435595727</v>
      </c>
      <c r="GV56" s="17">
        <f>GV51-SUM(GV52:GV55)</f>
        <v>58.580360146644125</v>
      </c>
      <c r="GW56" s="17">
        <f>GW51-SUM(GW52:GW55)</f>
        <v>60.156839116115975</v>
      </c>
      <c r="GX56" s="17">
        <f>GX51-SUM(GX52:GX55)</f>
        <v>227.1890266062868</v>
      </c>
      <c r="GY56" s="354"/>
      <c r="GZ56" s="17">
        <f>GZ51-SUM(GZ52:GZ55)</f>
        <v>62.54781416868056</v>
      </c>
      <c r="HA56" s="17">
        <f>HA51-SUM(HA52:HA55)</f>
        <v>66.458017370640448</v>
      </c>
      <c r="HB56" s="17">
        <f>HB51-SUM(HB52:HB55)</f>
        <v>69.682625527856658</v>
      </c>
      <c r="HC56" s="17">
        <f>HC51-SUM(HC52:HC55)</f>
        <v>71.557881900594055</v>
      </c>
      <c r="HD56" s="17">
        <f>HD51-SUM(HD52:HD55)</f>
        <v>270.24633896777163</v>
      </c>
      <c r="HE56" s="354"/>
      <c r="HF56" s="17">
        <f>HF51-SUM(HF52:HF55)</f>
        <v>73.253985906388579</v>
      </c>
      <c r="HG56" s="17">
        <f>HG51-SUM(HG52:HG55)</f>
        <v>77.833489987458705</v>
      </c>
      <c r="HH56" s="17">
        <f>HH51-SUM(HH52:HH55)</f>
        <v>81.61004722837697</v>
      </c>
      <c r="HI56" s="17">
        <f>HI51-SUM(HI52:HI55)</f>
        <v>83.806287108621348</v>
      </c>
      <c r="HJ56" s="17">
        <f>HJ51-SUM(HJ52:HJ55)</f>
        <v>316.50381023084549</v>
      </c>
      <c r="HK56" s="513"/>
      <c r="HL56" s="513"/>
      <c r="HM56" s="513"/>
      <c r="HN56" s="513"/>
      <c r="HO56" s="513"/>
    </row>
    <row r="57" spans="1:224">
      <c r="C57" s="8" t="s">
        <v>24</v>
      </c>
      <c r="D57" s="17"/>
      <c r="E57" s="17"/>
      <c r="F57" s="17"/>
      <c r="G57" s="17"/>
      <c r="H57" s="17"/>
      <c r="J57" s="17"/>
      <c r="K57" s="17"/>
      <c r="L57" s="17"/>
      <c r="M57" s="17"/>
      <c r="N57" s="17"/>
      <c r="P57" s="17"/>
      <c r="Q57" s="17"/>
      <c r="R57" s="17"/>
      <c r="S57" s="17"/>
      <c r="T57" s="17"/>
      <c r="V57" s="17"/>
      <c r="W57" s="17"/>
      <c r="X57" s="17"/>
      <c r="Y57" s="17"/>
      <c r="Z57" s="17"/>
      <c r="AB57" s="17"/>
      <c r="AC57" s="17"/>
      <c r="AD57" s="17"/>
      <c r="AE57" s="17"/>
      <c r="AF57" s="17"/>
      <c r="AH57" s="17"/>
      <c r="AI57" s="17"/>
      <c r="AJ57" s="17"/>
      <c r="AK57" s="17"/>
      <c r="AL57" s="17"/>
      <c r="AN57" s="17"/>
      <c r="AO57" s="17"/>
      <c r="AP57" s="17"/>
      <c r="AQ57" s="17"/>
      <c r="AR57" s="17"/>
      <c r="AT57" s="17"/>
      <c r="AU57" s="17"/>
      <c r="AV57" s="17"/>
      <c r="AW57" s="17"/>
      <c r="AX57" s="17"/>
      <c r="AZ57" s="17"/>
      <c r="BA57" s="17"/>
      <c r="BB57" s="17"/>
      <c r="BC57" s="17"/>
      <c r="BD57" s="17"/>
      <c r="BF57" s="17"/>
      <c r="BG57" s="17"/>
      <c r="BH57" s="17"/>
      <c r="BI57" s="17"/>
      <c r="BJ57" s="17"/>
      <c r="BL57" s="17"/>
      <c r="BM57" s="17"/>
      <c r="BN57" s="17"/>
      <c r="BO57" s="17"/>
      <c r="BP57" s="17"/>
      <c r="BR57" s="17"/>
      <c r="BS57" s="17"/>
      <c r="BT57" s="17"/>
      <c r="BU57" s="17"/>
      <c r="BV57" s="17"/>
      <c r="BX57" s="17"/>
      <c r="BY57" s="129"/>
      <c r="BZ57" s="17"/>
      <c r="CA57" s="17"/>
      <c r="CB57" s="17"/>
      <c r="CD57" s="17"/>
      <c r="CE57" s="17"/>
      <c r="CF57" s="17"/>
      <c r="CG57" s="17"/>
      <c r="CH57" s="17"/>
      <c r="CJ57" s="17"/>
      <c r="CK57" s="17"/>
      <c r="CL57" s="17"/>
      <c r="CM57" s="17"/>
      <c r="CN57" s="17"/>
      <c r="CP57" s="17"/>
      <c r="CQ57" s="17"/>
      <c r="CR57" s="17"/>
      <c r="CS57" s="17"/>
      <c r="CT57" s="17"/>
      <c r="CV57" s="109"/>
      <c r="CW57" s="109"/>
      <c r="CX57" s="109"/>
      <c r="CY57" s="109"/>
      <c r="CZ57" s="17"/>
      <c r="DB57" s="109"/>
      <c r="DC57" s="109"/>
      <c r="DD57" s="109"/>
      <c r="DE57" s="109"/>
      <c r="DF57" s="17"/>
      <c r="DH57" s="17">
        <f t="shared" ref="DH57:DK59" si="59">DH17</f>
        <v>1.486</v>
      </c>
      <c r="DI57" s="17">
        <f t="shared" si="59"/>
        <v>1.407</v>
      </c>
      <c r="DJ57" s="17">
        <f t="shared" si="59"/>
        <v>1.873</v>
      </c>
      <c r="DK57" s="17">
        <f t="shared" si="59"/>
        <v>1.464</v>
      </c>
      <c r="DL57" s="17">
        <f t="shared" si="36"/>
        <v>6.23</v>
      </c>
      <c r="DM57" s="425"/>
      <c r="DN57" s="17">
        <f t="shared" ref="DN57:DQ59" si="60">DN17</f>
        <v>1.8260000000000001</v>
      </c>
      <c r="DO57" s="17">
        <f t="shared" si="60"/>
        <v>1.304</v>
      </c>
      <c r="DP57" s="17">
        <f t="shared" si="60"/>
        <v>0.20300000000000001</v>
      </c>
      <c r="DQ57" s="17">
        <f t="shared" si="60"/>
        <v>0.38</v>
      </c>
      <c r="DR57" s="17">
        <f>SUM(DN57:DQ57)</f>
        <v>3.7129999999999996</v>
      </c>
      <c r="DS57" s="425"/>
      <c r="DT57" s="17">
        <f t="shared" ref="DT57:DW59" si="61">DT17</f>
        <v>0.81899999999999995</v>
      </c>
      <c r="DU57" s="17">
        <f t="shared" si="61"/>
        <v>1.548</v>
      </c>
      <c r="DV57" s="17">
        <f t="shared" si="61"/>
        <v>2.4580000000000002</v>
      </c>
      <c r="DW57" s="17">
        <f t="shared" si="61"/>
        <v>2.194</v>
      </c>
      <c r="DX57" s="17">
        <f>SUM(DT57:DW57)</f>
        <v>7.0190000000000001</v>
      </c>
      <c r="DY57" s="354"/>
      <c r="DZ57" s="17">
        <f t="shared" ref="DZ57:EC58" si="62">DZ17</f>
        <v>1.177</v>
      </c>
      <c r="EA57" s="17">
        <f t="shared" si="62"/>
        <v>0.90200000000000002</v>
      </c>
      <c r="EB57" s="17">
        <f t="shared" si="62"/>
        <v>1.296</v>
      </c>
      <c r="EC57" s="17">
        <f t="shared" si="62"/>
        <v>1.7070000000000001</v>
      </c>
      <c r="ED57" s="17">
        <f>SUM(DZ57:EC57)</f>
        <v>5.0819999999999999</v>
      </c>
      <c r="EE57" s="354"/>
      <c r="EF57" s="17">
        <f t="shared" ref="EF57:EI58" si="63">EF17</f>
        <v>1.3009999999999999</v>
      </c>
      <c r="EG57" s="17">
        <f t="shared" si="63"/>
        <v>0.92600000000000005</v>
      </c>
      <c r="EH57" s="17">
        <f t="shared" si="63"/>
        <v>0.13900000000000001</v>
      </c>
      <c r="EI57" s="17">
        <f t="shared" si="63"/>
        <v>0</v>
      </c>
      <c r="EJ57" s="17">
        <f t="shared" si="34"/>
        <v>2.3659999999999997</v>
      </c>
      <c r="EK57" s="354"/>
      <c r="EL57" s="17">
        <f t="shared" ref="EL57:EO58" si="64">EL17</f>
        <v>0</v>
      </c>
      <c r="EM57" s="17">
        <f t="shared" si="64"/>
        <v>0</v>
      </c>
      <c r="EN57" s="17">
        <f t="shared" si="64"/>
        <v>0</v>
      </c>
      <c r="EO57" s="17">
        <f t="shared" si="64"/>
        <v>1.681</v>
      </c>
      <c r="EP57" s="17">
        <f>SUM(EL57:EO57)</f>
        <v>1.681</v>
      </c>
      <c r="EQ57" s="354"/>
      <c r="ER57" s="17">
        <f t="shared" ref="ER57:EU58" si="65">ER17</f>
        <v>1.6850000000000001</v>
      </c>
      <c r="ES57" s="17">
        <f t="shared" si="65"/>
        <v>1.6659999999999999</v>
      </c>
      <c r="ET57" s="17">
        <f t="shared" si="65"/>
        <v>1.6419999999999999</v>
      </c>
      <c r="EU57" s="17">
        <f t="shared" si="65"/>
        <v>1.6240000000000001</v>
      </c>
      <c r="EV57" s="30">
        <f>SUM(ER57:EU57)</f>
        <v>6.6170000000000009</v>
      </c>
      <c r="EW57" s="354"/>
      <c r="EX57" s="17">
        <f t="shared" ref="EX57:EZ58" si="66">EX17</f>
        <v>1.6180000000000001</v>
      </c>
      <c r="EY57" s="17">
        <f t="shared" si="66"/>
        <v>0.93300000000000005</v>
      </c>
      <c r="EZ57" s="17">
        <f t="shared" si="66"/>
        <v>0.60299999999999998</v>
      </c>
      <c r="FA57" s="17">
        <f t="shared" ref="FA57" si="67">FA17</f>
        <v>0.59899999999999998</v>
      </c>
      <c r="FB57" s="30">
        <f t="shared" si="35"/>
        <v>3.7530000000000001</v>
      </c>
      <c r="FC57" s="354"/>
      <c r="FD57" s="565">
        <f>+'Other Accts'!FD47</f>
        <v>0.61562500000000009</v>
      </c>
      <c r="FE57" s="17">
        <f>+'Other Accts'!FE47</f>
        <v>0.61562500000000009</v>
      </c>
      <c r="FF57" s="17">
        <f>+'Other Accts'!FF47</f>
        <v>0.61562500000000009</v>
      </c>
      <c r="FG57" s="17">
        <f>+'Other Accts'!FG47</f>
        <v>0.61562500000000009</v>
      </c>
      <c r="FH57" s="30">
        <f>SUM(FD57:FG57)</f>
        <v>2.4625000000000004</v>
      </c>
      <c r="FI57" s="354"/>
      <c r="FJ57" s="17">
        <f>+'Other Accts'!FJ47</f>
        <v>0.21562500000000001</v>
      </c>
      <c r="FK57" s="17">
        <f>+'Other Accts'!FK47</f>
        <v>0.21562500000000001</v>
      </c>
      <c r="FL57" s="17">
        <f>+'Other Accts'!FL47</f>
        <v>0.21562500000000001</v>
      </c>
      <c r="FM57" s="17">
        <f>+'Other Accts'!FM47</f>
        <v>2.3718750000000002</v>
      </c>
      <c r="FN57" s="30">
        <f>SUM(FJ57:FM57)</f>
        <v>3.0187500000000003</v>
      </c>
      <c r="FO57" s="354"/>
      <c r="FP57" s="17">
        <f>+'Other Accts'!FP47</f>
        <v>4.5281250000000002</v>
      </c>
      <c r="FQ57" s="17">
        <f>+'Other Accts'!FQ47</f>
        <v>4.5281250000000002</v>
      </c>
      <c r="FR57" s="17">
        <f>+'Other Accts'!FR47</f>
        <v>4.5281250000000002</v>
      </c>
      <c r="FS57" s="17">
        <f>+'Other Accts'!FS47</f>
        <v>4.5281250000000002</v>
      </c>
      <c r="FT57" s="30">
        <f>SUM(FP57:FS57)</f>
        <v>18.112500000000001</v>
      </c>
      <c r="FU57" s="354"/>
      <c r="FV57" s="17">
        <f>+'Other Accts'!FV47</f>
        <v>4.5281250000000002</v>
      </c>
      <c r="FW57" s="17">
        <f>+'Other Accts'!FW47</f>
        <v>4.3125</v>
      </c>
      <c r="FX57" s="17">
        <f>+'Other Accts'!FX47</f>
        <v>4.3125</v>
      </c>
      <c r="FY57" s="17">
        <f>+'Other Accts'!FY47</f>
        <v>4.3125</v>
      </c>
      <c r="FZ57" s="30">
        <f>SUM(FV57:FY57)</f>
        <v>17.465624999999999</v>
      </c>
      <c r="GA57" s="354"/>
      <c r="GB57" s="17">
        <f>+'Other Accts'!GB47</f>
        <v>4.3125</v>
      </c>
      <c r="GC57" s="17">
        <f>+'Other Accts'!GC47</f>
        <v>4.3125</v>
      </c>
      <c r="GD57" s="17">
        <f>+'Other Accts'!GD47</f>
        <v>4.3125</v>
      </c>
      <c r="GE57" s="17">
        <f>+'Other Accts'!GE47</f>
        <v>4.3125</v>
      </c>
      <c r="GF57" s="30">
        <f>SUM(GB57:GE57)</f>
        <v>17.25</v>
      </c>
      <c r="GG57" s="354"/>
      <c r="GH57" s="17">
        <f>+'Other Accts'!GH47</f>
        <v>4.3125</v>
      </c>
      <c r="GI57" s="17">
        <f>+'Other Accts'!GI47</f>
        <v>4.3125</v>
      </c>
      <c r="GJ57" s="17">
        <f>+'Other Accts'!GJ47</f>
        <v>4.3125</v>
      </c>
      <c r="GK57" s="17">
        <f>+'Other Accts'!GK47</f>
        <v>2.15625</v>
      </c>
      <c r="GL57" s="30">
        <f>SUM(GH57:GK57)</f>
        <v>15.09375</v>
      </c>
      <c r="GM57" s="354"/>
      <c r="GN57" s="17">
        <f>+'Other Accts'!GN47</f>
        <v>0</v>
      </c>
      <c r="GO57" s="17">
        <f>+'Other Accts'!GO47</f>
        <v>0</v>
      </c>
      <c r="GP57" s="17">
        <f>+'Other Accts'!GP47</f>
        <v>0</v>
      </c>
      <c r="GQ57" s="17">
        <f>+'Other Accts'!GQ47</f>
        <v>0</v>
      </c>
      <c r="GR57" s="30">
        <f>SUM(GN57:GQ57)</f>
        <v>0</v>
      </c>
      <c r="GS57" s="354"/>
      <c r="GT57" s="17">
        <f>+'Other Accts'!GT47</f>
        <v>0</v>
      </c>
      <c r="GU57" s="17">
        <f>+'Other Accts'!GU47</f>
        <v>0</v>
      </c>
      <c r="GV57" s="17">
        <f>+'Other Accts'!GV47</f>
        <v>0</v>
      </c>
      <c r="GW57" s="17">
        <f>+'Other Accts'!GW47</f>
        <v>0</v>
      </c>
      <c r="GX57" s="30">
        <f>SUM(GT57:GW57)</f>
        <v>0</v>
      </c>
      <c r="GY57" s="354"/>
      <c r="GZ57" s="17">
        <f>+'Other Accts'!GZ47</f>
        <v>0</v>
      </c>
      <c r="HA57" s="17">
        <f>+'Other Accts'!HA47</f>
        <v>0</v>
      </c>
      <c r="HB57" s="17">
        <f>+'Other Accts'!HB47</f>
        <v>0</v>
      </c>
      <c r="HC57" s="17">
        <f>+'Other Accts'!HC47</f>
        <v>0</v>
      </c>
      <c r="HD57" s="30">
        <f>SUM(GZ57:HC57)</f>
        <v>0</v>
      </c>
      <c r="HE57" s="354"/>
      <c r="HF57" s="17">
        <f>+'Other Accts'!HF47</f>
        <v>0</v>
      </c>
      <c r="HG57" s="17">
        <f>+'Other Accts'!HG47</f>
        <v>0</v>
      </c>
      <c r="HH57" s="17">
        <f>+'Other Accts'!HH47</f>
        <v>0</v>
      </c>
      <c r="HI57" s="17">
        <f>+'Other Accts'!HI47</f>
        <v>0</v>
      </c>
      <c r="HJ57" s="30">
        <f>SUM(HF57:HI57)</f>
        <v>0</v>
      </c>
      <c r="HK57" s="513"/>
      <c r="HL57" s="513"/>
      <c r="HM57" s="513"/>
      <c r="HN57" s="513"/>
      <c r="HO57" s="513"/>
    </row>
    <row r="58" spans="1:224">
      <c r="C58" s="8" t="s">
        <v>25</v>
      </c>
      <c r="D58" s="17"/>
      <c r="E58" s="17"/>
      <c r="F58" s="17"/>
      <c r="G58" s="17"/>
      <c r="H58" s="17"/>
      <c r="J58" s="17"/>
      <c r="K58" s="17"/>
      <c r="L58" s="17"/>
      <c r="M58" s="17"/>
      <c r="N58" s="17"/>
      <c r="P58" s="17"/>
      <c r="Q58" s="17"/>
      <c r="R58" s="17"/>
      <c r="S58" s="17"/>
      <c r="T58" s="17"/>
      <c r="V58" s="17"/>
      <c r="W58" s="17"/>
      <c r="X58" s="17"/>
      <c r="Y58" s="17"/>
      <c r="Z58" s="17"/>
      <c r="AB58" s="17"/>
      <c r="AC58" s="17"/>
      <c r="AD58" s="17"/>
      <c r="AE58" s="17"/>
      <c r="AF58" s="17"/>
      <c r="AH58" s="17"/>
      <c r="AI58" s="17"/>
      <c r="AJ58" s="17"/>
      <c r="AK58" s="17"/>
      <c r="AL58" s="17"/>
      <c r="AN58" s="17"/>
      <c r="AO58" s="17"/>
      <c r="AP58" s="17"/>
      <c r="AQ58" s="17"/>
      <c r="AR58" s="17"/>
      <c r="AT58" s="17"/>
      <c r="AU58" s="17"/>
      <c r="AV58" s="17"/>
      <c r="AW58" s="17"/>
      <c r="AX58" s="17"/>
      <c r="AZ58" s="17"/>
      <c r="BA58" s="17"/>
      <c r="BB58" s="17"/>
      <c r="BC58" s="17"/>
      <c r="BD58" s="17"/>
      <c r="BF58" s="17"/>
      <c r="BG58" s="17"/>
      <c r="BH58" s="17"/>
      <c r="BI58" s="17"/>
      <c r="BJ58" s="17"/>
      <c r="BL58" s="17"/>
      <c r="BM58" s="17"/>
      <c r="BN58" s="17"/>
      <c r="BO58" s="17"/>
      <c r="BP58" s="17"/>
      <c r="BR58" s="17"/>
      <c r="BS58" s="17"/>
      <c r="BT58" s="17"/>
      <c r="BU58" s="17"/>
      <c r="BV58" s="17"/>
      <c r="BX58" s="17"/>
      <c r="BY58" s="129"/>
      <c r="BZ58" s="17"/>
      <c r="CA58" s="17"/>
      <c r="CB58" s="17"/>
      <c r="CD58" s="17"/>
      <c r="CE58" s="17"/>
      <c r="CF58" s="17"/>
      <c r="CG58" s="17"/>
      <c r="CH58" s="17"/>
      <c r="CJ58" s="17"/>
      <c r="CK58" s="17"/>
      <c r="CL58" s="17"/>
      <c r="CM58" s="17"/>
      <c r="CN58" s="17"/>
      <c r="CP58" s="17"/>
      <c r="CQ58" s="17"/>
      <c r="CR58" s="17"/>
      <c r="CS58" s="17"/>
      <c r="CT58" s="17"/>
      <c r="CV58" s="109"/>
      <c r="CW58" s="109"/>
      <c r="CX58" s="109"/>
      <c r="CY58" s="109"/>
      <c r="CZ58" s="17"/>
      <c r="DB58" s="109"/>
      <c r="DC58" s="109"/>
      <c r="DD58" s="109"/>
      <c r="DE58" s="109"/>
      <c r="DF58" s="17"/>
      <c r="DH58" s="17">
        <f t="shared" si="59"/>
        <v>0</v>
      </c>
      <c r="DI58" s="17">
        <f t="shared" si="59"/>
        <v>0</v>
      </c>
      <c r="DJ58" s="17">
        <f t="shared" si="59"/>
        <v>0</v>
      </c>
      <c r="DK58" s="17">
        <f t="shared" si="59"/>
        <v>0</v>
      </c>
      <c r="DL58" s="17">
        <f t="shared" si="36"/>
        <v>0</v>
      </c>
      <c r="DM58" s="354"/>
      <c r="DN58" s="17">
        <f t="shared" si="60"/>
        <v>0</v>
      </c>
      <c r="DO58" s="17">
        <f t="shared" si="60"/>
        <v>0</v>
      </c>
      <c r="DP58" s="17">
        <f t="shared" si="60"/>
        <v>0</v>
      </c>
      <c r="DQ58" s="17">
        <f t="shared" si="60"/>
        <v>0</v>
      </c>
      <c r="DR58" s="17">
        <f>SUM(DN58:DQ58)</f>
        <v>0</v>
      </c>
      <c r="DS58" s="354"/>
      <c r="DT58" s="17">
        <f t="shared" si="61"/>
        <v>0</v>
      </c>
      <c r="DU58" s="17">
        <f t="shared" si="61"/>
        <v>0</v>
      </c>
      <c r="DV58" s="17">
        <f t="shared" si="61"/>
        <v>0</v>
      </c>
      <c r="DW58" s="17">
        <f t="shared" si="61"/>
        <v>0</v>
      </c>
      <c r="DX58" s="17">
        <f>SUM(DT58:DW58)</f>
        <v>0</v>
      </c>
      <c r="DY58" s="354"/>
      <c r="DZ58" s="17">
        <f t="shared" si="62"/>
        <v>0</v>
      </c>
      <c r="EA58" s="17">
        <f t="shared" si="62"/>
        <v>0</v>
      </c>
      <c r="EB58" s="17">
        <f t="shared" si="62"/>
        <v>0</v>
      </c>
      <c r="EC58" s="17">
        <f t="shared" si="62"/>
        <v>0</v>
      </c>
      <c r="ED58" s="17">
        <f>SUM(DZ58:EC58)</f>
        <v>0</v>
      </c>
      <c r="EE58" s="354"/>
      <c r="EF58" s="17">
        <f t="shared" si="63"/>
        <v>0</v>
      </c>
      <c r="EG58" s="17">
        <f t="shared" si="63"/>
        <v>0</v>
      </c>
      <c r="EH58" s="17">
        <f t="shared" si="63"/>
        <v>0</v>
      </c>
      <c r="EI58" s="17">
        <f t="shared" si="63"/>
        <v>-0.86</v>
      </c>
      <c r="EJ58" s="17">
        <f t="shared" si="34"/>
        <v>-0.86</v>
      </c>
      <c r="EK58" s="354"/>
      <c r="EL58" s="17">
        <f t="shared" si="64"/>
        <v>-1.4670000000000001</v>
      </c>
      <c r="EM58" s="17">
        <f t="shared" si="64"/>
        <v>-2.524</v>
      </c>
      <c r="EN58" s="17">
        <f t="shared" si="64"/>
        <v>-2.84</v>
      </c>
      <c r="EO58" s="17">
        <f t="shared" si="64"/>
        <v>-4.8449999999999998</v>
      </c>
      <c r="EP58" s="17">
        <f>SUM(EL58:EO58)</f>
        <v>-11.675999999999998</v>
      </c>
      <c r="EQ58" s="354"/>
      <c r="ER58" s="17">
        <f t="shared" si="65"/>
        <v>-4.8339999999999996</v>
      </c>
      <c r="ES58" s="17">
        <f t="shared" si="65"/>
        <v>-4.5919999999999996</v>
      </c>
      <c r="ET58" s="17">
        <f t="shared" si="65"/>
        <v>-4.673</v>
      </c>
      <c r="EU58" s="17">
        <f t="shared" si="65"/>
        <v>-4.3280000000000003</v>
      </c>
      <c r="EV58" s="30">
        <f>SUM(ER58:EU58)</f>
        <v>-18.427</v>
      </c>
      <c r="EW58" s="354"/>
      <c r="EX58" s="17">
        <f t="shared" si="66"/>
        <v>-3.7210000000000001</v>
      </c>
      <c r="EY58" s="17">
        <f t="shared" si="66"/>
        <v>-2.2629999999999999</v>
      </c>
      <c r="EZ58" s="17">
        <f t="shared" si="66"/>
        <v>-1.5629999999999999</v>
      </c>
      <c r="FA58" s="17">
        <f t="shared" ref="FA58" si="68">FA18</f>
        <v>-1.5229999999999999</v>
      </c>
      <c r="FB58" s="30">
        <f t="shared" si="35"/>
        <v>-9.07</v>
      </c>
      <c r="FC58" s="354"/>
      <c r="FD58" s="565">
        <f>-'Other Accts'!FD10</f>
        <v>-1.2786041480399837</v>
      </c>
      <c r="FE58" s="17">
        <f>-'Other Accts'!FE10</f>
        <v>-1.2868018930190515</v>
      </c>
      <c r="FF58" s="17">
        <f>-'Other Accts'!FF10</f>
        <v>-1.2851216648450099</v>
      </c>
      <c r="FG58" s="17">
        <f>-'Other Accts'!FG10</f>
        <v>-1.3241442563429537</v>
      </c>
      <c r="FH58" s="30">
        <f>SUM(FD58:FG58)</f>
        <v>-5.1746719622469985</v>
      </c>
      <c r="FI58" s="354"/>
      <c r="FJ58" s="17">
        <f>-'Other Accts'!FJ10</f>
        <v>-1.3866853093883789</v>
      </c>
      <c r="FK58" s="17">
        <f>-'Other Accts'!FK10</f>
        <v>-1.493089659389125</v>
      </c>
      <c r="FL58" s="17">
        <f>-'Other Accts'!FL10</f>
        <v>-1.5399454645197399</v>
      </c>
      <c r="FM58" s="17">
        <f>-'Other Accts'!FM10</f>
        <v>-1.5920869002921214</v>
      </c>
      <c r="FN58" s="30">
        <f>SUM(FJ58:FM58)</f>
        <v>-6.0118073335893651</v>
      </c>
      <c r="FO58" s="354"/>
      <c r="FP58" s="17">
        <f>-'Other Accts'!FP10</f>
        <v>-4.2233974652370811</v>
      </c>
      <c r="FQ58" s="17">
        <f>-'Other Accts'!FQ10</f>
        <v>-4.3567345407572953</v>
      </c>
      <c r="FR58" s="17">
        <f>-'Other Accts'!FR10</f>
        <v>-4.4287728758736939</v>
      </c>
      <c r="FS58" s="17">
        <f>-'Other Accts'!FS10</f>
        <v>-4.5089543418080948</v>
      </c>
      <c r="FT58" s="30">
        <f>SUM(FP58:FS58)</f>
        <v>-17.517859223676165</v>
      </c>
      <c r="FU58" s="354"/>
      <c r="FV58" s="17">
        <f>-'Other Accts'!FV10</f>
        <v>-2.0083776446393959</v>
      </c>
      <c r="FW58" s="17">
        <f>-'Other Accts'!FW10</f>
        <v>-2.1571163138743668</v>
      </c>
      <c r="FX58" s="17">
        <f>-'Other Accts'!FX10</f>
        <v>-2.2315872149458751</v>
      </c>
      <c r="FY58" s="17">
        <f>-'Other Accts'!FY10</f>
        <v>-2.315653089946005</v>
      </c>
      <c r="FZ58" s="30">
        <f>SUM(FV58:FY58)</f>
        <v>-8.7127342634056433</v>
      </c>
      <c r="GA58" s="354"/>
      <c r="GB58" s="17">
        <f>-'Other Accts'!GB10</f>
        <v>-2.4097031398524531</v>
      </c>
      <c r="GC58" s="17">
        <f>-'Other Accts'!GC10</f>
        <v>-2.6119397097940018</v>
      </c>
      <c r="GD58" s="17">
        <f>-'Other Accts'!GD10</f>
        <v>-2.7336810437591859</v>
      </c>
      <c r="GE58" s="17">
        <f>-'Other Accts'!GE10</f>
        <v>-2.867678163577569</v>
      </c>
      <c r="GF58" s="30">
        <f>SUM(GB58:GE58)</f>
        <v>-10.623002056983209</v>
      </c>
      <c r="GG58" s="354"/>
      <c r="GH58" s="17">
        <f>-'Other Accts'!GH10</f>
        <v>-3.0135752667597759</v>
      </c>
      <c r="GI58" s="17">
        <f>-'Other Accts'!GI10</f>
        <v>-3.2717462601728022</v>
      </c>
      <c r="GJ58" s="17">
        <f>-'Other Accts'!GJ10</f>
        <v>-3.444488797949893</v>
      </c>
      <c r="GK58" s="17">
        <f>-'Other Accts'!GK10</f>
        <v>-3.632766195686322</v>
      </c>
      <c r="GL58" s="30">
        <f>SUM(GH58:GK58)</f>
        <v>-13.362576520568794</v>
      </c>
      <c r="GM58" s="354"/>
      <c r="GN58" s="17">
        <f>-'Other Accts'!GN10</f>
        <v>-1.2607577332719195</v>
      </c>
      <c r="GO58" s="17">
        <f>-'Other Accts'!GO10</f>
        <v>-1.5961102623096097</v>
      </c>
      <c r="GP58" s="17">
        <f>-'Other Accts'!GP10</f>
        <v>-1.8416368751401422</v>
      </c>
      <c r="GQ58" s="17">
        <f>-'Other Accts'!GQ10</f>
        <v>-2.1059719854087136</v>
      </c>
      <c r="GR58" s="30">
        <f>SUM(GN58:GQ58)</f>
        <v>-6.8044768561303854</v>
      </c>
      <c r="GS58" s="354"/>
      <c r="GT58" s="17">
        <f>-'Other Accts'!GT10</f>
        <v>-2.386868740861086</v>
      </c>
      <c r="GU58" s="17">
        <f>-'Other Accts'!GU10</f>
        <v>-2.7864576968089532</v>
      </c>
      <c r="GV58" s="17">
        <f>-'Other Accts'!GV10</f>
        <v>-3.0922108033749325</v>
      </c>
      <c r="GW58" s="17">
        <f>-'Other Accts'!GW10</f>
        <v>-3.4204110223645654</v>
      </c>
      <c r="GX58" s="30">
        <f>SUM(GT58:GW58)</f>
        <v>-11.685948263409536</v>
      </c>
      <c r="GY58" s="354"/>
      <c r="GZ58" s="17">
        <f>-'Other Accts'!GZ10</f>
        <v>-3.7677630474478043</v>
      </c>
      <c r="HA58" s="17">
        <f>-'Other Accts'!HA10</f>
        <v>-4.2404838692689282</v>
      </c>
      <c r="HB58" s="17">
        <f>-'Other Accts'!HB10</f>
        <v>-4.615806582571504</v>
      </c>
      <c r="HC58" s="17">
        <f>-'Other Accts'!HC10</f>
        <v>-5.0175340007612963</v>
      </c>
      <c r="HD58" s="30">
        <f>SUM(GZ58:HC58)</f>
        <v>-17.641587500049532</v>
      </c>
      <c r="HE58" s="354"/>
      <c r="HF58" s="17">
        <f>-'Other Accts'!HF10</f>
        <v>-5.4411746424875327</v>
      </c>
      <c r="HG58" s="17">
        <f>-'Other Accts'!HG10</f>
        <v>-5.9935891097034784</v>
      </c>
      <c r="HH58" s="17">
        <f>-'Other Accts'!HH10</f>
        <v>-6.4454717056361561</v>
      </c>
      <c r="HI58" s="17">
        <f>-'Other Accts'!HI10</f>
        <v>-6.9279381778142497</v>
      </c>
      <c r="HJ58" s="30">
        <f>SUM(HF58:HI58)</f>
        <v>-24.808173635641417</v>
      </c>
      <c r="HK58" s="513"/>
      <c r="HL58" s="513"/>
      <c r="HM58" s="513"/>
      <c r="HN58" s="513"/>
      <c r="HO58" s="513"/>
    </row>
    <row r="59" spans="1:224" s="19" customFormat="1">
      <c r="C59" s="8" t="s">
        <v>26</v>
      </c>
      <c r="D59" s="18"/>
      <c r="E59" s="18"/>
      <c r="F59" s="18"/>
      <c r="G59" s="18"/>
      <c r="H59" s="18"/>
      <c r="J59" s="18"/>
      <c r="K59" s="18"/>
      <c r="L59" s="18"/>
      <c r="M59" s="18"/>
      <c r="N59" s="18"/>
      <c r="P59" s="18"/>
      <c r="Q59" s="18"/>
      <c r="R59" s="18"/>
      <c r="S59" s="18"/>
      <c r="T59" s="18"/>
      <c r="V59" s="18"/>
      <c r="W59" s="18"/>
      <c r="X59" s="18"/>
      <c r="Y59" s="18"/>
      <c r="Z59" s="18"/>
      <c r="AB59" s="18"/>
      <c r="AC59" s="18"/>
      <c r="AD59" s="18"/>
      <c r="AE59" s="18"/>
      <c r="AF59" s="18"/>
      <c r="AH59" s="18"/>
      <c r="AI59" s="18"/>
      <c r="AJ59" s="18"/>
      <c r="AK59" s="18"/>
      <c r="AL59" s="18"/>
      <c r="AN59" s="18"/>
      <c r="AO59" s="18"/>
      <c r="AP59" s="18"/>
      <c r="AQ59" s="18"/>
      <c r="AR59" s="18"/>
      <c r="AT59" s="18"/>
      <c r="AU59" s="18"/>
      <c r="AV59" s="18"/>
      <c r="AW59" s="18"/>
      <c r="AX59" s="18"/>
      <c r="AZ59" s="18"/>
      <c r="BA59" s="18"/>
      <c r="BB59" s="18"/>
      <c r="BC59" s="18"/>
      <c r="BD59" s="18"/>
      <c r="BF59" s="18"/>
      <c r="BG59" s="18"/>
      <c r="BH59" s="18"/>
      <c r="BI59" s="18"/>
      <c r="BJ59" s="18"/>
      <c r="BL59" s="18"/>
      <c r="BM59" s="18"/>
      <c r="BN59" s="18"/>
      <c r="BO59" s="18"/>
      <c r="BP59" s="18"/>
      <c r="BR59" s="18"/>
      <c r="BS59" s="18"/>
      <c r="BT59" s="18"/>
      <c r="BU59" s="18"/>
      <c r="BV59" s="18"/>
      <c r="BX59" s="18"/>
      <c r="BY59" s="117"/>
      <c r="BZ59" s="117"/>
      <c r="CA59" s="117"/>
      <c r="CB59" s="18"/>
      <c r="CD59" s="18"/>
      <c r="CE59" s="18"/>
      <c r="CF59" s="18"/>
      <c r="CG59" s="18"/>
      <c r="CH59" s="18"/>
      <c r="CJ59" s="18"/>
      <c r="CK59" s="18"/>
      <c r="CL59" s="18"/>
      <c r="CM59" s="18"/>
      <c r="CN59" s="18"/>
      <c r="CP59" s="18"/>
      <c r="CQ59" s="18"/>
      <c r="CR59" s="18"/>
      <c r="CS59" s="18"/>
      <c r="CT59" s="18"/>
      <c r="CV59" s="114"/>
      <c r="CW59" s="114"/>
      <c r="CX59" s="114"/>
      <c r="CY59" s="114"/>
      <c r="CZ59" s="18"/>
      <c r="DB59" s="114"/>
      <c r="DC59" s="114"/>
      <c r="DD59" s="114"/>
      <c r="DE59" s="114"/>
      <c r="DF59" s="18"/>
      <c r="DH59" s="18">
        <f t="shared" si="59"/>
        <v>-6.3E-2</v>
      </c>
      <c r="DI59" s="18">
        <f t="shared" si="59"/>
        <v>0.124</v>
      </c>
      <c r="DJ59" s="18">
        <f t="shared" si="59"/>
        <v>-0.03</v>
      </c>
      <c r="DK59" s="18">
        <f t="shared" si="59"/>
        <v>-4.5999999999999999E-2</v>
      </c>
      <c r="DL59" s="18">
        <f t="shared" si="36"/>
        <v>-1.4999999999999999E-2</v>
      </c>
      <c r="DM59" s="432"/>
      <c r="DN59" s="18">
        <f t="shared" si="60"/>
        <v>5.1689999999999996</v>
      </c>
      <c r="DO59" s="18">
        <f t="shared" si="60"/>
        <v>1.008</v>
      </c>
      <c r="DP59" s="18">
        <f t="shared" si="60"/>
        <v>-3.5000000000000003E-2</v>
      </c>
      <c r="DQ59" s="18">
        <f t="shared" si="60"/>
        <v>-0.49399999999999999</v>
      </c>
      <c r="DR59" s="18">
        <f>SUM(DN59:DQ59)</f>
        <v>5.6479999999999997</v>
      </c>
      <c r="DS59" s="432"/>
      <c r="DT59" s="18">
        <f t="shared" si="61"/>
        <v>-0.223</v>
      </c>
      <c r="DU59" s="18">
        <f t="shared" si="61"/>
        <v>-2.499000000000001</v>
      </c>
      <c r="DV59" s="18">
        <f t="shared" si="61"/>
        <v>-1.0999999999999999E-2</v>
      </c>
      <c r="DW59" s="18">
        <f t="shared" si="61"/>
        <v>-4.2220000000000004</v>
      </c>
      <c r="DX59" s="18">
        <f>SUM(DT59:DW59)</f>
        <v>-6.9550000000000018</v>
      </c>
      <c r="DY59" s="432"/>
      <c r="DZ59" s="18">
        <f>DZ19-DZ39</f>
        <v>4.8540000000000001</v>
      </c>
      <c r="EA59" s="18">
        <f>EA19-EA39</f>
        <v>-0.17100000000000648</v>
      </c>
      <c r="EB59" s="18">
        <f>EB19-EB39</f>
        <v>-8.8999999999998636E-2</v>
      </c>
      <c r="EC59" s="18">
        <f>EC19-EC39</f>
        <v>0.93</v>
      </c>
      <c r="ED59" s="18">
        <f>SUM(DZ59:EC59)</f>
        <v>5.5239999999999947</v>
      </c>
      <c r="EE59" s="432"/>
      <c r="EF59" s="18">
        <f>EF19-EF39</f>
        <v>-0.16800000000000001</v>
      </c>
      <c r="EG59" s="18">
        <f>EG19-EG39</f>
        <v>0.40500000000000003</v>
      </c>
      <c r="EH59" s="18">
        <f>EH19-EH39</f>
        <v>-2.5000000000000001E-2</v>
      </c>
      <c r="EI59" s="18">
        <f>EI19-EI39</f>
        <v>1E-3</v>
      </c>
      <c r="EJ59" s="18">
        <f t="shared" si="34"/>
        <v>0.21300000000000002</v>
      </c>
      <c r="EK59" s="432"/>
      <c r="EL59" s="18">
        <f>EL19-EL39</f>
        <v>0.114</v>
      </c>
      <c r="EM59" s="18">
        <f>EM19-EM39</f>
        <v>-0.73</v>
      </c>
      <c r="EN59" s="18">
        <f>EN19-EN39</f>
        <v>9.6000000000000002E-2</v>
      </c>
      <c r="EO59" s="18">
        <f>EO19-EO39</f>
        <v>-0.124</v>
      </c>
      <c r="EP59" s="18">
        <f>SUM(EL59:EO59)</f>
        <v>-0.64400000000000002</v>
      </c>
      <c r="EQ59" s="432"/>
      <c r="ER59" s="18">
        <f>ER19-ER39</f>
        <v>0.26300000000000001</v>
      </c>
      <c r="ES59" s="18">
        <f>ES19-ES39</f>
        <v>2E-3</v>
      </c>
      <c r="ET59" s="18">
        <f>ET19-ET39</f>
        <v>-0.317</v>
      </c>
      <c r="EU59" s="18">
        <f>EU19-EU39</f>
        <v>0.43099999999999999</v>
      </c>
      <c r="EV59" s="36">
        <f>SUM(ER59:EU59)</f>
        <v>0.379</v>
      </c>
      <c r="EW59" s="432"/>
      <c r="EX59" s="671">
        <f>EX19-EX39</f>
        <v>-6.5000000000000002E-2</v>
      </c>
      <c r="EY59" s="671">
        <f>EY19-EY39</f>
        <v>-0.48199999999999998</v>
      </c>
      <c r="EZ59" s="36">
        <f>EZ19-EZ39</f>
        <v>0.33500000000000002</v>
      </c>
      <c r="FA59" s="36">
        <f>FA19-FA39</f>
        <v>-8.4000000000000005E-2</v>
      </c>
      <c r="FB59" s="36">
        <f t="shared" si="35"/>
        <v>-0.29599999999999993</v>
      </c>
      <c r="FC59" s="432"/>
      <c r="FD59" s="642">
        <v>0</v>
      </c>
      <c r="FE59" s="36">
        <v>0</v>
      </c>
      <c r="FF59" s="36">
        <v>0</v>
      </c>
      <c r="FG59" s="36">
        <v>0</v>
      </c>
      <c r="FH59" s="36">
        <f>SUM(FD59:FG59)</f>
        <v>0</v>
      </c>
      <c r="FI59" s="432"/>
      <c r="FJ59" s="36">
        <v>0</v>
      </c>
      <c r="FK59" s="36">
        <v>0</v>
      </c>
      <c r="FL59" s="36">
        <v>0</v>
      </c>
      <c r="FM59" s="36">
        <v>0</v>
      </c>
      <c r="FN59" s="36">
        <f>SUM(FJ59:FM59)</f>
        <v>0</v>
      </c>
      <c r="FO59" s="432"/>
      <c r="FP59" s="671">
        <v>0</v>
      </c>
      <c r="FQ59" s="671">
        <v>0</v>
      </c>
      <c r="FR59" s="671">
        <v>0</v>
      </c>
      <c r="FS59" s="671">
        <v>0</v>
      </c>
      <c r="FT59" s="36">
        <f>SUM(FP59:FS59)</f>
        <v>0</v>
      </c>
      <c r="FU59" s="432"/>
      <c r="FV59" s="671">
        <v>0</v>
      </c>
      <c r="FW59" s="671">
        <v>0</v>
      </c>
      <c r="FX59" s="671">
        <v>0</v>
      </c>
      <c r="FY59" s="671">
        <v>0</v>
      </c>
      <c r="FZ59" s="36">
        <f>SUM(FV59:FY59)</f>
        <v>0</v>
      </c>
      <c r="GA59" s="432"/>
      <c r="GB59" s="671">
        <v>0</v>
      </c>
      <c r="GC59" s="671">
        <v>0</v>
      </c>
      <c r="GD59" s="671">
        <v>0</v>
      </c>
      <c r="GE59" s="671">
        <v>0</v>
      </c>
      <c r="GF59" s="36">
        <f>SUM(GB59:GE59)</f>
        <v>0</v>
      </c>
      <c r="GG59" s="432"/>
      <c r="GH59" s="671">
        <v>0</v>
      </c>
      <c r="GI59" s="671">
        <v>0</v>
      </c>
      <c r="GJ59" s="671">
        <v>0</v>
      </c>
      <c r="GK59" s="671">
        <v>0</v>
      </c>
      <c r="GL59" s="36">
        <f>SUM(GH59:GK59)</f>
        <v>0</v>
      </c>
      <c r="GM59" s="432"/>
      <c r="GN59" s="671">
        <v>0</v>
      </c>
      <c r="GO59" s="671">
        <v>0</v>
      </c>
      <c r="GP59" s="671">
        <v>0</v>
      </c>
      <c r="GQ59" s="671">
        <v>0</v>
      </c>
      <c r="GR59" s="36">
        <f>SUM(GN59:GQ59)</f>
        <v>0</v>
      </c>
      <c r="GS59" s="432"/>
      <c r="GT59" s="671">
        <v>0</v>
      </c>
      <c r="GU59" s="671">
        <v>0</v>
      </c>
      <c r="GV59" s="671">
        <v>0</v>
      </c>
      <c r="GW59" s="671">
        <v>0</v>
      </c>
      <c r="GX59" s="36">
        <f>SUM(GT59:GW59)</f>
        <v>0</v>
      </c>
      <c r="GY59" s="432"/>
      <c r="GZ59" s="671">
        <v>0</v>
      </c>
      <c r="HA59" s="671">
        <v>0</v>
      </c>
      <c r="HB59" s="671">
        <v>0</v>
      </c>
      <c r="HC59" s="671">
        <v>0</v>
      </c>
      <c r="HD59" s="36">
        <f>SUM(GZ59:HC59)</f>
        <v>0</v>
      </c>
      <c r="HE59" s="432"/>
      <c r="HF59" s="671">
        <v>0</v>
      </c>
      <c r="HG59" s="671">
        <v>0</v>
      </c>
      <c r="HH59" s="671">
        <v>0</v>
      </c>
      <c r="HI59" s="671">
        <v>0</v>
      </c>
      <c r="HJ59" s="36">
        <f>SUM(HF59:HI59)</f>
        <v>0</v>
      </c>
      <c r="HK59" s="521"/>
      <c r="HL59" s="521"/>
      <c r="HM59" s="521"/>
      <c r="HN59" s="521"/>
      <c r="HO59" s="521"/>
    </row>
    <row r="60" spans="1:224">
      <c r="B60" s="8" t="s">
        <v>27</v>
      </c>
      <c r="D60" s="17"/>
      <c r="E60" s="17"/>
      <c r="F60" s="17"/>
      <c r="G60" s="17"/>
      <c r="H60" s="17"/>
      <c r="J60" s="17"/>
      <c r="K60" s="17"/>
      <c r="L60" s="17"/>
      <c r="M60" s="17"/>
      <c r="N60" s="17"/>
      <c r="P60" s="17"/>
      <c r="Q60" s="17"/>
      <c r="R60" s="17"/>
      <c r="S60" s="17"/>
      <c r="T60" s="17"/>
      <c r="V60" s="17"/>
      <c r="W60" s="17"/>
      <c r="X60" s="17"/>
      <c r="Y60" s="17"/>
      <c r="Z60" s="17"/>
      <c r="AB60" s="17"/>
      <c r="AC60" s="17"/>
      <c r="AD60" s="17"/>
      <c r="AE60" s="17"/>
      <c r="AF60" s="17"/>
      <c r="AH60" s="17"/>
      <c r="AI60" s="17"/>
      <c r="AJ60" s="17"/>
      <c r="AK60" s="17"/>
      <c r="AL60" s="17"/>
      <c r="AN60" s="17"/>
      <c r="AO60" s="17"/>
      <c r="AP60" s="17"/>
      <c r="AQ60" s="17"/>
      <c r="AR60" s="17"/>
      <c r="AT60" s="17"/>
      <c r="AU60" s="17"/>
      <c r="AV60" s="17"/>
      <c r="AW60" s="17"/>
      <c r="AX60" s="17"/>
      <c r="AZ60" s="17"/>
      <c r="BA60" s="17"/>
      <c r="BB60" s="17"/>
      <c r="BC60" s="17"/>
      <c r="BD60" s="17"/>
      <c r="BF60" s="17"/>
      <c r="BG60" s="17"/>
      <c r="BH60" s="17"/>
      <c r="BI60" s="17"/>
      <c r="BJ60" s="17"/>
      <c r="BL60" s="17"/>
      <c r="BM60" s="17"/>
      <c r="BN60" s="17"/>
      <c r="BO60" s="17"/>
      <c r="BP60" s="17"/>
      <c r="BR60" s="17"/>
      <c r="BS60" s="17"/>
      <c r="BT60" s="17"/>
      <c r="BU60" s="17"/>
      <c r="BV60" s="17"/>
      <c r="BX60" s="17"/>
      <c r="BY60" s="129"/>
      <c r="BZ60" s="17"/>
      <c r="CA60" s="17"/>
      <c r="CB60" s="17"/>
      <c r="CD60" s="17"/>
      <c r="CE60" s="17"/>
      <c r="CF60" s="17"/>
      <c r="CG60" s="17"/>
      <c r="CH60" s="17"/>
      <c r="CJ60" s="17"/>
      <c r="CK60" s="17"/>
      <c r="CL60" s="17"/>
      <c r="CM60" s="17"/>
      <c r="CN60" s="17"/>
      <c r="CP60" s="17"/>
      <c r="CQ60" s="17"/>
      <c r="CR60" s="17"/>
      <c r="CS60" s="17"/>
      <c r="CT60" s="17"/>
      <c r="CV60" s="17"/>
      <c r="CW60" s="17"/>
      <c r="CX60" s="17"/>
      <c r="CY60" s="109"/>
      <c r="CZ60" s="109"/>
      <c r="DA60" s="109"/>
      <c r="DB60" s="109"/>
      <c r="DC60" s="109"/>
      <c r="DD60" s="109"/>
      <c r="DE60" s="109"/>
      <c r="DF60" s="109"/>
      <c r="DH60" s="17">
        <f>DH56-SUM(DH57:DH59)</f>
        <v>4.1190000000000051</v>
      </c>
      <c r="DI60" s="17">
        <f>DI56-SUM(DI57:DI59)</f>
        <v>4.8389999999999933</v>
      </c>
      <c r="DJ60" s="17">
        <f>DJ56-SUM(DJ57:DJ59)</f>
        <v>5.3590000000000018</v>
      </c>
      <c r="DK60" s="17">
        <f>DK56-SUM(DK57:DK59)</f>
        <v>7.2079999999999975</v>
      </c>
      <c r="DL60" s="17">
        <f>DL56-SUM(DL57:DL59)</f>
        <v>21.525000000000009</v>
      </c>
      <c r="DM60" s="354"/>
      <c r="DN60" s="17">
        <f>DN56-SUM(DN57:DN59)</f>
        <v>6.6619999999999902</v>
      </c>
      <c r="DO60" s="17">
        <f>DO56-SUM(DO57:DO59)</f>
        <v>8.5519999999999889</v>
      </c>
      <c r="DP60" s="17">
        <f>DP56-SUM(DP57:DP59)</f>
        <v>9.8439999999999941</v>
      </c>
      <c r="DQ60" s="17">
        <f>DQ56-SUM(DQ57:DQ59)</f>
        <v>8.0689999999999991</v>
      </c>
      <c r="DR60" s="17">
        <f>DR56-SUM(DR57:DR59)</f>
        <v>33.126999999999974</v>
      </c>
      <c r="DS60" s="354"/>
      <c r="DT60" s="17">
        <f>DT56-SUM(DT57:DT59)</f>
        <v>1.4999999999997127E-2</v>
      </c>
      <c r="DU60" s="17">
        <f>DU56-SUM(DU57:DU59)</f>
        <v>-14.708999999999989</v>
      </c>
      <c r="DV60" s="17">
        <f>DV56-SUM(DV57:DV59)</f>
        <v>7.7459999999999978</v>
      </c>
      <c r="DW60" s="17">
        <f>DW56-SUM(DW57:DW59)</f>
        <v>8.866999999999992</v>
      </c>
      <c r="DX60" s="17">
        <f>DX56-SUM(DX57:DX59)</f>
        <v>1.9190000000000627</v>
      </c>
      <c r="DY60" s="354"/>
      <c r="DZ60" s="17">
        <f>DZ56-SUM(DZ57:DZ59)</f>
        <v>-3.670999999999994</v>
      </c>
      <c r="EA60" s="17">
        <f>EA56-SUM(EA57:EA59)</f>
        <v>-3.3009999999999797</v>
      </c>
      <c r="EB60" s="17">
        <f>EB56-SUM(EB57:EB59)</f>
        <v>-12.586999999999996</v>
      </c>
      <c r="EC60" s="17">
        <f>EC56-SUM(EC57:EC59)</f>
        <v>-19.87700000000001</v>
      </c>
      <c r="ED60" s="17">
        <f>ED56-SUM(ED57:ED59)</f>
        <v>-39.436000000000035</v>
      </c>
      <c r="EE60" s="354"/>
      <c r="EF60" s="17">
        <f>EF56-SUM(EF57:EF59)</f>
        <v>-28.707000000000011</v>
      </c>
      <c r="EG60" s="17">
        <f>EG56-SUM(EG57:EG59)</f>
        <v>-25.726000000000024</v>
      </c>
      <c r="EH60" s="17">
        <f>EH56-SUM(EH57:EH59)</f>
        <v>-20.668999999999993</v>
      </c>
      <c r="EI60" s="17">
        <f>EI56-SUM(EI57:EI59)</f>
        <v>-9.784999999999977</v>
      </c>
      <c r="EJ60" s="17">
        <f>EJ56-SUM(EJ57:EJ59)</f>
        <v>-84.887</v>
      </c>
      <c r="EK60" s="354"/>
      <c r="EL60" s="17">
        <f>EL56-SUM(EL57:EL59)</f>
        <v>-14.705999999999998</v>
      </c>
      <c r="EM60" s="17">
        <f>EM56-SUM(EM57:EM59)</f>
        <v>-9.0020000000000007</v>
      </c>
      <c r="EN60" s="17">
        <f>EN56-SUM(EN57:EN59)</f>
        <v>-3.2039999999999935</v>
      </c>
      <c r="EO60" s="17">
        <f>EO56-SUM(EO57:EO59)</f>
        <v>2.9340000000000006</v>
      </c>
      <c r="EP60" s="17">
        <f>EP56-SUM(EP57:EP59)</f>
        <v>-23.97800000000008</v>
      </c>
      <c r="EQ60" s="354"/>
      <c r="ER60" s="17">
        <f>ER56-SUM(ER57:ER59)</f>
        <v>-3.2639999999999918</v>
      </c>
      <c r="ES60" s="17">
        <f>ES56-SUM(ES57:ES59)</f>
        <v>4.0490000000000137</v>
      </c>
      <c r="ET60" s="17">
        <f>ET56-SUM(ET57:ET59)</f>
        <v>6.7820000000000267</v>
      </c>
      <c r="EU60" s="17">
        <f>EU56-SUM(EU57:EU59)</f>
        <v>4.7500000000000036</v>
      </c>
      <c r="EV60" s="17">
        <f>EV56-SUM(EV57:EV59)</f>
        <v>12.31700000000008</v>
      </c>
      <c r="EW60" s="354"/>
      <c r="EX60" s="17">
        <f>EX56-SUM(EX57:EX59)</f>
        <v>-0.19299999999999029</v>
      </c>
      <c r="EY60" s="17">
        <f>EY56-SUM(EY57:EY59)</f>
        <v>2.8650000000000255</v>
      </c>
      <c r="EZ60" s="17">
        <f>EZ56-SUM(EZ57:EZ59)</f>
        <v>4.3889999999999958</v>
      </c>
      <c r="FA60" s="17">
        <f>FA56-SUM(FA57:FA59)</f>
        <v>5.540999999999987</v>
      </c>
      <c r="FB60" s="17">
        <f>FB56-SUM(FB57:FB59)</f>
        <v>12.601999999999975</v>
      </c>
      <c r="FC60" s="354"/>
      <c r="FD60" s="565">
        <f>FD56-SUM(FD57:FD59)</f>
        <v>-8.4858344775494254E-2</v>
      </c>
      <c r="FE60" s="17">
        <f>FE56-SUM(FE57:FE59)</f>
        <v>2.731014078219232</v>
      </c>
      <c r="FF60" s="17">
        <f>FF56-SUM(FF57:FF59)</f>
        <v>7.5421427123295608</v>
      </c>
      <c r="FG60" s="17">
        <f>FG56-SUM(FG57:FG59)</f>
        <v>9.746747382248401</v>
      </c>
      <c r="FH60" s="17">
        <f>FH56-SUM(FH57:FH59)</f>
        <v>19.935045828021657</v>
      </c>
      <c r="FI60" s="354"/>
      <c r="FJ60" s="17">
        <f>FJ56-SUM(FJ57:FJ59)</f>
        <v>9.2965497542727018</v>
      </c>
      <c r="FK60" s="17">
        <f>FK56-SUM(FK57:FK59)</f>
        <v>9.9089142612323116</v>
      </c>
      <c r="FL60" s="17">
        <f>FL56-SUM(FL57:FL59)</f>
        <v>10.374509219026589</v>
      </c>
      <c r="FM60" s="17">
        <f>FM56-SUM(FM57:FM59)</f>
        <v>8.5134497374186182</v>
      </c>
      <c r="FN60" s="17">
        <f>FN56-SUM(FN57:FN59)</f>
        <v>38.093422971950289</v>
      </c>
      <c r="FO60" s="354"/>
      <c r="FP60" s="17">
        <f>FP56-SUM(FP57:FP59)</f>
        <v>13.063745230595927</v>
      </c>
      <c r="FQ60" s="17">
        <f>FQ56-SUM(FQ57:FQ59)</f>
        <v>14.032818066145236</v>
      </c>
      <c r="FR60" s="17">
        <f>FR56-SUM(FR57:FR59)</f>
        <v>14.79405852449559</v>
      </c>
      <c r="FS60" s="17">
        <f>FS56-SUM(FS57:FS59)</f>
        <v>15.275042385848613</v>
      </c>
      <c r="FT60" s="17">
        <f>FT56-SUM(FT57:FT59)</f>
        <v>57.165664207085349</v>
      </c>
      <c r="FU60" s="354"/>
      <c r="FV60" s="17">
        <f>FV56-SUM(FV57:FV59)</f>
        <v>17.440026484949971</v>
      </c>
      <c r="FW60" s="17">
        <f>FW56-SUM(FW57:FW59)</f>
        <v>19.05218390394414</v>
      </c>
      <c r="FX60" s="17">
        <f>FX56-SUM(FX57:FX59)</f>
        <v>20.155666776050822</v>
      </c>
      <c r="FY60" s="17">
        <f>FY56-SUM(FY57:FY59)</f>
        <v>20.838149935330442</v>
      </c>
      <c r="FZ60" s="17">
        <f>FZ56-SUM(FZ57:FZ59)</f>
        <v>77.486027100275393</v>
      </c>
      <c r="GA60" s="354"/>
      <c r="GB60" s="17">
        <f>GB56-SUM(GB57:GB59)</f>
        <v>25.102677348170474</v>
      </c>
      <c r="GC60" s="17">
        <f>GC56-SUM(GC57:GC59)</f>
        <v>26.993172622645375</v>
      </c>
      <c r="GD60" s="17">
        <f>GD56-SUM(GD57:GD59)</f>
        <v>28.507162008425606</v>
      </c>
      <c r="GE60" s="17">
        <f>GE56-SUM(GE57:GE59)</f>
        <v>29.450814721825086</v>
      </c>
      <c r="GF60" s="17">
        <f>GF56-SUM(GF57:GF59)</f>
        <v>110.05382670106658</v>
      </c>
      <c r="GG60" s="354"/>
      <c r="GH60" s="17">
        <f>GH56-SUM(GH57:GH59)</f>
        <v>33.611245167841759</v>
      </c>
      <c r="GI60" s="17">
        <f>GI56-SUM(GI57:GI59)</f>
        <v>36.051840278587548</v>
      </c>
      <c r="GJ60" s="17">
        <f>GJ56-SUM(GJ57:GJ59)</f>
        <v>38.024351843132642</v>
      </c>
      <c r="GK60" s="17">
        <f>GK56-SUM(GK57:GK59)</f>
        <v>41.415526824808616</v>
      </c>
      <c r="GL60" s="17">
        <f>GL56-SUM(GL57:GL59)</f>
        <v>149.10296411437059</v>
      </c>
      <c r="GM60" s="354"/>
      <c r="GN60" s="17">
        <f>GN56-SUM(GN57:GN59)</f>
        <v>44.97541446576318</v>
      </c>
      <c r="GO60" s="17">
        <f>GO56-SUM(GO57:GO59)</f>
        <v>48.043607350612334</v>
      </c>
      <c r="GP60" s="17">
        <f>GP56-SUM(GP57:GP59)</f>
        <v>50.542812058561353</v>
      </c>
      <c r="GQ60" s="17">
        <f>GQ56-SUM(GQ57:GQ59)</f>
        <v>52.117763530235564</v>
      </c>
      <c r="GR60" s="17">
        <f>GR56-SUM(GR57:GR59)</f>
        <v>195.67959740517236</v>
      </c>
      <c r="GS60" s="354"/>
      <c r="GT60" s="17">
        <f>GT56-SUM(GT57:GT59)</f>
        <v>54.96917964879195</v>
      </c>
      <c r="GU60" s="17">
        <f>GU56-SUM(GU57:GU59)</f>
        <v>58.65597413240468</v>
      </c>
      <c r="GV60" s="17">
        <f>GV56-SUM(GV57:GV59)</f>
        <v>61.672570950019058</v>
      </c>
      <c r="GW60" s="17">
        <f>GW56-SUM(GW57:GW59)</f>
        <v>63.577250138480544</v>
      </c>
      <c r="GX60" s="17">
        <f>GX56-SUM(GX57:GX59)</f>
        <v>238.87497486969633</v>
      </c>
      <c r="GY60" s="354"/>
      <c r="GZ60" s="17">
        <f>GZ56-SUM(GZ57:GZ59)</f>
        <v>66.315577216128361</v>
      </c>
      <c r="HA60" s="17">
        <f>HA56-SUM(HA57:HA59)</f>
        <v>70.698501239909376</v>
      </c>
      <c r="HB60" s="17">
        <f>HB56-SUM(HB57:HB59)</f>
        <v>74.298432110428166</v>
      </c>
      <c r="HC60" s="17">
        <f>HC56-SUM(HC57:HC59)</f>
        <v>76.575415901355356</v>
      </c>
      <c r="HD60" s="17">
        <f>HD56-SUM(HD57:HD59)</f>
        <v>287.88792646782116</v>
      </c>
      <c r="HE60" s="354"/>
      <c r="HF60" s="17">
        <f>HF56-SUM(HF57:HF59)</f>
        <v>78.695160548876117</v>
      </c>
      <c r="HG60" s="17">
        <f>HG56-SUM(HG57:HG59)</f>
        <v>83.827079097162184</v>
      </c>
      <c r="HH60" s="17">
        <f>HH56-SUM(HH57:HH59)</f>
        <v>88.055518934013122</v>
      </c>
      <c r="HI60" s="17">
        <f>HI56-SUM(HI57:HI59)</f>
        <v>90.734225286435603</v>
      </c>
      <c r="HJ60" s="17">
        <f>HJ56-SUM(HJ57:HJ59)</f>
        <v>341.31198386648691</v>
      </c>
      <c r="HK60" s="513"/>
      <c r="HL60" s="513"/>
      <c r="HM60" s="513"/>
      <c r="HN60" s="513"/>
      <c r="HO60" s="513"/>
    </row>
    <row r="61" spans="1:224" s="19" customFormat="1">
      <c r="C61" s="8" t="s">
        <v>28</v>
      </c>
      <c r="D61" s="18"/>
      <c r="E61" s="18"/>
      <c r="F61" s="18"/>
      <c r="G61" s="18"/>
      <c r="H61" s="18"/>
      <c r="J61" s="18"/>
      <c r="K61" s="18"/>
      <c r="L61" s="18"/>
      <c r="M61" s="18"/>
      <c r="N61" s="18"/>
      <c r="P61" s="18"/>
      <c r="Q61" s="18"/>
      <c r="R61" s="18"/>
      <c r="S61" s="18"/>
      <c r="T61" s="18"/>
      <c r="V61" s="18"/>
      <c r="W61" s="18"/>
      <c r="X61" s="18"/>
      <c r="Y61" s="18"/>
      <c r="Z61" s="18"/>
      <c r="AB61" s="18"/>
      <c r="AC61" s="18"/>
      <c r="AD61" s="18"/>
      <c r="AE61" s="18"/>
      <c r="AF61" s="18"/>
      <c r="AH61" s="18"/>
      <c r="AI61" s="18"/>
      <c r="AJ61" s="18"/>
      <c r="AK61" s="18"/>
      <c r="AL61" s="18"/>
      <c r="AN61" s="18"/>
      <c r="AO61" s="18"/>
      <c r="AP61" s="18"/>
      <c r="AQ61" s="18"/>
      <c r="AR61" s="18"/>
      <c r="AT61" s="18"/>
      <c r="AU61" s="18"/>
      <c r="AV61" s="18"/>
      <c r="AW61" s="18"/>
      <c r="AX61" s="18"/>
      <c r="AZ61" s="18"/>
      <c r="BA61" s="18"/>
      <c r="BB61" s="18"/>
      <c r="BC61" s="18"/>
      <c r="BD61" s="18"/>
      <c r="BF61" s="18"/>
      <c r="BG61" s="18"/>
      <c r="BH61" s="18"/>
      <c r="BI61" s="18"/>
      <c r="BJ61" s="18"/>
      <c r="BL61" s="18"/>
      <c r="BM61" s="18"/>
      <c r="BN61" s="18"/>
      <c r="BO61" s="18"/>
      <c r="BP61" s="18"/>
      <c r="BR61" s="18"/>
      <c r="BS61" s="18"/>
      <c r="BT61" s="18"/>
      <c r="BU61" s="18"/>
      <c r="BV61" s="18"/>
      <c r="BX61" s="18"/>
      <c r="BY61" s="117"/>
      <c r="BZ61" s="117"/>
      <c r="CA61" s="117"/>
      <c r="CB61" s="18"/>
      <c r="CD61" s="18"/>
      <c r="CE61" s="18"/>
      <c r="CF61" s="18"/>
      <c r="CG61" s="18"/>
      <c r="CH61" s="18"/>
      <c r="CJ61" s="18"/>
      <c r="CK61" s="18"/>
      <c r="CL61" s="18"/>
      <c r="CM61" s="18"/>
      <c r="CN61" s="18"/>
      <c r="CP61" s="18"/>
      <c r="CQ61" s="18"/>
      <c r="CR61" s="18"/>
      <c r="CS61" s="18"/>
      <c r="CT61" s="18"/>
      <c r="CV61" s="114"/>
      <c r="CW61" s="114"/>
      <c r="CX61" s="114"/>
      <c r="CY61" s="114"/>
      <c r="CZ61" s="18"/>
      <c r="DB61" s="114"/>
      <c r="DC61" s="114"/>
      <c r="DD61" s="114"/>
      <c r="DE61" s="114"/>
      <c r="DF61" s="18"/>
      <c r="DH61" s="18">
        <f>DH21</f>
        <v>0.438</v>
      </c>
      <c r="DI61" s="18">
        <f>DI21+((SUM(DI34:DI38)-SUM(DI42:DI46)))</f>
        <v>0.37299999999999955</v>
      </c>
      <c r="DJ61" s="18">
        <f>DJ21+((SUM(DJ34:DJ38)-SUM(DJ42:DJ46)))</f>
        <v>0.74199999999999933</v>
      </c>
      <c r="DK61" s="18">
        <f>DK21+((SUM(DK34:DK38)-SUM(DK42:DK46)))</f>
        <v>1.723000000000001</v>
      </c>
      <c r="DL61" s="18">
        <f t="shared" si="36"/>
        <v>3.2759999999999998</v>
      </c>
      <c r="DM61" s="432"/>
      <c r="DN61" s="18">
        <f>DN21+((SUM(DN34:DN38)-SUM(DN42:DN46)))</f>
        <v>-0.49700000000000211</v>
      </c>
      <c r="DO61" s="18">
        <f>DO21+((SUM(DO34:DO38)-SUM(DO42:DO46)))</f>
        <v>1.3239999999999992</v>
      </c>
      <c r="DP61" s="18">
        <f>DP21+((SUM(DP34:DP38)-SUM(DP42:DP46)))</f>
        <v>2.3089999999999993</v>
      </c>
      <c r="DQ61" s="18">
        <f>DQ21+((SUM(DQ34:DQ38)-SUM(DQ42:DQ46)))</f>
        <v>-2.8529999999999993</v>
      </c>
      <c r="DR61" s="18">
        <f>SUM(DN61:DQ61)</f>
        <v>0.28299999999999725</v>
      </c>
      <c r="DS61" s="432"/>
      <c r="DT61" s="18">
        <f>DT21+((SUM(DT34:DT38)-SUM(DT42:DT46)))</f>
        <v>2.2090000000000001</v>
      </c>
      <c r="DU61" s="18">
        <f>DU21+((SUM(DU34:DU38)-SUM(DU42:DU46)))</f>
        <v>-10.57</v>
      </c>
      <c r="DV61" s="18">
        <f>DV21+((SUM(DV34:DV38)-SUM(DV42:DV46)))</f>
        <v>0.78499999999999925</v>
      </c>
      <c r="DW61" s="18">
        <f>DW21+((SUM(DW34:DW38)-SUM(DW42:DW46)))</f>
        <v>-7.677999999999999</v>
      </c>
      <c r="DX61" s="18">
        <f>SUM(DT61:DW61)</f>
        <v>-15.254000000000001</v>
      </c>
      <c r="DY61" s="432"/>
      <c r="DZ61" s="18">
        <f>DZ21+((SUM(DZ34:DZ39)-SUM(DZ42:DZ47)))</f>
        <v>0.97599999999999998</v>
      </c>
      <c r="EA61" s="18">
        <f>EA21+((SUM(EA34:EA39)-SUM(EA42:EA47)))</f>
        <v>-2.4369999999999998</v>
      </c>
      <c r="EB61" s="18">
        <f>EB21+((SUM(EB34:EB39)-SUM(EB42:EB47)))</f>
        <v>-2.8220000000000001</v>
      </c>
      <c r="EC61" s="18">
        <f>EC21+((SUM(EC34:EC39)-SUM(EC42:EC47)))</f>
        <v>-2.4450000000000034</v>
      </c>
      <c r="ED61" s="18">
        <f>SUM(DZ61:EC61)</f>
        <v>-6.7280000000000033</v>
      </c>
      <c r="EE61" s="432"/>
      <c r="EF61" s="18">
        <f>EF21+((SUM(EF34:EF39)-SUM(EF42:EF47)))</f>
        <v>-3.7530000000000001</v>
      </c>
      <c r="EG61" s="18">
        <f>EG21+((SUM(EG34:EG39)-SUM(EG42:EG47)))</f>
        <v>-5.7310000000000016</v>
      </c>
      <c r="EH61" s="18">
        <f>EH21+((SUM(EH34:EH39)-SUM(EH42:EH47)))</f>
        <v>-2.7709999999999986</v>
      </c>
      <c r="EI61" s="18">
        <f>EI21+((SUM(EI34:EI39)-SUM(EI42:EI47)))</f>
        <v>-2.835999999999999</v>
      </c>
      <c r="EJ61" s="18">
        <f>SUM(EF61:EI61)</f>
        <v>-15.090999999999999</v>
      </c>
      <c r="EK61" s="432"/>
      <c r="EL61" s="18">
        <f>EL21+((SUM(EL34:EL39)-SUM(EL42:EL47)))</f>
        <v>-2.9340000000000002</v>
      </c>
      <c r="EM61" s="18">
        <f>EM21+((SUM(EM34:EM39)-SUM(EM42:EM47)))</f>
        <v>-2.3090000000000002</v>
      </c>
      <c r="EN61" s="18">
        <f>EN21+((SUM(EN34:EN39)-SUM(EN42:EN47)))</f>
        <v>-2.9349999999999929</v>
      </c>
      <c r="EO61" s="18">
        <f>EO21+((SUM(EO34:EO39)-SUM(EO42:EO47)))</f>
        <v>-0.96</v>
      </c>
      <c r="EP61" s="18">
        <f>SUM(EL61:EO61)</f>
        <v>-9.1379999999999946</v>
      </c>
      <c r="EQ61" s="432"/>
      <c r="ER61" s="18">
        <f>ER21+((SUM(ER34:ER39)-SUM(ER42:ER47)))</f>
        <v>-0.62</v>
      </c>
      <c r="ES61" s="18">
        <f>ES21+((SUM(ES34:ES39)-SUM(ES42:ES47)))</f>
        <v>-0.375</v>
      </c>
      <c r="ET61" s="18">
        <f>ET21+((SUM(ET34:ET39)-SUM(ET42:ET47)))</f>
        <v>-0.14999999999999289</v>
      </c>
      <c r="EU61" s="18">
        <f>EU21+((SUM(EU34:EU39)-SUM(EU42:EU47)))</f>
        <v>-0.80500000000000482</v>
      </c>
      <c r="EV61" s="36">
        <f>SUM(ER61:EU61)</f>
        <v>-1.9499999999999977</v>
      </c>
      <c r="EW61" s="432"/>
      <c r="EX61" s="36">
        <f>EX21+((SUM(EX34:EX39)-SUM(EX42:EX47)))</f>
        <v>0.26600000000000001</v>
      </c>
      <c r="EY61" s="36">
        <f>EY21+((SUM(EY34:EY39)-SUM(EY42:EY47)))</f>
        <v>-0.72399999999999998</v>
      </c>
      <c r="EZ61" s="36">
        <f>EZ21+((SUM(EZ34:EZ39)-SUM(EZ42:EZ47)))</f>
        <v>0.73999999999999644</v>
      </c>
      <c r="FA61" s="36">
        <f>FA21+((SUM(FA34:FA39)-SUM(FA42:FA47)))</f>
        <v>-2.5249999999999999</v>
      </c>
      <c r="FB61" s="36">
        <f t="shared" si="35"/>
        <v>-2.2430000000000034</v>
      </c>
      <c r="FC61" s="432"/>
      <c r="FD61" s="642">
        <f>FD60*FD81</f>
        <v>0</v>
      </c>
      <c r="FE61" s="36">
        <f>FE60*FE81</f>
        <v>0</v>
      </c>
      <c r="FF61" s="36">
        <f>FF60*FF81</f>
        <v>0</v>
      </c>
      <c r="FG61" s="36">
        <f>FG60*FG81</f>
        <v>0</v>
      </c>
      <c r="FH61" s="36">
        <f>SUM(FD61:FG61)</f>
        <v>0</v>
      </c>
      <c r="FI61" s="432"/>
      <c r="FJ61" s="36">
        <f>FJ60*FJ81</f>
        <v>0</v>
      </c>
      <c r="FK61" s="36">
        <f>FK60*FK81</f>
        <v>0</v>
      </c>
      <c r="FL61" s="36">
        <f>FL60*FL81</f>
        <v>0</v>
      </c>
      <c r="FM61" s="36">
        <f>FM60*FM81</f>
        <v>0</v>
      </c>
      <c r="FN61" s="36">
        <f>SUM(FJ61:FM61)</f>
        <v>0</v>
      </c>
      <c r="FO61" s="432"/>
      <c r="FP61" s="36">
        <f>FP60*FP81</f>
        <v>0</v>
      </c>
      <c r="FQ61" s="36">
        <f>FQ60*FQ81</f>
        <v>0</v>
      </c>
      <c r="FR61" s="36">
        <f>FR60*FR81</f>
        <v>0</v>
      </c>
      <c r="FS61" s="36">
        <f>FS60*FS81</f>
        <v>0</v>
      </c>
      <c r="FT61" s="36">
        <f>SUM(FP61:FS61)</f>
        <v>0</v>
      </c>
      <c r="FU61" s="432"/>
      <c r="FV61" s="36">
        <f>FV60*FV81</f>
        <v>3.4880052969899946</v>
      </c>
      <c r="FW61" s="36">
        <f>FW60*FW81</f>
        <v>3.8104367807888284</v>
      </c>
      <c r="FX61" s="36">
        <f>FX60*FX81</f>
        <v>4.0311333552101649</v>
      </c>
      <c r="FY61" s="36">
        <f>FY60*FY81</f>
        <v>4.1676299870660882</v>
      </c>
      <c r="FZ61" s="36">
        <f>SUM(FV61:FY61)</f>
        <v>15.497205420055078</v>
      </c>
      <c r="GA61" s="432"/>
      <c r="GB61" s="36">
        <f>GB60*GB81</f>
        <v>5.0205354696340949</v>
      </c>
      <c r="GC61" s="36">
        <f>GC60*GC81</f>
        <v>5.3986345245290757</v>
      </c>
      <c r="GD61" s="36">
        <f>GD60*GD81</f>
        <v>5.7014324016851212</v>
      </c>
      <c r="GE61" s="36">
        <f>GE60*GE81</f>
        <v>5.8901629443650174</v>
      </c>
      <c r="GF61" s="36">
        <f>SUM(GB61:GE61)</f>
        <v>22.010765340213307</v>
      </c>
      <c r="GG61" s="432"/>
      <c r="GH61" s="36">
        <f>GH60*GH81</f>
        <v>6.7222490335683522</v>
      </c>
      <c r="GI61" s="36">
        <f>GI60*GI81</f>
        <v>7.2103680557175096</v>
      </c>
      <c r="GJ61" s="36">
        <f>GJ60*GJ81</f>
        <v>7.6048703686265284</v>
      </c>
      <c r="GK61" s="36">
        <f>GK60*GK81</f>
        <v>8.2831053649617239</v>
      </c>
      <c r="GL61" s="36">
        <f>SUM(GH61:GK61)</f>
        <v>29.820592822874115</v>
      </c>
      <c r="GM61" s="432"/>
      <c r="GN61" s="36">
        <f>GN60*GN81</f>
        <v>8.9950828931526363</v>
      </c>
      <c r="GO61" s="36">
        <f>GO60*GO81</f>
        <v>9.6087214701224681</v>
      </c>
      <c r="GP61" s="36">
        <f>GP60*GP81</f>
        <v>10.108562411712271</v>
      </c>
      <c r="GQ61" s="36">
        <f>GQ60*GQ81</f>
        <v>10.423552706047113</v>
      </c>
      <c r="GR61" s="36">
        <f>SUM(GN61:GQ61)</f>
        <v>39.135919481034485</v>
      </c>
      <c r="GS61" s="432"/>
      <c r="GT61" s="36">
        <f>GT60*GT81</f>
        <v>10.99383592975839</v>
      </c>
      <c r="GU61" s="36">
        <f>GU60*GU81</f>
        <v>11.731194826480937</v>
      </c>
      <c r="GV61" s="36">
        <f>GV60*GV81</f>
        <v>12.334514190003812</v>
      </c>
      <c r="GW61" s="36">
        <f>GW60*GW81</f>
        <v>12.715450027696109</v>
      </c>
      <c r="GX61" s="36">
        <f>SUM(GT61:GW61)</f>
        <v>47.774994973939243</v>
      </c>
      <c r="GY61" s="432"/>
      <c r="GZ61" s="36">
        <f>GZ60*GZ81</f>
        <v>13.263115443225672</v>
      </c>
      <c r="HA61" s="36">
        <f>HA60*HA81</f>
        <v>14.139700247981876</v>
      </c>
      <c r="HB61" s="36">
        <f>HB60*HB81</f>
        <v>14.859686422085634</v>
      </c>
      <c r="HC61" s="36">
        <f>HC60*HC81</f>
        <v>15.315083180271072</v>
      </c>
      <c r="HD61" s="36">
        <f>SUM(GZ61:HC61)</f>
        <v>57.577585293564255</v>
      </c>
      <c r="HE61" s="432"/>
      <c r="HF61" s="36">
        <f>HF60*HF81</f>
        <v>15.739032109775223</v>
      </c>
      <c r="HG61" s="36">
        <f>HG60*HG81</f>
        <v>16.765415819432437</v>
      </c>
      <c r="HH61" s="36">
        <f>HH60*HH81</f>
        <v>17.611103786802627</v>
      </c>
      <c r="HI61" s="36">
        <f>HI60*HI81</f>
        <v>18.14684505728712</v>
      </c>
      <c r="HJ61" s="36">
        <f>SUM(HF61:HI61)</f>
        <v>68.262396773297411</v>
      </c>
      <c r="HK61" s="521"/>
      <c r="HL61" s="521"/>
      <c r="HM61" s="521"/>
      <c r="HN61" s="521"/>
      <c r="HO61" s="521"/>
    </row>
    <row r="62" spans="1:224">
      <c r="B62" s="8" t="s">
        <v>83</v>
      </c>
      <c r="D62" s="17"/>
      <c r="E62" s="17"/>
      <c r="F62" s="17"/>
      <c r="G62" s="17"/>
      <c r="H62" s="17"/>
      <c r="J62" s="17"/>
      <c r="K62" s="17"/>
      <c r="L62" s="17"/>
      <c r="M62" s="17"/>
      <c r="N62" s="17"/>
      <c r="P62" s="17"/>
      <c r="Q62" s="17"/>
      <c r="R62" s="17"/>
      <c r="S62" s="17"/>
      <c r="T62" s="17"/>
      <c r="V62" s="17"/>
      <c r="W62" s="17"/>
      <c r="X62" s="17"/>
      <c r="Y62" s="17"/>
      <c r="Z62" s="17"/>
      <c r="AB62" s="17"/>
      <c r="AC62" s="17"/>
      <c r="AD62" s="17"/>
      <c r="AE62" s="17"/>
      <c r="AF62" s="17"/>
      <c r="AH62" s="17"/>
      <c r="AI62" s="17"/>
      <c r="AJ62" s="17"/>
      <c r="AK62" s="17"/>
      <c r="AL62" s="17"/>
      <c r="AN62" s="17"/>
      <c r="AO62" s="17"/>
      <c r="AP62" s="17"/>
      <c r="AQ62" s="17"/>
      <c r="AR62" s="17"/>
      <c r="AT62" s="17"/>
      <c r="AU62" s="17"/>
      <c r="AV62" s="17"/>
      <c r="AW62" s="17"/>
      <c r="AX62" s="17"/>
      <c r="AZ62" s="17"/>
      <c r="BA62" s="17"/>
      <c r="BB62" s="17"/>
      <c r="BC62" s="17"/>
      <c r="BD62" s="17"/>
      <c r="BF62" s="17"/>
      <c r="BG62" s="17"/>
      <c r="BH62" s="17"/>
      <c r="BI62" s="17"/>
      <c r="BJ62" s="17"/>
      <c r="BL62" s="17"/>
      <c r="BM62" s="17"/>
      <c r="BN62" s="17"/>
      <c r="BO62" s="17"/>
      <c r="BP62" s="17"/>
      <c r="BR62" s="17"/>
      <c r="BS62" s="17"/>
      <c r="BT62" s="17"/>
      <c r="BU62" s="17"/>
      <c r="BV62" s="17"/>
      <c r="BX62" s="17"/>
      <c r="BY62" s="129"/>
      <c r="BZ62" s="17"/>
      <c r="CA62" s="17"/>
      <c r="CB62" s="17"/>
      <c r="CD62" s="17"/>
      <c r="CE62" s="17"/>
      <c r="CF62" s="17"/>
      <c r="CG62" s="17"/>
      <c r="CH62" s="17"/>
      <c r="CJ62" s="17"/>
      <c r="CK62" s="17"/>
      <c r="CL62" s="17"/>
      <c r="CM62" s="17"/>
      <c r="CN62" s="17"/>
      <c r="CP62" s="17"/>
      <c r="CQ62" s="17"/>
      <c r="CR62" s="17"/>
      <c r="CS62" s="17"/>
      <c r="CT62" s="17"/>
      <c r="CV62" s="17"/>
      <c r="CW62" s="17"/>
      <c r="CX62" s="17"/>
      <c r="CY62" s="109"/>
      <c r="CZ62" s="109"/>
      <c r="DA62" s="109"/>
      <c r="DB62" s="109"/>
      <c r="DC62" s="109"/>
      <c r="DD62" s="109"/>
      <c r="DE62" s="109"/>
      <c r="DF62" s="109"/>
      <c r="DH62" s="17">
        <f>DH60-DH61</f>
        <v>3.6810000000000049</v>
      </c>
      <c r="DI62" s="17">
        <f>DI60-DI61</f>
        <v>4.465999999999994</v>
      </c>
      <c r="DJ62" s="17">
        <f>DJ60-DJ61</f>
        <v>4.6170000000000027</v>
      </c>
      <c r="DK62" s="17">
        <f>DK60-DK61</f>
        <v>5.4849999999999968</v>
      </c>
      <c r="DL62" s="17">
        <f>DL60-DL61</f>
        <v>18.249000000000009</v>
      </c>
      <c r="DM62" s="354"/>
      <c r="DN62" s="17">
        <f>DN60-DN61</f>
        <v>7.1589999999999918</v>
      </c>
      <c r="DO62" s="17">
        <f>DO60-DO61</f>
        <v>7.22799999999999</v>
      </c>
      <c r="DP62" s="17">
        <f>DP60-DP61</f>
        <v>7.5349999999999948</v>
      </c>
      <c r="DQ62" s="17">
        <f>DQ60-DQ61</f>
        <v>10.921999999999999</v>
      </c>
      <c r="DR62" s="17">
        <f>DR60-DR61</f>
        <v>32.84399999999998</v>
      </c>
      <c r="DS62" s="354"/>
      <c r="DT62" s="17">
        <f>DT60-DT61</f>
        <v>-2.1940000000000031</v>
      </c>
      <c r="DU62" s="17">
        <f>DU60-DU61</f>
        <v>-4.1389999999999887</v>
      </c>
      <c r="DV62" s="17">
        <f>DV60-DV61</f>
        <v>6.9609999999999985</v>
      </c>
      <c r="DW62" s="17">
        <f>DW60-DW61</f>
        <v>16.544999999999991</v>
      </c>
      <c r="DX62" s="17">
        <f>DX60-DX61</f>
        <v>17.173000000000066</v>
      </c>
      <c r="DY62" s="354"/>
      <c r="DZ62" s="17">
        <f>DZ60-DZ61</f>
        <v>-4.646999999999994</v>
      </c>
      <c r="EA62" s="17">
        <f>EA60-EA61</f>
        <v>-0.8639999999999799</v>
      </c>
      <c r="EB62" s="17">
        <f>EB60-EB61</f>
        <v>-9.764999999999997</v>
      </c>
      <c r="EC62" s="17">
        <f>EC60-EC61</f>
        <v>-17.432000000000006</v>
      </c>
      <c r="ED62" s="17">
        <f>ED60-ED61</f>
        <v>-32.708000000000034</v>
      </c>
      <c r="EE62" s="354"/>
      <c r="EF62" s="17">
        <f>EF60-EF61</f>
        <v>-24.954000000000011</v>
      </c>
      <c r="EG62" s="17">
        <f>EG60-EG61</f>
        <v>-19.995000000000022</v>
      </c>
      <c r="EH62" s="17">
        <f>EH60-EH61</f>
        <v>-17.897999999999996</v>
      </c>
      <c r="EI62" s="17">
        <f>EI60-EI61</f>
        <v>-6.9489999999999785</v>
      </c>
      <c r="EJ62" s="17">
        <f>EJ60-EJ61</f>
        <v>-69.796000000000006</v>
      </c>
      <c r="EK62" s="354"/>
      <c r="EL62" s="17">
        <f>EL60-EL61</f>
        <v>-11.771999999999998</v>
      </c>
      <c r="EM62" s="17">
        <f>EM60-EM61</f>
        <v>-6.6930000000000005</v>
      </c>
      <c r="EN62" s="17">
        <f>EN60-EN61</f>
        <v>-0.26900000000000057</v>
      </c>
      <c r="EO62" s="17">
        <f>EO60-EO61</f>
        <v>3.8940000000000006</v>
      </c>
      <c r="EP62" s="17">
        <f>EP60-EP61</f>
        <v>-14.840000000000085</v>
      </c>
      <c r="EQ62" s="354"/>
      <c r="ER62" s="17">
        <f>ER60-ER61</f>
        <v>-2.6439999999999917</v>
      </c>
      <c r="ES62" s="17">
        <f>ES60-ES61</f>
        <v>4.4240000000000137</v>
      </c>
      <c r="ET62" s="17">
        <f>ET60-ET61</f>
        <v>6.9320000000000199</v>
      </c>
      <c r="EU62" s="17">
        <f>EU60-EU61</f>
        <v>5.5550000000000086</v>
      </c>
      <c r="EV62" s="17">
        <f>EV60-EV61</f>
        <v>14.267000000000078</v>
      </c>
      <c r="EW62" s="354"/>
      <c r="EX62" s="17">
        <f>EX60-EX61</f>
        <v>-0.4589999999999903</v>
      </c>
      <c r="EY62" s="17">
        <f>EY60-EY61</f>
        <v>3.5890000000000253</v>
      </c>
      <c r="EZ62" s="17">
        <f>EZ60-EZ61</f>
        <v>3.6489999999999991</v>
      </c>
      <c r="FA62" s="17">
        <f>FA60-FA61</f>
        <v>8.0659999999999865</v>
      </c>
      <c r="FB62" s="17">
        <f>FB60-FB61</f>
        <v>14.844999999999979</v>
      </c>
      <c r="FC62" s="354"/>
      <c r="FD62" s="565">
        <f>FD60-FD61</f>
        <v>-8.4858344775494254E-2</v>
      </c>
      <c r="FE62" s="17">
        <f>FE60-FE61</f>
        <v>2.731014078219232</v>
      </c>
      <c r="FF62" s="17">
        <f>FF60-FF61</f>
        <v>7.5421427123295608</v>
      </c>
      <c r="FG62" s="17">
        <f>FG60-FG61</f>
        <v>9.746747382248401</v>
      </c>
      <c r="FH62" s="17">
        <f>FH60-FH61</f>
        <v>19.935045828021657</v>
      </c>
      <c r="FI62" s="354"/>
      <c r="FJ62" s="17">
        <f>FJ60-FJ61</f>
        <v>9.2965497542727018</v>
      </c>
      <c r="FK62" s="17">
        <f>FK60-FK61</f>
        <v>9.9089142612323116</v>
      </c>
      <c r="FL62" s="17">
        <f>FL60-FL61</f>
        <v>10.374509219026589</v>
      </c>
      <c r="FM62" s="17">
        <f>FM60-FM61</f>
        <v>8.5134497374186182</v>
      </c>
      <c r="FN62" s="17">
        <f>FN60-FN61</f>
        <v>38.093422971950289</v>
      </c>
      <c r="FO62" s="354"/>
      <c r="FP62" s="17">
        <f>FP60-FP61</f>
        <v>13.063745230595927</v>
      </c>
      <c r="FQ62" s="17">
        <f>FQ60-FQ61</f>
        <v>14.032818066145236</v>
      </c>
      <c r="FR62" s="17">
        <f>FR60-FR61</f>
        <v>14.79405852449559</v>
      </c>
      <c r="FS62" s="17">
        <f>FS60-FS61</f>
        <v>15.275042385848613</v>
      </c>
      <c r="FT62" s="17">
        <f>FT60-FT61</f>
        <v>57.165664207085349</v>
      </c>
      <c r="FU62" s="354"/>
      <c r="FV62" s="17">
        <f>FV60-FV61</f>
        <v>13.952021187959977</v>
      </c>
      <c r="FW62" s="17">
        <f>FW60-FW61</f>
        <v>15.241747123155312</v>
      </c>
      <c r="FX62" s="17">
        <f>FX60-FX61</f>
        <v>16.124533420840656</v>
      </c>
      <c r="FY62" s="17">
        <f>FY60-FY61</f>
        <v>16.670519948264353</v>
      </c>
      <c r="FZ62" s="17">
        <f>FZ60-FZ61</f>
        <v>61.988821680220312</v>
      </c>
      <c r="GA62" s="354"/>
      <c r="GB62" s="17">
        <f>GB60-GB61</f>
        <v>20.08214187853638</v>
      </c>
      <c r="GC62" s="17">
        <f>GC60-GC61</f>
        <v>21.594538098116299</v>
      </c>
      <c r="GD62" s="17">
        <f>GD60-GD61</f>
        <v>22.805729606740485</v>
      </c>
      <c r="GE62" s="17">
        <f>GE60-GE61</f>
        <v>23.56065177746007</v>
      </c>
      <c r="GF62" s="17">
        <f>GF60-GF61</f>
        <v>88.043061360853272</v>
      </c>
      <c r="GG62" s="354"/>
      <c r="GH62" s="17">
        <f>GH60-GH61</f>
        <v>26.888996134273405</v>
      </c>
      <c r="GI62" s="17">
        <f>GI60-GI61</f>
        <v>28.841472222870038</v>
      </c>
      <c r="GJ62" s="17">
        <f>GJ60-GJ61</f>
        <v>30.419481474506114</v>
      </c>
      <c r="GK62" s="17">
        <f>GK60-GK61</f>
        <v>33.132421459846896</v>
      </c>
      <c r="GL62" s="17">
        <f>GL60-GL61</f>
        <v>119.28237129149647</v>
      </c>
      <c r="GM62" s="354"/>
      <c r="GN62" s="17">
        <f>GN60-GN61</f>
        <v>35.980331572610545</v>
      </c>
      <c r="GO62" s="17">
        <f>GO60-GO61</f>
        <v>38.434885880489865</v>
      </c>
      <c r="GP62" s="17">
        <f>GP60-GP61</f>
        <v>40.434249646849082</v>
      </c>
      <c r="GQ62" s="17">
        <f>GQ60-GQ61</f>
        <v>41.694210824188453</v>
      </c>
      <c r="GR62" s="17">
        <f>GR60-GR61</f>
        <v>156.54367792413788</v>
      </c>
      <c r="GS62" s="354"/>
      <c r="GT62" s="17">
        <f>GT60-GT61</f>
        <v>43.97534371903356</v>
      </c>
      <c r="GU62" s="17">
        <f>GU60-GU61</f>
        <v>46.924779305923742</v>
      </c>
      <c r="GV62" s="17">
        <f>GV60-GV61</f>
        <v>49.338056760015249</v>
      </c>
      <c r="GW62" s="17">
        <f>GW60-GW61</f>
        <v>50.861800110784436</v>
      </c>
      <c r="GX62" s="17">
        <f>GX60-GX61</f>
        <v>191.09997989575709</v>
      </c>
      <c r="GY62" s="354"/>
      <c r="GZ62" s="17">
        <f>GZ60-GZ61</f>
        <v>53.052461772902689</v>
      </c>
      <c r="HA62" s="17">
        <f>HA60-HA61</f>
        <v>56.558800991927498</v>
      </c>
      <c r="HB62" s="17">
        <f>HB60-HB61</f>
        <v>59.438745688342536</v>
      </c>
      <c r="HC62" s="17">
        <f>HC60-HC61</f>
        <v>61.260332721084282</v>
      </c>
      <c r="HD62" s="17">
        <f>HD60-HD61</f>
        <v>230.31034117425691</v>
      </c>
      <c r="HE62" s="354"/>
      <c r="HF62" s="17">
        <f>HF60-HF61</f>
        <v>62.956128439100894</v>
      </c>
      <c r="HG62" s="17">
        <f>HG60-HG61</f>
        <v>67.06166327772975</v>
      </c>
      <c r="HH62" s="17">
        <f>HH60-HH61</f>
        <v>70.444415147210492</v>
      </c>
      <c r="HI62" s="17">
        <f>HI60-HI61</f>
        <v>72.587380229148479</v>
      </c>
      <c r="HJ62" s="17">
        <f>HJ60-HJ61</f>
        <v>273.04958709318953</v>
      </c>
      <c r="HK62" s="513"/>
      <c r="HL62" s="513"/>
      <c r="HM62" s="513"/>
      <c r="HN62" s="513"/>
      <c r="HO62" s="513"/>
    </row>
    <row r="63" spans="1:224" ht="15.75" customHeight="1">
      <c r="D63" s="17"/>
      <c r="E63" s="17"/>
      <c r="F63" s="17"/>
      <c r="G63" s="17"/>
      <c r="H63" s="17"/>
      <c r="J63" s="17"/>
      <c r="K63" s="17"/>
      <c r="L63" s="17"/>
      <c r="M63" s="17"/>
      <c r="N63" s="17"/>
      <c r="P63" s="17"/>
      <c r="Q63" s="17"/>
      <c r="R63" s="17"/>
      <c r="S63" s="17"/>
      <c r="T63" s="17"/>
      <c r="V63" s="17"/>
      <c r="W63" s="17"/>
      <c r="X63" s="17"/>
      <c r="Y63" s="17"/>
      <c r="Z63" s="17"/>
      <c r="AB63" s="17"/>
      <c r="AC63" s="17"/>
      <c r="AD63" s="17"/>
      <c r="AE63" s="17"/>
      <c r="AF63" s="17"/>
      <c r="AH63" s="17"/>
      <c r="AI63" s="17"/>
      <c r="AJ63" s="17"/>
      <c r="AK63" s="17"/>
      <c r="AL63" s="17"/>
      <c r="AN63" s="17"/>
      <c r="AO63" s="17"/>
      <c r="AP63" s="17"/>
      <c r="AQ63" s="17"/>
      <c r="AR63" s="17"/>
      <c r="AT63" s="17"/>
      <c r="AU63" s="17"/>
      <c r="AV63" s="17"/>
      <c r="AW63" s="17"/>
      <c r="AX63" s="17"/>
      <c r="AZ63" s="17"/>
      <c r="BA63" s="17"/>
      <c r="BB63" s="17"/>
      <c r="BC63" s="17"/>
      <c r="BD63" s="17"/>
      <c r="BF63" s="17"/>
      <c r="BG63" s="17"/>
      <c r="BH63" s="17"/>
      <c r="BI63" s="17"/>
      <c r="BJ63" s="17"/>
      <c r="BL63" s="17"/>
      <c r="BM63" s="17"/>
      <c r="BN63" s="17"/>
      <c r="BO63" s="17"/>
      <c r="BP63" s="17"/>
      <c r="BR63" s="17"/>
      <c r="BS63" s="17"/>
      <c r="BT63" s="17"/>
      <c r="BU63" s="17"/>
      <c r="BV63" s="17"/>
      <c r="BX63" s="17"/>
      <c r="BY63" s="17"/>
      <c r="BZ63" s="17"/>
      <c r="CA63" s="17"/>
      <c r="CB63" s="17"/>
      <c r="CD63" s="17"/>
      <c r="CE63" s="17"/>
      <c r="CF63" s="17"/>
      <c r="CG63" s="17"/>
      <c r="CH63" s="17"/>
      <c r="CJ63" s="17"/>
      <c r="CK63" s="17"/>
      <c r="CL63" s="17"/>
      <c r="CM63" s="17"/>
      <c r="CN63" s="17"/>
      <c r="CP63" s="17"/>
      <c r="CQ63" s="17"/>
      <c r="CR63" s="17"/>
      <c r="CS63" s="17"/>
      <c r="CT63" s="17"/>
      <c r="CV63" s="17"/>
      <c r="CW63" s="17"/>
      <c r="CX63" s="17"/>
      <c r="CY63" s="17"/>
      <c r="CZ63" s="17"/>
      <c r="DA63" s="17"/>
      <c r="DB63" s="17"/>
      <c r="DC63" s="17"/>
      <c r="DD63" s="17"/>
      <c r="DE63" s="17"/>
      <c r="DF63" s="17"/>
      <c r="DH63" s="354"/>
      <c r="DI63" s="354"/>
      <c r="DJ63" s="354"/>
      <c r="DK63" s="354"/>
      <c r="DL63" s="354"/>
      <c r="DM63" s="354"/>
      <c r="DN63" s="354"/>
      <c r="DO63" s="354"/>
      <c r="DP63" s="354"/>
      <c r="DQ63" s="354"/>
      <c r="DR63" s="354"/>
      <c r="DS63" s="354"/>
      <c r="DT63" s="354"/>
      <c r="DU63" s="354"/>
      <c r="DV63" s="354"/>
      <c r="DW63" s="354"/>
      <c r="DX63" s="354"/>
      <c r="DY63" s="354"/>
      <c r="DZ63" s="354"/>
      <c r="EA63" s="354"/>
      <c r="EB63" s="354"/>
      <c r="EC63" s="354"/>
      <c r="ED63" s="354"/>
      <c r="EE63" s="354"/>
      <c r="EF63" s="354"/>
      <c r="EG63" s="354"/>
      <c r="EH63" s="354"/>
      <c r="EI63" s="354"/>
      <c r="EJ63" s="354"/>
      <c r="EK63" s="354"/>
      <c r="EL63" s="354"/>
      <c r="EM63" s="354"/>
      <c r="EN63" s="354"/>
      <c r="EO63" s="354"/>
      <c r="EP63" s="354"/>
      <c r="EQ63" s="354"/>
      <c r="ER63" s="354"/>
      <c r="ES63" s="354"/>
      <c r="ET63" s="354"/>
      <c r="EU63" s="354"/>
      <c r="EV63" s="354"/>
      <c r="EW63" s="17"/>
      <c r="EX63" s="17"/>
      <c r="EY63" s="17"/>
      <c r="EZ63" s="17"/>
      <c r="FA63" s="17"/>
      <c r="FB63" s="354"/>
      <c r="FC63" s="17"/>
      <c r="FD63" s="565"/>
      <c r="FE63" s="17"/>
      <c r="FF63" s="17"/>
      <c r="FG63" s="17"/>
      <c r="FH63" s="354"/>
      <c r="FI63" s="17"/>
      <c r="FJ63" s="17"/>
      <c r="FK63" s="17"/>
      <c r="FL63" s="17"/>
      <c r="FM63" s="17"/>
      <c r="FN63" s="354"/>
      <c r="FO63" s="17"/>
      <c r="FP63" s="17"/>
      <c r="FQ63" s="17"/>
      <c r="FR63" s="17"/>
      <c r="FS63" s="17"/>
      <c r="FT63" s="354"/>
      <c r="FU63" s="17"/>
      <c r="FV63" s="17"/>
      <c r="FW63" s="17"/>
      <c r="FX63" s="17"/>
      <c r="FY63" s="17"/>
      <c r="FZ63" s="354"/>
      <c r="GA63" s="17"/>
      <c r="GB63" s="17"/>
      <c r="GC63" s="17"/>
      <c r="GD63" s="17"/>
      <c r="GE63" s="17"/>
      <c r="GF63" s="354"/>
      <c r="GG63" s="17"/>
      <c r="GH63" s="17"/>
      <c r="GI63" s="17"/>
      <c r="GJ63" s="17"/>
      <c r="GK63" s="17"/>
      <c r="GL63" s="354"/>
      <c r="GM63" s="17"/>
      <c r="GN63" s="17"/>
      <c r="GO63" s="17"/>
      <c r="GP63" s="17"/>
      <c r="GQ63" s="17"/>
      <c r="GR63" s="354"/>
      <c r="GS63" s="17"/>
      <c r="GT63" s="17"/>
      <c r="GU63" s="17"/>
      <c r="GV63" s="17"/>
      <c r="GW63" s="17"/>
      <c r="GX63" s="354"/>
      <c r="GZ63" s="17"/>
      <c r="HA63" s="17"/>
      <c r="HB63" s="17"/>
      <c r="HC63" s="17"/>
      <c r="HD63" s="354"/>
      <c r="HF63" s="17"/>
      <c r="HG63" s="17"/>
      <c r="HH63" s="17"/>
      <c r="HI63" s="17"/>
      <c r="HJ63" s="354"/>
    </row>
    <row r="64" spans="1:224">
      <c r="B64" s="21" t="s">
        <v>30</v>
      </c>
      <c r="BY64" s="130"/>
      <c r="CN64" s="109"/>
      <c r="CY64" s="109"/>
      <c r="CZ64" s="109"/>
      <c r="DA64" s="109"/>
      <c r="DB64" s="109"/>
      <c r="DC64" s="109"/>
      <c r="DD64" s="109"/>
      <c r="DE64" s="109"/>
      <c r="DF64" s="109"/>
      <c r="DH64" s="21">
        <f t="shared" ref="DH64:DL65" si="69">DH24</f>
        <v>80.507000000000005</v>
      </c>
      <c r="DI64" s="21">
        <f t="shared" si="69"/>
        <v>81.016999999999996</v>
      </c>
      <c r="DJ64" s="21">
        <f t="shared" si="69"/>
        <v>87.253</v>
      </c>
      <c r="DK64" s="21">
        <f t="shared" si="69"/>
        <v>93.27</v>
      </c>
      <c r="DL64" s="21">
        <f t="shared" si="69"/>
        <v>85.617999999999995</v>
      </c>
      <c r="DN64" s="21">
        <f t="shared" ref="DN64:DR65" si="70">DN24</f>
        <v>94.74</v>
      </c>
      <c r="DO64" s="21">
        <f t="shared" si="70"/>
        <v>98.296999999999997</v>
      </c>
      <c r="DP64" s="21">
        <f t="shared" si="70"/>
        <v>103.899</v>
      </c>
      <c r="DQ64" s="21">
        <f t="shared" si="70"/>
        <v>104.393</v>
      </c>
      <c r="DR64" s="21">
        <f t="shared" si="70"/>
        <v>100.47</v>
      </c>
      <c r="DT64" s="21">
        <f t="shared" ref="DT64:DX65" si="71">DT24</f>
        <v>104.48399999999999</v>
      </c>
      <c r="DU64" s="21">
        <f t="shared" si="71"/>
        <v>107.887</v>
      </c>
      <c r="DV64" s="21">
        <f t="shared" si="71"/>
        <v>110.461</v>
      </c>
      <c r="DW64" s="21">
        <f t="shared" si="71"/>
        <v>111.2</v>
      </c>
      <c r="DX64" s="21">
        <f t="shared" si="71"/>
        <v>100.47</v>
      </c>
      <c r="DZ64" s="21">
        <f t="shared" ref="DZ64:ED65" si="72">DZ24</f>
        <v>116.199</v>
      </c>
      <c r="EA64" s="21">
        <f t="shared" si="72"/>
        <v>118.28700000000001</v>
      </c>
      <c r="EB64" s="21">
        <f t="shared" si="72"/>
        <v>122.559</v>
      </c>
      <c r="EC64" s="21">
        <f t="shared" si="72"/>
        <v>123.08199999999999</v>
      </c>
      <c r="ED64" s="21">
        <f t="shared" si="72"/>
        <v>119.962</v>
      </c>
      <c r="EF64" s="21">
        <f t="shared" ref="EF64:EI65" si="73">EF24</f>
        <v>123.63</v>
      </c>
      <c r="EG64" s="21">
        <f t="shared" si="73"/>
        <v>124.068</v>
      </c>
      <c r="EH64" s="21">
        <f t="shared" si="73"/>
        <v>124.425</v>
      </c>
      <c r="EI64" s="21">
        <f t="shared" si="73"/>
        <v>124.714</v>
      </c>
      <c r="EJ64" s="21">
        <f>EJ24</f>
        <v>124.217</v>
      </c>
      <c r="EL64" s="21">
        <f t="shared" ref="EL64:EO65" si="74">EL24</f>
        <v>125.026</v>
      </c>
      <c r="EM64" s="21">
        <f t="shared" si="74"/>
        <v>125.35599999999999</v>
      </c>
      <c r="EN64" s="21">
        <f t="shared" si="74"/>
        <v>125.687</v>
      </c>
      <c r="EO64" s="21">
        <f t="shared" si="74"/>
        <v>125.929</v>
      </c>
      <c r="EP64" s="21">
        <f>EP24</f>
        <v>124.217</v>
      </c>
      <c r="ER64" s="21">
        <f t="shared" ref="ER64:ET65" si="75">ER24</f>
        <v>126.111</v>
      </c>
      <c r="ES64" s="21">
        <f t="shared" si="75"/>
        <v>126.405</v>
      </c>
      <c r="ET64" s="21">
        <f t="shared" si="75"/>
        <v>126.953</v>
      </c>
      <c r="EU64" s="21">
        <f>EU24</f>
        <v>127.16</v>
      </c>
      <c r="EV64" s="21">
        <f>EV65</f>
        <v>126.65725</v>
      </c>
      <c r="EX64" s="21">
        <f t="shared" ref="EX64:EZ65" si="76">EX24</f>
        <v>127.376</v>
      </c>
      <c r="EY64" s="21">
        <f t="shared" si="76"/>
        <v>127.949</v>
      </c>
      <c r="EZ64" s="21">
        <f t="shared" si="76"/>
        <v>128.41499999999999</v>
      </c>
      <c r="FA64" s="21">
        <f>FA65</f>
        <v>128.88099999999997</v>
      </c>
      <c r="FB64" s="21">
        <f>FB65</f>
        <v>128.15525</v>
      </c>
      <c r="FD64" s="549">
        <f>FD65</f>
        <v>129.23387499999995</v>
      </c>
      <c r="FE64" s="21">
        <f>FE65</f>
        <v>129.58674999999994</v>
      </c>
      <c r="FF64" s="21">
        <f>FF65</f>
        <v>129.93962499999992</v>
      </c>
      <c r="FG64" s="21">
        <f>FG65</f>
        <v>130.2924999999999</v>
      </c>
      <c r="FH64" s="21">
        <f>FH65</f>
        <v>129.76318749999993</v>
      </c>
      <c r="FJ64" s="21">
        <f>FJ65</f>
        <v>130.5953749999999</v>
      </c>
      <c r="FK64" s="21">
        <f>FK65</f>
        <v>130.8982499999999</v>
      </c>
      <c r="FL64" s="21">
        <f>FL65</f>
        <v>131.20112499999991</v>
      </c>
      <c r="FM64" s="21">
        <f>FM65</f>
        <v>131.50399999999991</v>
      </c>
      <c r="FN64" s="21">
        <f>FN65</f>
        <v>131.04968749999992</v>
      </c>
      <c r="FP64" s="21">
        <f>FP65</f>
        <v>131.75687499999989</v>
      </c>
      <c r="FQ64" s="21">
        <f>FQ65</f>
        <v>132.00974999999988</v>
      </c>
      <c r="FR64" s="21">
        <f>FR65</f>
        <v>132.26262499999987</v>
      </c>
      <c r="FS64" s="21">
        <f>FS65</f>
        <v>132.51549999999986</v>
      </c>
      <c r="FT64" s="21">
        <f>FT65</f>
        <v>132.13618749999986</v>
      </c>
      <c r="FV64" s="21">
        <f>FV65</f>
        <v>132.71837499999987</v>
      </c>
      <c r="FW64" s="21">
        <f>FW65</f>
        <v>132.92124999999987</v>
      </c>
      <c r="FX64" s="21">
        <f>FX65</f>
        <v>133.12412499999988</v>
      </c>
      <c r="FY64" s="21">
        <f>FY65</f>
        <v>133.32699999999988</v>
      </c>
      <c r="FZ64" s="21">
        <f>FZ65</f>
        <v>133.02268749999988</v>
      </c>
      <c r="GB64" s="21">
        <f>GB65</f>
        <v>133.47987499999988</v>
      </c>
      <c r="GC64" s="21">
        <f>GC65</f>
        <v>133.63274999999987</v>
      </c>
      <c r="GD64" s="21">
        <f>GD65</f>
        <v>133.78562499999987</v>
      </c>
      <c r="GE64" s="21">
        <f>GE65</f>
        <v>133.93849999999986</v>
      </c>
      <c r="GF64" s="21">
        <f>GF65</f>
        <v>133.70918749999987</v>
      </c>
      <c r="GH64" s="21">
        <f>GH65</f>
        <v>134.04137499999985</v>
      </c>
      <c r="GI64" s="21">
        <f>GI65</f>
        <v>134.14424999999983</v>
      </c>
      <c r="GJ64" s="21">
        <f>GJ65</f>
        <v>134.24712499999981</v>
      </c>
      <c r="GK64" s="21">
        <f>GK65</f>
        <v>134.3499999999998</v>
      </c>
      <c r="GL64" s="21">
        <f>GL65</f>
        <v>134.19568749999982</v>
      </c>
      <c r="GN64" s="21">
        <f>GN65</f>
        <v>134.4028749999998</v>
      </c>
      <c r="GO64" s="21">
        <f>GO65</f>
        <v>134.4557499999998</v>
      </c>
      <c r="GP64" s="21">
        <f>GP65</f>
        <v>134.5086249999998</v>
      </c>
      <c r="GQ64" s="21">
        <f>GQ65</f>
        <v>134.5614999999998</v>
      </c>
      <c r="GR64" s="21">
        <f>GR65</f>
        <v>134.48218749999981</v>
      </c>
      <c r="GT64" s="21">
        <f>GT65</f>
        <v>134.5614999999998</v>
      </c>
      <c r="GU64" s="21">
        <f>GU65</f>
        <v>134.5614999999998</v>
      </c>
      <c r="GV64" s="21">
        <f>GV65</f>
        <v>134.5614999999998</v>
      </c>
      <c r="GW64" s="21">
        <f>GW65</f>
        <v>134.5614999999998</v>
      </c>
      <c r="GX64" s="21">
        <f>GX65</f>
        <v>134.5614999999998</v>
      </c>
      <c r="GZ64" s="21">
        <f>GZ65</f>
        <v>134.5614999999998</v>
      </c>
      <c r="HA64" s="21">
        <f>HA65</f>
        <v>134.5614999999998</v>
      </c>
      <c r="HB64" s="21">
        <f>HB65</f>
        <v>134.5614999999998</v>
      </c>
      <c r="HC64" s="21">
        <f>HC65</f>
        <v>134.5614999999998</v>
      </c>
      <c r="HD64" s="21">
        <f>HD65</f>
        <v>134.5614999999998</v>
      </c>
      <c r="HF64" s="21">
        <f>HF65</f>
        <v>134.5614999999998</v>
      </c>
      <c r="HG64" s="21">
        <f>HG65</f>
        <v>134.5614999999998</v>
      </c>
      <c r="HH64" s="21">
        <f>HH65</f>
        <v>134.5614999999998</v>
      </c>
      <c r="HI64" s="21">
        <f>HI65</f>
        <v>134.5614999999998</v>
      </c>
      <c r="HJ64" s="21">
        <f>HJ65</f>
        <v>134.5614999999998</v>
      </c>
    </row>
    <row r="65" spans="1:223">
      <c r="B65" s="21" t="s">
        <v>31</v>
      </c>
      <c r="BY65" s="130"/>
      <c r="CN65" s="109"/>
      <c r="CY65" s="109"/>
      <c r="CZ65" s="109"/>
      <c r="DA65" s="109"/>
      <c r="DB65" s="109"/>
      <c r="DC65" s="109"/>
      <c r="DD65" s="109"/>
      <c r="DE65" s="109"/>
      <c r="DF65" s="109"/>
      <c r="DH65" s="21">
        <f t="shared" si="69"/>
        <v>80.507000000000005</v>
      </c>
      <c r="DI65" s="21">
        <f t="shared" si="69"/>
        <v>90.168000000000006</v>
      </c>
      <c r="DJ65" s="21">
        <f t="shared" si="69"/>
        <v>90.927000000000007</v>
      </c>
      <c r="DK65" s="21">
        <f t="shared" si="69"/>
        <v>96.873999999999995</v>
      </c>
      <c r="DL65" s="21">
        <f t="shared" si="69"/>
        <v>91.567999999999998</v>
      </c>
      <c r="DN65" s="21">
        <f t="shared" si="70"/>
        <v>94.74</v>
      </c>
      <c r="DO65" s="21">
        <f t="shared" si="70"/>
        <v>102.336</v>
      </c>
      <c r="DP65" s="21">
        <f t="shared" si="70"/>
        <v>107.88</v>
      </c>
      <c r="DQ65" s="21">
        <f t="shared" si="70"/>
        <v>107.816</v>
      </c>
      <c r="DR65" s="21">
        <f t="shared" si="70"/>
        <v>103.61499999999999</v>
      </c>
      <c r="DT65" s="21">
        <f t="shared" si="71"/>
        <v>104.48399999999999</v>
      </c>
      <c r="DU65" s="21">
        <f t="shared" si="71"/>
        <v>107.887</v>
      </c>
      <c r="DV65" s="21">
        <f t="shared" si="71"/>
        <v>119.191</v>
      </c>
      <c r="DW65" s="21">
        <f t="shared" si="71"/>
        <v>114.236</v>
      </c>
      <c r="DX65" s="21">
        <f t="shared" si="71"/>
        <v>103.61499999999999</v>
      </c>
      <c r="DZ65" s="21">
        <f t="shared" si="72"/>
        <v>116.199</v>
      </c>
      <c r="EA65" s="21">
        <f t="shared" si="72"/>
        <v>131.23699999999999</v>
      </c>
      <c r="EB65" s="21">
        <f t="shared" si="72"/>
        <v>122.559</v>
      </c>
      <c r="EC65" s="21">
        <f t="shared" si="72"/>
        <v>123.08199999999999</v>
      </c>
      <c r="ED65" s="21">
        <f t="shared" si="72"/>
        <v>119.962</v>
      </c>
      <c r="EF65" s="21">
        <f t="shared" si="73"/>
        <v>123.63</v>
      </c>
      <c r="EG65" s="21">
        <f t="shared" si="73"/>
        <v>124.068</v>
      </c>
      <c r="EH65" s="21">
        <f t="shared" si="73"/>
        <v>124.425</v>
      </c>
      <c r="EI65" s="21">
        <f t="shared" si="73"/>
        <v>124.714</v>
      </c>
      <c r="EJ65" s="21">
        <f>EJ25</f>
        <v>124.217</v>
      </c>
      <c r="EL65" s="21">
        <f t="shared" si="74"/>
        <v>125.026</v>
      </c>
      <c r="EM65" s="21">
        <f t="shared" si="74"/>
        <v>125.35599999999999</v>
      </c>
      <c r="EN65" s="21">
        <f t="shared" si="74"/>
        <v>125.687</v>
      </c>
      <c r="EO65" s="21">
        <f t="shared" si="74"/>
        <v>125.929</v>
      </c>
      <c r="EP65" s="21">
        <f>EP25</f>
        <v>124.217</v>
      </c>
      <c r="ER65" s="21">
        <f t="shared" si="75"/>
        <v>126.111</v>
      </c>
      <c r="ES65" s="21">
        <f t="shared" si="75"/>
        <v>126.405</v>
      </c>
      <c r="ET65" s="21">
        <f t="shared" si="75"/>
        <v>126.953</v>
      </c>
      <c r="EU65" s="21">
        <f>EU25</f>
        <v>127.16</v>
      </c>
      <c r="EV65" s="21">
        <f>AVERAGE(ER65:EU65)</f>
        <v>126.65725</v>
      </c>
      <c r="EX65" s="21">
        <f t="shared" si="76"/>
        <v>127.376</v>
      </c>
      <c r="EY65" s="21">
        <f t="shared" si="76"/>
        <v>127.949</v>
      </c>
      <c r="EZ65" s="21">
        <f t="shared" si="76"/>
        <v>128.41499999999999</v>
      </c>
      <c r="FA65" s="21">
        <f>BS!FA72</f>
        <v>128.88099999999997</v>
      </c>
      <c r="FB65" s="21">
        <f>AVERAGE(EX65:FA65)</f>
        <v>128.15525</v>
      </c>
      <c r="FD65" s="549">
        <f>BS!FD72</f>
        <v>129.23387499999995</v>
      </c>
      <c r="FE65" s="21">
        <f>BS!FE72</f>
        <v>129.58674999999994</v>
      </c>
      <c r="FF65" s="21">
        <f>BS!FF72</f>
        <v>129.93962499999992</v>
      </c>
      <c r="FG65" s="21">
        <f>BS!FG72</f>
        <v>130.2924999999999</v>
      </c>
      <c r="FH65" s="21">
        <f>AVERAGE(FD65:FG65)</f>
        <v>129.76318749999993</v>
      </c>
      <c r="FJ65" s="21">
        <f>BS!FJ72</f>
        <v>130.5953749999999</v>
      </c>
      <c r="FK65" s="21">
        <f>BS!FK72</f>
        <v>130.8982499999999</v>
      </c>
      <c r="FL65" s="21">
        <f>BS!FL72</f>
        <v>131.20112499999991</v>
      </c>
      <c r="FM65" s="21">
        <f>BS!FM72</f>
        <v>131.50399999999991</v>
      </c>
      <c r="FN65" s="21">
        <f>AVERAGE(FJ65:FM65)</f>
        <v>131.04968749999992</v>
      </c>
      <c r="FP65" s="21">
        <f>BS!FP72</f>
        <v>131.75687499999989</v>
      </c>
      <c r="FQ65" s="21">
        <f>BS!FQ72</f>
        <v>132.00974999999988</v>
      </c>
      <c r="FR65" s="21">
        <f>BS!FR72</f>
        <v>132.26262499999987</v>
      </c>
      <c r="FS65" s="21">
        <f>BS!FS72</f>
        <v>132.51549999999986</v>
      </c>
      <c r="FT65" s="21">
        <f>AVERAGE(FP65:FS65)</f>
        <v>132.13618749999986</v>
      </c>
      <c r="FV65" s="21">
        <f>BS!FV72</f>
        <v>132.71837499999987</v>
      </c>
      <c r="FW65" s="21">
        <f>BS!FW72</f>
        <v>132.92124999999987</v>
      </c>
      <c r="FX65" s="21">
        <f>BS!FX72</f>
        <v>133.12412499999988</v>
      </c>
      <c r="FY65" s="21">
        <f>BS!FY72</f>
        <v>133.32699999999988</v>
      </c>
      <c r="FZ65" s="21">
        <f>AVERAGE(FV65:FY65)</f>
        <v>133.02268749999988</v>
      </c>
      <c r="GB65" s="21">
        <f>BS!GB72</f>
        <v>133.47987499999988</v>
      </c>
      <c r="GC65" s="21">
        <f>BS!GC72</f>
        <v>133.63274999999987</v>
      </c>
      <c r="GD65" s="21">
        <f>BS!GD72</f>
        <v>133.78562499999987</v>
      </c>
      <c r="GE65" s="21">
        <f>BS!GE72</f>
        <v>133.93849999999986</v>
      </c>
      <c r="GF65" s="21">
        <f>AVERAGE(GB65:GE65)</f>
        <v>133.70918749999987</v>
      </c>
      <c r="GH65" s="21">
        <f>BS!GH72</f>
        <v>134.04137499999985</v>
      </c>
      <c r="GI65" s="21">
        <f>BS!GI72</f>
        <v>134.14424999999983</v>
      </c>
      <c r="GJ65" s="21">
        <f>BS!GJ72</f>
        <v>134.24712499999981</v>
      </c>
      <c r="GK65" s="21">
        <f>BS!GK72</f>
        <v>134.3499999999998</v>
      </c>
      <c r="GL65" s="21">
        <f>AVERAGE(GH65:GK65)</f>
        <v>134.19568749999982</v>
      </c>
      <c r="GN65" s="21">
        <f>BS!GN72</f>
        <v>134.4028749999998</v>
      </c>
      <c r="GO65" s="21">
        <f>BS!GO72</f>
        <v>134.4557499999998</v>
      </c>
      <c r="GP65" s="21">
        <f>BS!GP72</f>
        <v>134.5086249999998</v>
      </c>
      <c r="GQ65" s="21">
        <f>BS!GQ72</f>
        <v>134.5614999999998</v>
      </c>
      <c r="GR65" s="21">
        <f>AVERAGE(GN65:GQ65)</f>
        <v>134.48218749999981</v>
      </c>
      <c r="GT65" s="21">
        <f>BS!GT72</f>
        <v>134.5614999999998</v>
      </c>
      <c r="GU65" s="21">
        <f>BS!GU72</f>
        <v>134.5614999999998</v>
      </c>
      <c r="GV65" s="21">
        <f>BS!GV72</f>
        <v>134.5614999999998</v>
      </c>
      <c r="GW65" s="21">
        <f>BS!GW72</f>
        <v>134.5614999999998</v>
      </c>
      <c r="GX65" s="21">
        <f>AVERAGE(GT65:GW65)</f>
        <v>134.5614999999998</v>
      </c>
      <c r="GZ65" s="21">
        <f>BS!GZ72</f>
        <v>134.5614999999998</v>
      </c>
      <c r="HA65" s="21">
        <f>BS!HA72</f>
        <v>134.5614999999998</v>
      </c>
      <c r="HB65" s="21">
        <f>BS!HB72</f>
        <v>134.5614999999998</v>
      </c>
      <c r="HC65" s="21">
        <f>BS!HC72</f>
        <v>134.5614999999998</v>
      </c>
      <c r="HD65" s="21">
        <f>AVERAGE(GZ65:HC65)</f>
        <v>134.5614999999998</v>
      </c>
      <c r="HF65" s="21">
        <f>BS!HF72</f>
        <v>134.5614999999998</v>
      </c>
      <c r="HG65" s="21">
        <f>BS!HG72</f>
        <v>134.5614999999998</v>
      </c>
      <c r="HH65" s="21">
        <f>BS!HH72</f>
        <v>134.5614999999998</v>
      </c>
      <c r="HI65" s="21">
        <f>BS!HI72</f>
        <v>134.5614999999998</v>
      </c>
      <c r="HJ65" s="21">
        <f>AVERAGE(HF65:HI65)</f>
        <v>134.5614999999998</v>
      </c>
    </row>
    <row r="66" spans="1:223">
      <c r="BY66" s="130"/>
      <c r="CN66" s="109"/>
      <c r="CY66" s="109"/>
      <c r="CZ66" s="109"/>
      <c r="DA66" s="109"/>
      <c r="DB66" s="109"/>
      <c r="DC66" s="109"/>
      <c r="DD66" s="109"/>
      <c r="DE66" s="109"/>
      <c r="DF66" s="109"/>
      <c r="ET66" s="8"/>
      <c r="EX66" s="17"/>
      <c r="EY66" s="17"/>
      <c r="EZ66" s="17"/>
      <c r="FA66" s="17"/>
      <c r="FD66" s="548"/>
      <c r="HH66" s="8"/>
      <c r="HI66" s="8"/>
      <c r="HJ66" s="8"/>
    </row>
    <row r="67" spans="1:223" s="22" customFormat="1">
      <c r="B67" s="22" t="s">
        <v>555</v>
      </c>
      <c r="BY67" s="132"/>
      <c r="CY67" s="109"/>
      <c r="CZ67" s="109"/>
      <c r="DA67" s="109"/>
      <c r="DB67" s="109"/>
      <c r="DC67" s="109"/>
      <c r="DD67" s="109"/>
      <c r="DE67" s="109"/>
      <c r="DF67" s="109"/>
      <c r="DH67" s="22">
        <f>DH62/DH64</f>
        <v>4.5722732184779021E-2</v>
      </c>
      <c r="DI67" s="22">
        <f>DI62/DI64</f>
        <v>5.5124233185627633E-2</v>
      </c>
      <c r="DJ67" s="22">
        <f>DJ62/DJ64</f>
        <v>5.2915086014234496E-2</v>
      </c>
      <c r="DK67" s="22">
        <f>DK62/DK64</f>
        <v>5.8807762410206896E-2</v>
      </c>
      <c r="DL67" s="22">
        <f>DL62/DL64</f>
        <v>0.21314443224555596</v>
      </c>
      <c r="DM67" s="530"/>
      <c r="DN67" s="22">
        <f>DN62/DN64</f>
        <v>7.556470339877551E-2</v>
      </c>
      <c r="DO67" s="22">
        <f>DO62/DO64</f>
        <v>7.3532254290568283E-2</v>
      </c>
      <c r="DP67" s="22">
        <f>DP62/DP64</f>
        <v>7.2522353439397821E-2</v>
      </c>
      <c r="DQ67" s="22">
        <f>DQ62/DQ64</f>
        <v>0.10462387324820628</v>
      </c>
      <c r="DR67" s="22">
        <f>DR62/DR64</f>
        <v>0.32690355329949217</v>
      </c>
      <c r="DS67" s="530"/>
      <c r="DT67" s="22">
        <f>DT62/DT64</f>
        <v>-2.0998430381685265E-2</v>
      </c>
      <c r="DU67" s="22">
        <f>DU62/DU64</f>
        <v>-3.8364214409520966E-2</v>
      </c>
      <c r="DV67" s="22">
        <f>DV62/DV64</f>
        <v>6.3017716660178691E-2</v>
      </c>
      <c r="DW67" s="22">
        <f>DW62/DW64</f>
        <v>0.14878597122302151</v>
      </c>
      <c r="DX67" s="22">
        <f>DX62/DX64</f>
        <v>0.17092664476958361</v>
      </c>
      <c r="DY67" s="530"/>
      <c r="DZ67" s="22">
        <f>DZ62/DZ64</f>
        <v>-3.9991738311000904E-2</v>
      </c>
      <c r="EA67" s="22">
        <f>EA62/EA64</f>
        <v>-7.3042684318647003E-3</v>
      </c>
      <c r="EB67" s="22">
        <f>EB62/EB64</f>
        <v>-7.9675911193792359E-2</v>
      </c>
      <c r="EC67" s="22">
        <f>EC62/EC64</f>
        <v>-0.14162915779724092</v>
      </c>
      <c r="ED67" s="22">
        <f>ED62/ED64</f>
        <v>-0.27265300678548232</v>
      </c>
      <c r="EE67" s="530"/>
      <c r="EF67" s="22">
        <f>EF62/EF64</f>
        <v>-0.20184421256976473</v>
      </c>
      <c r="EG67" s="22">
        <f>EG62/EG64</f>
        <v>-0.16116162104652307</v>
      </c>
      <c r="EH67" s="22">
        <f>EH62/EH64</f>
        <v>-0.14384569017480406</v>
      </c>
      <c r="EI67" s="22">
        <f>EI62/EI64</f>
        <v>-5.571948618438971E-2</v>
      </c>
      <c r="EJ67" s="22">
        <f>EJ62/EJ64</f>
        <v>-0.56188766432935922</v>
      </c>
      <c r="EK67" s="530"/>
      <c r="EL67" s="22">
        <f>EL62/EL64</f>
        <v>-9.4156415465583149E-2</v>
      </c>
      <c r="EM67" s="22">
        <f>EM62/EM64</f>
        <v>-5.3391939755576129E-2</v>
      </c>
      <c r="EN67" s="22">
        <f>EN62/EN64</f>
        <v>-2.1402372560408046E-3</v>
      </c>
      <c r="EO67" s="22">
        <f>EO62/EO64</f>
        <v>3.0922186311334168E-2</v>
      </c>
      <c r="EP67" s="22">
        <f>EP62/EP64</f>
        <v>-0.11946834974278951</v>
      </c>
      <c r="EQ67" s="530"/>
      <c r="ER67" s="22">
        <f>ER62/ER64</f>
        <v>-2.0965657238464462E-2</v>
      </c>
      <c r="ES67" s="22">
        <f>ES62/ES64</f>
        <v>3.4998615561093419E-2</v>
      </c>
      <c r="ET67" s="22">
        <f>ET62/ET64</f>
        <v>5.4602884532071079E-2</v>
      </c>
      <c r="EU67" s="22">
        <f>EU62/EU64</f>
        <v>4.3685121107266502E-2</v>
      </c>
      <c r="EV67" s="22">
        <f>EV62/EV64</f>
        <v>0.11264258461319883</v>
      </c>
      <c r="EW67" s="530"/>
      <c r="EX67" s="22">
        <f>EX62/EX64</f>
        <v>-3.6035045848510729E-3</v>
      </c>
      <c r="EY67" s="22">
        <f>EY62/EY64</f>
        <v>2.8050238767008927E-2</v>
      </c>
      <c r="EZ67" s="22">
        <f>EZ62/EZ64</f>
        <v>2.8415683526067822E-2</v>
      </c>
      <c r="FA67" s="22">
        <f>FA62/FA64</f>
        <v>6.2584865108122903E-2</v>
      </c>
      <c r="FB67" s="22">
        <f>FB62/FB64</f>
        <v>0.1158360660214855</v>
      </c>
      <c r="FC67" s="530"/>
      <c r="FD67" s="550">
        <f>FD62/FD64</f>
        <v>-6.5662617309505174E-4</v>
      </c>
      <c r="FE67" s="22">
        <f>FE62/FE64</f>
        <v>2.10747941299495E-2</v>
      </c>
      <c r="FF67" s="22">
        <f>FF62/FF64</f>
        <v>5.8043439115124162E-2</v>
      </c>
      <c r="FG67" s="22">
        <f>FG62/FG64</f>
        <v>7.480666486749743E-2</v>
      </c>
      <c r="FH67" s="22">
        <f>FH62/FH64</f>
        <v>0.15362635745998199</v>
      </c>
      <c r="FI67" s="530"/>
      <c r="FJ67" s="22">
        <f>FJ62/FJ64</f>
        <v>7.1185903438561349E-2</v>
      </c>
      <c r="FK67" s="22">
        <f>FK62/FK64</f>
        <v>7.5699363904653566E-2</v>
      </c>
      <c r="FL67" s="22">
        <f>FL62/FL64</f>
        <v>7.9073325164144712E-2</v>
      </c>
      <c r="FM67" s="22">
        <f>FM62/FM64</f>
        <v>6.4739093391977615E-2</v>
      </c>
      <c r="FN67" s="22">
        <f>FN62/FN64</f>
        <v>0.29067923547662267</v>
      </c>
      <c r="FO67" s="530"/>
      <c r="FP67" s="22">
        <f>FP62/FP64</f>
        <v>9.9150387640841803E-2</v>
      </c>
      <c r="FQ67" s="22">
        <f>FQ62/FQ64</f>
        <v>0.10630137596764822</v>
      </c>
      <c r="FR67" s="22">
        <f>FR62/FR64</f>
        <v>0.11185365876789156</v>
      </c>
      <c r="FS67" s="22">
        <f>FS62/FS64</f>
        <v>0.11526985436306415</v>
      </c>
      <c r="FT67" s="22">
        <f>FT62/FT64</f>
        <v>0.43262686239593079</v>
      </c>
      <c r="FU67" s="530"/>
      <c r="FV67" s="22">
        <f>FV62/FV64</f>
        <v>0.10512501519069979</v>
      </c>
      <c r="FW67" s="22">
        <f>FW62/FW64</f>
        <v>0.11466749765861611</v>
      </c>
      <c r="FX67" s="22">
        <f>FX62/FX64</f>
        <v>0.12112405186393278</v>
      </c>
      <c r="FY67" s="22">
        <f>FY62/FY64</f>
        <v>0.12503483876682417</v>
      </c>
      <c r="FZ67" s="22">
        <f>FZ62/FZ64</f>
        <v>0.46600187415564259</v>
      </c>
      <c r="GA67" s="530"/>
      <c r="GB67" s="22">
        <f>GB62/GB64</f>
        <v>0.15045070935627111</v>
      </c>
      <c r="GC67" s="22">
        <f>GC62/GC64</f>
        <v>0.16159615137843319</v>
      </c>
      <c r="GD67" s="22">
        <f>GD62/GD64</f>
        <v>0.17046472374547345</v>
      </c>
      <c r="GE67" s="22">
        <f>GE62/GE64</f>
        <v>0.17590649273704045</v>
      </c>
      <c r="GF67" s="22">
        <f>GF62/GF64</f>
        <v>0.65846680401713875</v>
      </c>
      <c r="GG67" s="530"/>
      <c r="GH67" s="22">
        <f>GH62/GH64</f>
        <v>0.20060221058067657</v>
      </c>
      <c r="GI67" s="22">
        <f>GI62/GI64</f>
        <v>0.21500341776013565</v>
      </c>
      <c r="GJ67" s="22">
        <f>GJ62/GJ64</f>
        <v>0.22659316893755568</v>
      </c>
      <c r="GK67" s="22">
        <f>GK62/GK64</f>
        <v>0.24661273881538479</v>
      </c>
      <c r="GL67" s="22">
        <f>GL62/GL64</f>
        <v>0.88886888627845539</v>
      </c>
      <c r="GM67" s="530"/>
      <c r="GN67" s="22">
        <f>GN62/GN64</f>
        <v>0.26770507381341807</v>
      </c>
      <c r="GO67" s="22">
        <f>GO62/GO64</f>
        <v>0.28585527863620502</v>
      </c>
      <c r="GP67" s="22">
        <f>GP62/GP64</f>
        <v>0.30060711457610351</v>
      </c>
      <c r="GQ67" s="22">
        <f>GQ62/GQ64</f>
        <v>0.30985245277578294</v>
      </c>
      <c r="GR67" s="22">
        <f>GR62/GR64</f>
        <v>1.1640476767537566</v>
      </c>
      <c r="GS67" s="530"/>
      <c r="GT67" s="22">
        <f>GT62/GT64</f>
        <v>0.32680479720450223</v>
      </c>
      <c r="GU67" s="22">
        <f>GU62/GU64</f>
        <v>0.348723663944916</v>
      </c>
      <c r="GV67" s="22">
        <f>GV62/GV64</f>
        <v>0.36665804676683394</v>
      </c>
      <c r="GW67" s="22">
        <f>GW62/GW64</f>
        <v>0.37798181582982143</v>
      </c>
      <c r="GX67" s="22">
        <f>GX62/GX64</f>
        <v>1.4201683237460743</v>
      </c>
      <c r="GY67" s="530"/>
      <c r="GZ67" s="22">
        <f>GZ62/GZ64</f>
        <v>0.39426181911544361</v>
      </c>
      <c r="HA67" s="22">
        <f>HA62/HA64</f>
        <v>0.42031934091049505</v>
      </c>
      <c r="HB67" s="22">
        <f>HB62/HB64</f>
        <v>0.44172178288992486</v>
      </c>
      <c r="HC67" s="22">
        <f>HC62/HC64</f>
        <v>0.45525899102703504</v>
      </c>
      <c r="HD67" s="22">
        <f>HD62/HD64</f>
        <v>1.7115619339428978</v>
      </c>
      <c r="HE67" s="530"/>
      <c r="HF67" s="22">
        <f>HF62/HF64</f>
        <v>0.46786137520093779</v>
      </c>
      <c r="HG67" s="13">
        <f>HG62/HG64</f>
        <v>0.49837184690814129</v>
      </c>
      <c r="HH67" s="22">
        <f>HH62/HH64</f>
        <v>0.52351092360898621</v>
      </c>
      <c r="HI67" s="22">
        <f>HI62/HI64</f>
        <v>0.5394364675568315</v>
      </c>
      <c r="HJ67" s="22">
        <f>HJ62/HJ64</f>
        <v>2.0291806132748964</v>
      </c>
      <c r="HK67" s="491"/>
      <c r="HL67" s="491"/>
      <c r="HM67" s="491"/>
      <c r="HN67" s="491"/>
      <c r="HO67" s="491"/>
    </row>
    <row r="68" spans="1:223" s="22" customFormat="1">
      <c r="B68" s="22" t="s">
        <v>556</v>
      </c>
      <c r="BY68" s="132"/>
      <c r="CY68" s="109"/>
      <c r="CZ68" s="109"/>
      <c r="DA68" s="109"/>
      <c r="DB68" s="109"/>
      <c r="DC68" s="109"/>
      <c r="DD68" s="109"/>
      <c r="DE68" s="109"/>
      <c r="DF68" s="109"/>
      <c r="DH68" s="22">
        <f>DH62/DH65</f>
        <v>4.5722732184779021E-2</v>
      </c>
      <c r="DI68" s="22">
        <f>DI62/DI65</f>
        <v>4.9529766657794266E-2</v>
      </c>
      <c r="DJ68" s="22">
        <f>DJ62/DJ65</f>
        <v>5.07769969316045E-2</v>
      </c>
      <c r="DK68" s="22">
        <f>DK62/DK65</f>
        <v>5.6619939302599225E-2</v>
      </c>
      <c r="DL68" s="22">
        <f>DL62/DL65</f>
        <v>0.19929451336711526</v>
      </c>
      <c r="DM68" s="530"/>
      <c r="DN68" s="22">
        <f>DN62/DN65</f>
        <v>7.556470339877551E-2</v>
      </c>
      <c r="DO68" s="22">
        <f>DO62/DO65</f>
        <v>7.0630081300812914E-2</v>
      </c>
      <c r="DP68" s="22">
        <f>DP62/DP65</f>
        <v>6.9846125324434516E-2</v>
      </c>
      <c r="DQ68" s="22">
        <f>DQ62/DQ65</f>
        <v>0.10130221859464271</v>
      </c>
      <c r="DR68" s="22">
        <f>DR62/DR65</f>
        <v>0.31698113207547152</v>
      </c>
      <c r="DS68" s="530"/>
      <c r="DT68" s="22">
        <f>DT62/DT65</f>
        <v>-2.0998430381685265E-2</v>
      </c>
      <c r="DU68" s="22">
        <f>DU62/DU65</f>
        <v>-3.8364214409520966E-2</v>
      </c>
      <c r="DV68" s="22">
        <f>DV62/DV65</f>
        <v>5.8402060558263615E-2</v>
      </c>
      <c r="DW68" s="22">
        <f>DW62/DW65</f>
        <v>0.14483175181203814</v>
      </c>
      <c r="DX68" s="22">
        <f>DX62/DX65</f>
        <v>0.1657385513680458</v>
      </c>
      <c r="DY68" s="530"/>
      <c r="DZ68" s="22">
        <f>DZ62/DZ65</f>
        <v>-3.9991738311000904E-2</v>
      </c>
      <c r="EA68" s="22">
        <f>EA62/EA65</f>
        <v>-6.5835092237705823E-3</v>
      </c>
      <c r="EB68" s="22">
        <f>EB62/EB65</f>
        <v>-7.9675911193792359E-2</v>
      </c>
      <c r="EC68" s="22">
        <f>EC62/EC65</f>
        <v>-0.14162915779724092</v>
      </c>
      <c r="ED68" s="22">
        <f>ED62/ED65</f>
        <v>-0.27265300678548232</v>
      </c>
      <c r="EE68" s="530"/>
      <c r="EF68" s="22">
        <f>EF62/EF65</f>
        <v>-0.20184421256976473</v>
      </c>
      <c r="EG68" s="22">
        <f>EG62/EG65</f>
        <v>-0.16116162104652307</v>
      </c>
      <c r="EH68" s="22">
        <f>EH62/EH65</f>
        <v>-0.14384569017480406</v>
      </c>
      <c r="EI68" s="22">
        <f>EI62/EI65</f>
        <v>-5.571948618438971E-2</v>
      </c>
      <c r="EJ68" s="22">
        <f>EJ62/EJ65</f>
        <v>-0.56188766432935922</v>
      </c>
      <c r="EK68" s="530"/>
      <c r="EL68" s="22">
        <f>EL62/EL65</f>
        <v>-9.4156415465583149E-2</v>
      </c>
      <c r="EM68" s="22">
        <f>EM62/EM65</f>
        <v>-5.3391939755576129E-2</v>
      </c>
      <c r="EN68" s="22">
        <f>EN62/EN65</f>
        <v>-2.1402372560408046E-3</v>
      </c>
      <c r="EO68" s="22">
        <f>EO62/EO65</f>
        <v>3.0922186311334168E-2</v>
      </c>
      <c r="EP68" s="22">
        <f>EP62/EP65</f>
        <v>-0.11946834974278951</v>
      </c>
      <c r="EQ68" s="530"/>
      <c r="ER68" s="22">
        <f>ER62/ER65</f>
        <v>-2.0965657238464462E-2</v>
      </c>
      <c r="ES68" s="22">
        <f>ES62/ES65</f>
        <v>3.4998615561093419E-2</v>
      </c>
      <c r="ET68" s="22">
        <f>ET62/ET65</f>
        <v>5.4602884532071079E-2</v>
      </c>
      <c r="EU68" s="22">
        <f>EU62/EU65</f>
        <v>4.3685121107266502E-2</v>
      </c>
      <c r="EV68" s="22">
        <f>EV62/EV65</f>
        <v>0.11264258461319883</v>
      </c>
      <c r="EW68" s="530"/>
      <c r="EX68" s="22">
        <f>EX62/EX65</f>
        <v>-3.6035045848510729E-3</v>
      </c>
      <c r="EY68" s="22">
        <f>EY62/EY65</f>
        <v>2.8050238767008927E-2</v>
      </c>
      <c r="EZ68" s="22">
        <f>EZ62/EZ65</f>
        <v>2.8415683526067822E-2</v>
      </c>
      <c r="FA68" s="22">
        <f>FA62/FA65</f>
        <v>6.2584865108122903E-2</v>
      </c>
      <c r="FB68" s="22">
        <f>FB62/FB65</f>
        <v>0.1158360660214855</v>
      </c>
      <c r="FC68" s="530"/>
      <c r="FD68" s="550">
        <f>FD62/FD65</f>
        <v>-6.5662617309505174E-4</v>
      </c>
      <c r="FE68" s="22">
        <f>FE62/FE65</f>
        <v>2.10747941299495E-2</v>
      </c>
      <c r="FF68" s="22">
        <f>FF62/FF65</f>
        <v>5.8043439115124162E-2</v>
      </c>
      <c r="FG68" s="22">
        <f>FG62/FG65</f>
        <v>7.480666486749743E-2</v>
      </c>
      <c r="FH68" s="22">
        <f>FH62/FH65</f>
        <v>0.15362635745998199</v>
      </c>
      <c r="FI68" s="530"/>
      <c r="FJ68" s="22">
        <f>FJ62/FJ65</f>
        <v>7.1185903438561349E-2</v>
      </c>
      <c r="FK68" s="22">
        <f>FK62/FK65</f>
        <v>7.5699363904653566E-2</v>
      </c>
      <c r="FL68" s="22">
        <f>FL62/FL65</f>
        <v>7.9073325164144712E-2</v>
      </c>
      <c r="FM68" s="22">
        <f>FM62/FM65</f>
        <v>6.4739093391977615E-2</v>
      </c>
      <c r="FN68" s="22">
        <f>FN62/FN65</f>
        <v>0.29067923547662267</v>
      </c>
      <c r="FO68" s="530"/>
      <c r="FP68" s="22">
        <f>FP62/FP65</f>
        <v>9.9150387640841803E-2</v>
      </c>
      <c r="FQ68" s="22">
        <f>FQ62/FQ65</f>
        <v>0.10630137596764822</v>
      </c>
      <c r="FR68" s="22">
        <f>FR62/FR65</f>
        <v>0.11185365876789156</v>
      </c>
      <c r="FS68" s="22">
        <f>FS62/FS65</f>
        <v>0.11526985436306415</v>
      </c>
      <c r="FT68" s="22">
        <f>FT62/FT65</f>
        <v>0.43262686239593079</v>
      </c>
      <c r="FU68" s="530"/>
      <c r="FV68" s="22">
        <f>FV62/FV65</f>
        <v>0.10512501519069979</v>
      </c>
      <c r="FW68" s="22">
        <f>FW62/FW65</f>
        <v>0.11466749765861611</v>
      </c>
      <c r="FX68" s="22">
        <f>FX62/FX65</f>
        <v>0.12112405186393278</v>
      </c>
      <c r="FY68" s="22">
        <f>FY62/FY65</f>
        <v>0.12503483876682417</v>
      </c>
      <c r="FZ68" s="22">
        <f>FZ62/FZ65</f>
        <v>0.46600187415564259</v>
      </c>
      <c r="GA68" s="530"/>
      <c r="GB68" s="22">
        <f>GB62/GB65</f>
        <v>0.15045070935627111</v>
      </c>
      <c r="GC68" s="22">
        <f>GC62/GC65</f>
        <v>0.16159615137843319</v>
      </c>
      <c r="GD68" s="22">
        <f>GD62/GD65</f>
        <v>0.17046472374547345</v>
      </c>
      <c r="GE68" s="22">
        <f>GE62/GE65</f>
        <v>0.17590649273704045</v>
      </c>
      <c r="GF68" s="22">
        <f>GF62/GF65</f>
        <v>0.65846680401713875</v>
      </c>
      <c r="GG68" s="530"/>
      <c r="GH68" s="22">
        <f>GH62/GH65</f>
        <v>0.20060221058067657</v>
      </c>
      <c r="GI68" s="22">
        <f>GI62/GI65</f>
        <v>0.21500341776013565</v>
      </c>
      <c r="GJ68" s="22">
        <f>GJ62/GJ65</f>
        <v>0.22659316893755568</v>
      </c>
      <c r="GK68" s="22">
        <f>GK62/GK65</f>
        <v>0.24661273881538479</v>
      </c>
      <c r="GL68" s="22">
        <f>GL62/GL65</f>
        <v>0.88886888627845539</v>
      </c>
      <c r="GM68" s="530"/>
      <c r="GN68" s="22">
        <f>GN62/GN65</f>
        <v>0.26770507381341807</v>
      </c>
      <c r="GO68" s="22">
        <f>GO62/GO65</f>
        <v>0.28585527863620502</v>
      </c>
      <c r="GP68" s="22">
        <f>GP62/GP65</f>
        <v>0.30060711457610351</v>
      </c>
      <c r="GQ68" s="22">
        <f>GQ62/GQ65</f>
        <v>0.30985245277578294</v>
      </c>
      <c r="GR68" s="22">
        <f>GR62/GR65</f>
        <v>1.1640476767537566</v>
      </c>
      <c r="GS68" s="530"/>
      <c r="GT68" s="22">
        <f>GT62/GT65</f>
        <v>0.32680479720450223</v>
      </c>
      <c r="GU68" s="22">
        <f>GU62/GU65</f>
        <v>0.348723663944916</v>
      </c>
      <c r="GV68" s="22">
        <f>GV62/GV65</f>
        <v>0.36665804676683394</v>
      </c>
      <c r="GW68" s="22">
        <f>GW62/GW65</f>
        <v>0.37798181582982143</v>
      </c>
      <c r="GX68" s="22">
        <f>GX62/GX65</f>
        <v>1.4201683237460743</v>
      </c>
      <c r="GY68" s="530"/>
      <c r="GZ68" s="22">
        <f>GZ62/GZ65</f>
        <v>0.39426181911544361</v>
      </c>
      <c r="HA68" s="22">
        <f>HA62/HA65</f>
        <v>0.42031934091049505</v>
      </c>
      <c r="HB68" s="22">
        <f>HB62/HB65</f>
        <v>0.44172178288992486</v>
      </c>
      <c r="HC68" s="22">
        <f>HC62/HC65</f>
        <v>0.45525899102703504</v>
      </c>
      <c r="HD68" s="22">
        <f>HD62/HD65</f>
        <v>1.7115619339428978</v>
      </c>
      <c r="HE68" s="530"/>
      <c r="HF68" s="22">
        <f>HF62/HF65</f>
        <v>0.46786137520093779</v>
      </c>
      <c r="HG68" s="13">
        <f>HG62/HG65</f>
        <v>0.49837184690814129</v>
      </c>
      <c r="HH68" s="22">
        <f>HH62/HH65</f>
        <v>0.52351092360898621</v>
      </c>
      <c r="HI68" s="22">
        <f>HI62/HI65</f>
        <v>0.5394364675568315</v>
      </c>
      <c r="HJ68" s="22">
        <f>HJ62/HJ65</f>
        <v>2.0291806132748964</v>
      </c>
      <c r="HK68" s="491"/>
      <c r="HL68" s="491"/>
      <c r="HM68" s="491"/>
      <c r="HN68" s="491"/>
      <c r="HO68" s="491"/>
    </row>
    <row r="69" spans="1:223" s="22" customFormat="1" ht="9" customHeight="1">
      <c r="BY69" s="132"/>
      <c r="CY69" s="109"/>
      <c r="CZ69" s="109"/>
      <c r="DA69" s="109"/>
      <c r="DB69" s="109"/>
      <c r="DC69" s="109"/>
      <c r="DD69" s="109"/>
      <c r="DE69" s="109"/>
      <c r="DF69" s="109"/>
      <c r="EX69" s="17"/>
      <c r="EY69" s="17"/>
      <c r="EZ69" s="17"/>
      <c r="FA69" s="17"/>
      <c r="FD69" s="550"/>
      <c r="HK69" s="491"/>
      <c r="HL69" s="491"/>
      <c r="HM69" s="491"/>
      <c r="HN69" s="491"/>
      <c r="HO69" s="491"/>
    </row>
    <row r="70" spans="1:223" s="22" customFormat="1" ht="12.95" customHeight="1">
      <c r="B70" s="22" t="s">
        <v>554</v>
      </c>
      <c r="BY70" s="132"/>
      <c r="CY70" s="109"/>
      <c r="CZ70" s="109"/>
      <c r="DA70" s="109"/>
      <c r="DB70" s="109"/>
      <c r="DC70" s="109"/>
      <c r="DD70" s="109"/>
      <c r="DE70" s="109"/>
      <c r="DF70" s="109"/>
      <c r="DH70" s="17">
        <f>DH56+DH33-DH59</f>
        <v>9.2380000000000049</v>
      </c>
      <c r="DI70" s="17">
        <f>DI56+DI33-DI59</f>
        <v>10.056999999999993</v>
      </c>
      <c r="DJ70" s="17">
        <f>DJ56+DJ33-DJ59</f>
        <v>11.265000000000002</v>
      </c>
      <c r="DK70" s="17">
        <f>DK56+DK33-DK59</f>
        <v>12.998999999999997</v>
      </c>
      <c r="DL70" s="17">
        <f>SUM(DH70:DK70)</f>
        <v>43.558999999999997</v>
      </c>
      <c r="DN70" s="17">
        <f>DN56+DN33-DN59</f>
        <v>13.75899999999999</v>
      </c>
      <c r="DO70" s="17">
        <f>DO56+DO33-DO59</f>
        <v>14.936999999999991</v>
      </c>
      <c r="DP70" s="17">
        <f>DP56+DP33-DP59</f>
        <v>14.894999999999992</v>
      </c>
      <c r="DQ70" s="17">
        <f>DQ56+DQ33-DQ59</f>
        <v>13.594999999999999</v>
      </c>
      <c r="DR70" s="17">
        <f>SUM(DN70:DQ70)</f>
        <v>57.185999999999972</v>
      </c>
      <c r="DT70" s="17">
        <f>DT56+DT33-DT59</f>
        <v>7.0739999999999972</v>
      </c>
      <c r="DU70" s="17">
        <f>DU56+DU33-DU59</f>
        <v>-7.2239999999999895</v>
      </c>
      <c r="DV70" s="17">
        <f>DV56+DV33-DV59</f>
        <v>16.731999999999996</v>
      </c>
      <c r="DW70" s="17">
        <f>DW56+DW33-DW59</f>
        <v>18.259999999999994</v>
      </c>
      <c r="DX70" s="17">
        <f>SUM(DT70:DW70)</f>
        <v>34.841999999999999</v>
      </c>
      <c r="DZ70" s="17">
        <f>DZ56+DZ33-DZ59</f>
        <v>4.1860000000000062</v>
      </c>
      <c r="EA70" s="17">
        <f>EA56+EA33-EA59</f>
        <v>4.5500000000000203</v>
      </c>
      <c r="EB70" s="17">
        <f>EB56+EB33-EB59</f>
        <v>-3.1129999999999978</v>
      </c>
      <c r="EC70" s="17">
        <f>EC56+EC33-EC59</f>
        <v>-9.7850000000000072</v>
      </c>
      <c r="ED70" s="17">
        <f>SUM(DZ70:EC70)</f>
        <v>-4.1619999999999795</v>
      </c>
      <c r="EF70" s="17">
        <f>EF56+EF33-EF59</f>
        <v>-19.011000000000013</v>
      </c>
      <c r="EG70" s="17">
        <f>EG56+EG33-EG59</f>
        <v>-16.274000000000026</v>
      </c>
      <c r="EH70" s="17">
        <f>EH56+EH33-EH59</f>
        <v>-11.556999999999993</v>
      </c>
      <c r="EI70" s="17">
        <f>EI56+EI33-EI59</f>
        <v>-1.1669999999999754</v>
      </c>
      <c r="EJ70" s="17">
        <f>SUM(EF70:EI70)</f>
        <v>-48.009000000000007</v>
      </c>
      <c r="EL70" s="17">
        <f>EL56+EL33-EL59</f>
        <v>-7.1249999999999973</v>
      </c>
      <c r="EM70" s="17">
        <f>EM56+EM33-EM59</f>
        <v>-2.0510000000000006</v>
      </c>
      <c r="EN70" s="17">
        <f>EN56+EN33-EN59</f>
        <v>3.3050000000000068</v>
      </c>
      <c r="EO70" s="17">
        <f>EO56+EO33-EO59</f>
        <v>9.3480000000000043</v>
      </c>
      <c r="EP70" s="17">
        <f>SUM(EL70:EO70)</f>
        <v>3.4770000000000127</v>
      </c>
      <c r="ER70" s="17">
        <f>ER56+ER33-ER59</f>
        <v>3.492000000000008</v>
      </c>
      <c r="ES70" s="17">
        <f>ES56+ES33-ES59</f>
        <v>10.869000000000014</v>
      </c>
      <c r="ET70" s="17">
        <f>ET56+ET33-ET59</f>
        <v>13.374000000000025</v>
      </c>
      <c r="EU70" s="17">
        <f>EU56+EU33-EU59</f>
        <v>11.873000000000005</v>
      </c>
      <c r="EV70" s="17">
        <f>SUM(ER70:EU70)</f>
        <v>39.608000000000054</v>
      </c>
      <c r="EW70" s="354"/>
      <c r="EX70" s="17">
        <f>EX56+EX33-EX59</f>
        <v>7.0700000000000101</v>
      </c>
      <c r="EY70" s="17">
        <f>EY56+EY33-EY59</f>
        <v>10.675000000000026</v>
      </c>
      <c r="EZ70" s="17">
        <f>EZ56+EZ33-EZ59</f>
        <v>12.231999999999996</v>
      </c>
      <c r="FA70" s="17">
        <f>FA56+FA33-FA59</f>
        <v>13.379999999999987</v>
      </c>
      <c r="FB70" s="17">
        <f>SUM(EX70:FA70)</f>
        <v>43.357000000000021</v>
      </c>
      <c r="FC70" s="354"/>
      <c r="FD70" s="565">
        <f>FD56+FD33</f>
        <v>9.0872575071845212</v>
      </c>
      <c r="FE70" s="17">
        <f>FE56+FE33</f>
        <v>11.806547685200181</v>
      </c>
      <c r="FF70" s="17">
        <f>FF56+FF33</f>
        <v>16.539810497484552</v>
      </c>
      <c r="FG70" s="17">
        <f>FG56+FG33</f>
        <v>18.633801130905447</v>
      </c>
      <c r="FH70" s="17">
        <f>SUM(FD70:FG70)</f>
        <v>56.067416820774703</v>
      </c>
      <c r="FI70" s="354"/>
      <c r="FJ70" s="17">
        <f>FJ56+FJ33</f>
        <v>17.732715774384324</v>
      </c>
      <c r="FK70" s="17">
        <f>FK56+FK33</f>
        <v>18.249163923393187</v>
      </c>
      <c r="FL70" s="17">
        <f>FL56+FL33</f>
        <v>18.67734226890185</v>
      </c>
      <c r="FM70" s="17">
        <f>FM56+FM33</f>
        <v>18.928886625081997</v>
      </c>
      <c r="FN70" s="17">
        <f>SUM(FJ70:FM70)</f>
        <v>73.588108591761369</v>
      </c>
      <c r="FO70" s="354"/>
      <c r="FP70" s="17">
        <f>FP56+FP33</f>
        <v>23.094320202643797</v>
      </c>
      <c r="FQ70" s="17">
        <f>FQ56+FQ33</f>
        <v>24.011234747069395</v>
      </c>
      <c r="FR70" s="17">
        <f>FR56+FR33</f>
        <v>24.773497776260207</v>
      </c>
      <c r="FS70" s="17">
        <f>FS56+FS33</f>
        <v>25.240054987039997</v>
      </c>
      <c r="FT70" s="17">
        <f>SUM(FP70:FS70)</f>
        <v>97.119107713013392</v>
      </c>
      <c r="FU70" s="354"/>
      <c r="FV70" s="17">
        <f>FV56+FV33</f>
        <v>30.054365017025731</v>
      </c>
      <c r="FW70" s="17">
        <f>FW56+FW33</f>
        <v>31.436033077129036</v>
      </c>
      <c r="FX70" s="17">
        <f>FX56+FX33</f>
        <v>32.585531927473909</v>
      </c>
      <c r="FY70" s="17">
        <f>FY56+FY33</f>
        <v>33.292387403132125</v>
      </c>
      <c r="FZ70" s="17">
        <f>SUM(FV70:FY70)</f>
        <v>127.3683174247608</v>
      </c>
      <c r="GA70" s="354"/>
      <c r="GB70" s="17">
        <f>GB56+GB33</f>
        <v>38.101482824328308</v>
      </c>
      <c r="GC70" s="17">
        <f>GC56+GC33</f>
        <v>39.926112266149083</v>
      </c>
      <c r="GD70" s="17">
        <f>GD56+GD33</f>
        <v>41.440525770117446</v>
      </c>
      <c r="GE70" s="17">
        <f>GE56+GE33</f>
        <v>42.359621247919222</v>
      </c>
      <c r="GF70" s="17">
        <f>SUM(GB70:GE70)</f>
        <v>161.82774210851406</v>
      </c>
      <c r="GG70" s="354"/>
      <c r="GH70" s="17">
        <f>GH56+GH33</f>
        <v>46.582031909325067</v>
      </c>
      <c r="GI70" s="17">
        <f>GI56+GI33</f>
        <v>48.950679457878017</v>
      </c>
      <c r="GJ70" s="17">
        <f>GJ56+GJ33</f>
        <v>50.917273641780781</v>
      </c>
      <c r="GK70" s="17">
        <f>GK56+GK33</f>
        <v>52.113368762320214</v>
      </c>
      <c r="GL70" s="17">
        <f>SUM(GH70:GK70)</f>
        <v>198.56335377130409</v>
      </c>
      <c r="GM70" s="354"/>
      <c r="GN70" s="17">
        <f>GN56+GN33</f>
        <v>56.682390806842932</v>
      </c>
      <c r="GO70" s="17">
        <f>GO56+GO33</f>
        <v>59.593050669630657</v>
      </c>
      <c r="GP70" s="17">
        <f>GP56+GP33</f>
        <v>62.005220064445382</v>
      </c>
      <c r="GQ70" s="17">
        <f>GQ56+GQ33</f>
        <v>63.45710041036287</v>
      </c>
      <c r="GR70" s="17">
        <f>SUM(GN70:GQ70)</f>
        <v>241.73776195128184</v>
      </c>
      <c r="GS70" s="354"/>
      <c r="GT70" s="17">
        <f>GT56+GT33</f>
        <v>66.288454221703034</v>
      </c>
      <c r="GU70" s="17">
        <f>GU56+GU33</f>
        <v>69.808142627143596</v>
      </c>
      <c r="GV70" s="17">
        <f>GV56+GV33</f>
        <v>72.7261993379486</v>
      </c>
      <c r="GW70" s="17">
        <f>GW56+GW33</f>
        <v>74.4873681550296</v>
      </c>
      <c r="GX70" s="17">
        <f>SUM(GT70:GW70)</f>
        <v>283.31016434182482</v>
      </c>
      <c r="GY70" s="354"/>
      <c r="GZ70" s="17">
        <f>GZ56+GZ33</f>
        <v>77.189351962212243</v>
      </c>
      <c r="HA70" s="17">
        <f>HA56+HA33</f>
        <v>81.376758619375195</v>
      </c>
      <c r="HB70" s="17">
        <f>HB56+HB33</f>
        <v>84.848439421446315</v>
      </c>
      <c r="HC70" s="17">
        <f>HC56+HC33</f>
        <v>86.943912716771763</v>
      </c>
      <c r="HD70" s="17">
        <f>SUM(GZ70:HC70)</f>
        <v>330.35846271980552</v>
      </c>
      <c r="HE70" s="354"/>
      <c r="HF70" s="17">
        <f>HF56+HF33</f>
        <v>73.253985906388579</v>
      </c>
      <c r="HG70" s="17">
        <f>HG56+HG33</f>
        <v>77.833489987458705</v>
      </c>
      <c r="HH70" s="17">
        <f>HH56+HH33</f>
        <v>81.61004722837697</v>
      </c>
      <c r="HI70" s="17">
        <f>HI56+HI33</f>
        <v>83.806287108621348</v>
      </c>
      <c r="HJ70" s="17">
        <f>SUM(HF70:HI70)</f>
        <v>316.5038102308456</v>
      </c>
      <c r="HK70" s="491"/>
      <c r="HL70" s="491"/>
      <c r="HM70" s="491"/>
      <c r="HN70" s="491"/>
      <c r="HO70" s="491"/>
    </row>
    <row r="71" spans="1:223" s="23" customFormat="1" ht="9" customHeight="1">
      <c r="BY71" s="133"/>
      <c r="FD71" s="551"/>
      <c r="HH71" s="515"/>
      <c r="HI71" s="515"/>
      <c r="HJ71" s="515"/>
      <c r="HK71" s="515"/>
      <c r="HL71" s="515"/>
      <c r="HM71" s="515"/>
      <c r="HN71" s="515"/>
      <c r="HO71" s="515"/>
    </row>
    <row r="72" spans="1:223" ht="9" customHeight="1">
      <c r="BY72" s="130"/>
      <c r="ET72" s="8"/>
      <c r="FD72" s="548"/>
    </row>
    <row r="73" spans="1:223">
      <c r="B73" s="24" t="s">
        <v>32</v>
      </c>
      <c r="BY73" s="130"/>
      <c r="CY73" s="109"/>
      <c r="CZ73" s="109"/>
      <c r="DA73" s="109"/>
      <c r="DB73" s="109"/>
      <c r="DC73" s="109"/>
      <c r="DD73" s="109"/>
      <c r="DE73" s="109"/>
      <c r="DF73" s="109"/>
      <c r="ET73" s="8"/>
      <c r="FD73" s="548"/>
    </row>
    <row r="74" spans="1:223" s="33" customFormat="1">
      <c r="A74" s="25"/>
      <c r="B74" s="25" t="s">
        <v>33</v>
      </c>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134"/>
      <c r="BZ74" s="134"/>
      <c r="CA74" s="134"/>
      <c r="CB74" s="25"/>
      <c r="CC74" s="25"/>
      <c r="CD74" s="25"/>
      <c r="CE74" s="25"/>
      <c r="CF74" s="134"/>
      <c r="CG74" s="134"/>
      <c r="CH74" s="25"/>
      <c r="CI74" s="25"/>
      <c r="CJ74" s="25"/>
      <c r="CK74" s="138"/>
      <c r="CL74" s="145"/>
      <c r="CM74" s="134"/>
      <c r="CN74" s="25"/>
      <c r="CO74" s="25"/>
      <c r="CP74" s="25"/>
      <c r="CQ74" s="25"/>
      <c r="CR74" s="145"/>
      <c r="CS74" s="145"/>
      <c r="CT74" s="25"/>
      <c r="CU74" s="25"/>
      <c r="CV74" s="145"/>
      <c r="CW74" s="145"/>
      <c r="CX74" s="145"/>
      <c r="CY74" s="109"/>
      <c r="CZ74" s="109"/>
      <c r="DA74" s="109"/>
      <c r="DB74" s="109"/>
      <c r="DC74" s="109"/>
      <c r="DD74" s="109"/>
      <c r="DE74" s="109"/>
      <c r="DF74" s="109"/>
      <c r="DG74" s="25"/>
      <c r="DH74" s="25">
        <f>DH51/DH49</f>
        <v>0.43049051605884309</v>
      </c>
      <c r="DI74" s="25">
        <f>DI51/DI49</f>
        <v>0.45065391314616354</v>
      </c>
      <c r="DJ74" s="25">
        <f>DJ51/DJ49</f>
        <v>0.46776948014356839</v>
      </c>
      <c r="DK74" s="25">
        <f>DK51/DK49</f>
        <v>0.48526969597907815</v>
      </c>
      <c r="DL74" s="25">
        <f>DL51/DL49</f>
        <v>0.45987208209872088</v>
      </c>
      <c r="DN74" s="25">
        <f>DN51/DN49</f>
        <v>0.49295332559088478</v>
      </c>
      <c r="DO74" s="25">
        <f>DO51/DO49</f>
        <v>0.48141338865238464</v>
      </c>
      <c r="DP74" s="25">
        <f>DP51/DP49</f>
        <v>0.48563130541118921</v>
      </c>
      <c r="DQ74" s="25">
        <f>DQ51/DQ49</f>
        <v>0.46714638619605492</v>
      </c>
      <c r="DR74" s="25">
        <f>DR51/DR49</f>
        <v>0.48146173226035271</v>
      </c>
      <c r="DT74" s="25">
        <f>DT51/DT49</f>
        <v>0.43731962652079598</v>
      </c>
      <c r="DU74" s="25">
        <f>DU51/DU49</f>
        <v>0.32199317060832183</v>
      </c>
      <c r="DV74" s="25">
        <f>DV51/DV49</f>
        <v>0.43098912662223776</v>
      </c>
      <c r="DW74" s="25">
        <f>DW51/DW49</f>
        <v>0.45598704731065026</v>
      </c>
      <c r="DX74" s="25">
        <f>DX51/DX49</f>
        <v>0.4182559039527684</v>
      </c>
      <c r="DY74" s="489"/>
      <c r="DZ74" s="25">
        <f>DZ51/DZ49</f>
        <v>0.40571092242043405</v>
      </c>
      <c r="EA74" s="25">
        <f>EA51/EA49</f>
        <v>0.44131806381650296</v>
      </c>
      <c r="EB74" s="25">
        <f>EB51/EB49</f>
        <v>0.42906708422614143</v>
      </c>
      <c r="EC74" s="25">
        <f>EC51/EC49</f>
        <v>0.39854611395666972</v>
      </c>
      <c r="ED74" s="25">
        <f>ED51/ED49</f>
        <v>0.41865137127861424</v>
      </c>
      <c r="EE74" s="489"/>
      <c r="EF74" s="25">
        <f>EF51/EF49</f>
        <v>0.36771671687903795</v>
      </c>
      <c r="EG74" s="25">
        <f>EG51/EG49</f>
        <v>0.39016726365613402</v>
      </c>
      <c r="EH74" s="25">
        <f>EH51/EH49</f>
        <v>0.41734093273904743</v>
      </c>
      <c r="EI74" s="25">
        <f>EI51/EI49</f>
        <v>0.44467755308027834</v>
      </c>
      <c r="EJ74" s="25">
        <f>EJ51/EJ49</f>
        <v>0.40670514470462676</v>
      </c>
      <c r="EK74" s="489"/>
      <c r="EL74" s="25">
        <f>EL51/EL49</f>
        <v>0.43482728465238296</v>
      </c>
      <c r="EM74" s="25">
        <f>EM51/EM49</f>
        <v>0.44068419583846663</v>
      </c>
      <c r="EN74" s="25">
        <f>EN51/EN49</f>
        <v>0.44200218487173748</v>
      </c>
      <c r="EO74" s="25">
        <f>EO51/EO49</f>
        <v>0.46715567784406498</v>
      </c>
      <c r="EP74" s="25">
        <f>EP51/EP49</f>
        <v>0.44662406214558431</v>
      </c>
      <c r="EQ74" s="665"/>
      <c r="ER74" s="25">
        <f>ER51/ER49</f>
        <v>0.45298259088581677</v>
      </c>
      <c r="ES74" s="25">
        <f>ES51/ES49</f>
        <v>0.4727054990212885</v>
      </c>
      <c r="ET74" s="25">
        <f>ET51/ET49</f>
        <v>0.47716655543903141</v>
      </c>
      <c r="EU74" s="25">
        <f>EU51/EU49</f>
        <v>0.47940116279069772</v>
      </c>
      <c r="EV74" s="25">
        <f>EV51/EV49</f>
        <v>0.47091736480533369</v>
      </c>
      <c r="EW74" s="489"/>
      <c r="EX74" s="25">
        <f>EX51/EX49</f>
        <v>0.46746808700568337</v>
      </c>
      <c r="EY74" s="25">
        <f>EY51/EY49</f>
        <v>0.45426570341366573</v>
      </c>
      <c r="EZ74" s="25">
        <f>EZ51/EZ49</f>
        <v>0.4547250488559455</v>
      </c>
      <c r="FA74" s="25">
        <f>FA51/FA49</f>
        <v>0.46435820581584897</v>
      </c>
      <c r="FB74" s="25">
        <f>FB51/FB49</f>
        <v>0.46007325402979654</v>
      </c>
      <c r="FC74" s="489"/>
      <c r="FD74" s="689">
        <f>EX74+0.01</f>
        <v>0.47746808700568338</v>
      </c>
      <c r="FE74" s="687">
        <f>EY74+0.011</f>
        <v>0.46526570341366574</v>
      </c>
      <c r="FF74" s="687">
        <f t="shared" ref="FF74:FG74" si="77">EZ74+0.01</f>
        <v>0.46472504885594551</v>
      </c>
      <c r="FG74" s="687">
        <f t="shared" si="77"/>
        <v>0.47435820581584898</v>
      </c>
      <c r="FH74" s="25">
        <f>FH51/FH49</f>
        <v>0.47035875870559435</v>
      </c>
      <c r="FI74" s="489"/>
      <c r="FJ74" s="25">
        <f>FN74</f>
        <v>0.48285875870559436</v>
      </c>
      <c r="FK74" s="25">
        <f>FN74</f>
        <v>0.48285875870559436</v>
      </c>
      <c r="FL74" s="25">
        <f>FN74</f>
        <v>0.48285875870559436</v>
      </c>
      <c r="FM74" s="25">
        <f>FN74</f>
        <v>0.48285875870559436</v>
      </c>
      <c r="FN74" s="687">
        <f>FH74+0.0125</f>
        <v>0.48285875870559436</v>
      </c>
      <c r="FO74" s="489"/>
      <c r="FP74" s="25">
        <f>FT74</f>
        <v>0.49535875870559437</v>
      </c>
      <c r="FQ74" s="25">
        <f>FT74</f>
        <v>0.49535875870559437</v>
      </c>
      <c r="FR74" s="25">
        <f>FT74</f>
        <v>0.49535875870559437</v>
      </c>
      <c r="FS74" s="25">
        <f>FT74</f>
        <v>0.49535875870559437</v>
      </c>
      <c r="FT74" s="687">
        <f>FN74+0.0125</f>
        <v>0.49535875870559437</v>
      </c>
      <c r="FU74" s="489"/>
      <c r="FV74" s="25">
        <f>FZ74</f>
        <v>0.50785875870559438</v>
      </c>
      <c r="FW74" s="25">
        <f>FZ74</f>
        <v>0.50785875870559438</v>
      </c>
      <c r="FX74" s="25">
        <f>FZ74</f>
        <v>0.50785875870559438</v>
      </c>
      <c r="FY74" s="25">
        <f>FZ74</f>
        <v>0.50785875870559438</v>
      </c>
      <c r="FZ74" s="687">
        <f>FT74+0.0125</f>
        <v>0.50785875870559438</v>
      </c>
      <c r="GA74" s="489"/>
      <c r="GB74" s="25">
        <f>GF74</f>
        <v>0.52035875870559434</v>
      </c>
      <c r="GC74" s="25">
        <f>GF74</f>
        <v>0.52035875870559434</v>
      </c>
      <c r="GD74" s="25">
        <f>GF74</f>
        <v>0.52035875870559434</v>
      </c>
      <c r="GE74" s="25">
        <f>GF74</f>
        <v>0.52035875870559434</v>
      </c>
      <c r="GF74" s="687">
        <f>FZ74+0.0125</f>
        <v>0.52035875870559434</v>
      </c>
      <c r="GG74" s="489"/>
      <c r="GH74" s="25">
        <f>GL74</f>
        <v>0.53285875870559429</v>
      </c>
      <c r="GI74" s="25">
        <f>GL74</f>
        <v>0.53285875870559429</v>
      </c>
      <c r="GJ74" s="25">
        <f>GL74</f>
        <v>0.53285875870559429</v>
      </c>
      <c r="GK74" s="25">
        <f>GL74</f>
        <v>0.53285875870559429</v>
      </c>
      <c r="GL74" s="687">
        <f>GF74+0.0125</f>
        <v>0.53285875870559429</v>
      </c>
      <c r="GM74" s="489"/>
      <c r="GN74" s="25">
        <f>GR74</f>
        <v>0.54535875870559425</v>
      </c>
      <c r="GO74" s="25">
        <f>GR74</f>
        <v>0.54535875870559425</v>
      </c>
      <c r="GP74" s="25">
        <f>GR74</f>
        <v>0.54535875870559425</v>
      </c>
      <c r="GQ74" s="25">
        <f>GR74</f>
        <v>0.54535875870559425</v>
      </c>
      <c r="GR74" s="687">
        <f>GL74+0.0125</f>
        <v>0.54535875870559425</v>
      </c>
      <c r="GS74" s="489"/>
      <c r="GT74" s="25">
        <f>GX74</f>
        <v>0.5578587587055942</v>
      </c>
      <c r="GU74" s="25">
        <f>GX74</f>
        <v>0.5578587587055942</v>
      </c>
      <c r="GV74" s="25">
        <f>GX74</f>
        <v>0.5578587587055942</v>
      </c>
      <c r="GW74" s="25">
        <f>GX74</f>
        <v>0.5578587587055942</v>
      </c>
      <c r="GX74" s="687">
        <f>GR74+0.0125</f>
        <v>0.5578587587055942</v>
      </c>
      <c r="GY74" s="489"/>
      <c r="GZ74" s="25">
        <f>HD74</f>
        <v>0.57035875870559416</v>
      </c>
      <c r="HA74" s="25">
        <f>HD74</f>
        <v>0.57035875870559416</v>
      </c>
      <c r="HB74" s="25">
        <f>HD74</f>
        <v>0.57035875870559416</v>
      </c>
      <c r="HC74" s="25">
        <f>HD74</f>
        <v>0.57035875870559416</v>
      </c>
      <c r="HD74" s="687">
        <f>GX74+0.0125</f>
        <v>0.57035875870559416</v>
      </c>
      <c r="HE74" s="489"/>
      <c r="HF74" s="25">
        <f>HJ74</f>
        <v>0.58285875870559412</v>
      </c>
      <c r="HG74" s="25">
        <f>HJ74</f>
        <v>0.58285875870559412</v>
      </c>
      <c r="HH74" s="25">
        <f>HJ74</f>
        <v>0.58285875870559412</v>
      </c>
      <c r="HI74" s="25">
        <f>HJ74</f>
        <v>0.58285875870559412</v>
      </c>
      <c r="HJ74" s="687">
        <f>HD74+0.0125</f>
        <v>0.58285875870559412</v>
      </c>
      <c r="HK74" s="491"/>
      <c r="HL74" s="491"/>
      <c r="HM74" s="491"/>
      <c r="HN74" s="491"/>
      <c r="HO74" s="491"/>
    </row>
    <row r="75" spans="1:223" s="33" customFormat="1">
      <c r="A75" s="25"/>
      <c r="B75" s="25"/>
      <c r="C75" s="25" t="str">
        <f>C52</f>
        <v>G&amp;A</v>
      </c>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104"/>
      <c r="BE75" s="25"/>
      <c r="BF75" s="25"/>
      <c r="BG75" s="25"/>
      <c r="BH75" s="25"/>
      <c r="BI75" s="25"/>
      <c r="BJ75" s="25"/>
      <c r="BK75" s="25"/>
      <c r="BL75" s="25"/>
      <c r="BM75" s="25"/>
      <c r="BN75" s="25"/>
      <c r="BO75" s="25"/>
      <c r="BP75" s="25"/>
      <c r="BQ75" s="25"/>
      <c r="BR75" s="25"/>
      <c r="BS75" s="113"/>
      <c r="BT75" s="113"/>
      <c r="BU75" s="113"/>
      <c r="BV75" s="113"/>
      <c r="BW75" s="113"/>
      <c r="BX75" s="113"/>
      <c r="BY75" s="135"/>
      <c r="BZ75" s="113"/>
      <c r="CA75" s="113"/>
      <c r="CB75" s="113"/>
      <c r="CC75" s="113"/>
      <c r="CD75" s="113"/>
      <c r="CE75" s="113"/>
      <c r="CF75" s="113"/>
      <c r="CG75" s="113"/>
      <c r="CH75" s="113"/>
      <c r="CI75" s="25"/>
      <c r="CJ75" s="113"/>
      <c r="CK75" s="138"/>
      <c r="CL75" s="145"/>
      <c r="CM75" s="113"/>
      <c r="CN75" s="113"/>
      <c r="CO75" s="25"/>
      <c r="CP75" s="113"/>
      <c r="CQ75" s="113"/>
      <c r="CR75" s="138"/>
      <c r="CS75" s="138"/>
      <c r="CT75" s="113"/>
      <c r="CU75" s="25"/>
      <c r="CV75" s="113"/>
      <c r="CW75" s="113"/>
      <c r="CX75" s="113"/>
      <c r="CY75" s="109"/>
      <c r="CZ75" s="109"/>
      <c r="DA75" s="109"/>
      <c r="DB75" s="109"/>
      <c r="DC75" s="109"/>
      <c r="DD75" s="109"/>
      <c r="DE75" s="109"/>
      <c r="DF75" s="109"/>
      <c r="DG75" s="25"/>
      <c r="DH75" s="25">
        <f>DH52/DH49</f>
        <v>0.22121312457625783</v>
      </c>
      <c r="DI75" s="25">
        <f>DI52/DI49</f>
        <v>0.22742302128538955</v>
      </c>
      <c r="DJ75" s="25">
        <f>DJ52/DJ49</f>
        <v>0.25722183628574735</v>
      </c>
      <c r="DK75" s="25">
        <f>DK52/DK49</f>
        <v>0.26037267080745341</v>
      </c>
      <c r="DL75" s="25">
        <f>DL52/DL49</f>
        <v>0.2425453494254535</v>
      </c>
      <c r="DN75" s="25">
        <f>DN52/DN49</f>
        <v>0.22006340437552971</v>
      </c>
      <c r="DO75" s="25">
        <f>DO52/DO49</f>
        <v>0.22800428657103816</v>
      </c>
      <c r="DP75" s="25">
        <f>DP52/DP49</f>
        <v>0.25509209721797615</v>
      </c>
      <c r="DQ75" s="25">
        <f>DQ52/DQ49</f>
        <v>0.25813152674327206</v>
      </c>
      <c r="DR75" s="25">
        <f>DR52/DR49</f>
        <v>0.2409583445441871</v>
      </c>
      <c r="DT75" s="25">
        <f>DT52/DT49</f>
        <v>0.28708855984155429</v>
      </c>
      <c r="DU75" s="25">
        <f>DU52/DU49</f>
        <v>0.36062407303080124</v>
      </c>
      <c r="DV75" s="25">
        <f>DV52/DV49</f>
        <v>0.24396543477567678</v>
      </c>
      <c r="DW75" s="25">
        <f>DW52/DW49</f>
        <v>0.28103050072620783</v>
      </c>
      <c r="DX75" s="25">
        <f>DX52/DX49</f>
        <v>0.28759044927640576</v>
      </c>
      <c r="DZ75" s="25">
        <f>DZ52/DZ49</f>
        <v>0.24502090311858946</v>
      </c>
      <c r="EA75" s="25">
        <f>EA52/EA49</f>
        <v>0.29221846143735009</v>
      </c>
      <c r="EB75" s="25">
        <f>EB52/EB49</f>
        <v>0.33237184770067574</v>
      </c>
      <c r="EC75" s="25">
        <f>EC52/EC49</f>
        <v>0.34136099004231224</v>
      </c>
      <c r="ED75" s="25">
        <f>ED52/ED49</f>
        <v>0.30377697804591508</v>
      </c>
      <c r="EF75" s="25">
        <f>EF52/EF49</f>
        <v>0.39811724944311216</v>
      </c>
      <c r="EG75" s="25">
        <f>EG52/EG49</f>
        <v>0.37975725981834468</v>
      </c>
      <c r="EH75" s="25">
        <f>EH52/EH49</f>
        <v>0.38965072758615332</v>
      </c>
      <c r="EI75" s="25">
        <f>EI52/EI49</f>
        <v>0.34970621102339494</v>
      </c>
      <c r="EJ75" s="25">
        <f>EJ52/EJ49</f>
        <v>0.37829979910854417</v>
      </c>
      <c r="EL75" s="25">
        <f>EL52/EL49</f>
        <v>0.37947821017344407</v>
      </c>
      <c r="EM75" s="25">
        <f>EM52/EM49</f>
        <v>0.34439173138574841</v>
      </c>
      <c r="EN75" s="25">
        <f>EN52/EN49</f>
        <v>0.33047501217473702</v>
      </c>
      <c r="EO75" s="25">
        <f>EO52/EO49</f>
        <v>0.30743416992388395</v>
      </c>
      <c r="EP75" s="25">
        <f>EP52/EP49</f>
        <v>0.33923835826672499</v>
      </c>
      <c r="EQ75" s="666"/>
      <c r="ER75" s="25">
        <f>ER52/ER49</f>
        <v>0.3141513056835637</v>
      </c>
      <c r="ES75" s="25">
        <f>ES52/ES49</f>
        <v>0.2861545756282598</v>
      </c>
      <c r="ET75" s="25">
        <f>ET52/ET49</f>
        <v>0.28927328629993321</v>
      </c>
      <c r="EU75" s="25">
        <f>EU52/EU49</f>
        <v>0.28879069767441867</v>
      </c>
      <c r="EV75" s="25">
        <f>EV52/EV49</f>
        <v>0.29425522960612566</v>
      </c>
      <c r="EX75" s="25">
        <f>EX52/EX49</f>
        <v>0.28594042907727552</v>
      </c>
      <c r="EY75" s="25">
        <f>EY52/EY49</f>
        <v>0.29052556113163847</v>
      </c>
      <c r="EZ75" s="25">
        <f>EZ52/EZ49</f>
        <v>0.2362391305505413</v>
      </c>
      <c r="FA75" s="25">
        <f>FA52/FA49</f>
        <v>0.26753431140558448</v>
      </c>
      <c r="FB75" s="25">
        <f>FB52/FB49</f>
        <v>0.26943816578948815</v>
      </c>
      <c r="FD75" s="689">
        <f>EX75</f>
        <v>0.28594042907727552</v>
      </c>
      <c r="FE75" s="687">
        <v>0.27500000000000002</v>
      </c>
      <c r="FF75" s="687">
        <v>0.26</v>
      </c>
      <c r="FG75" s="687">
        <v>0.26</v>
      </c>
      <c r="FH75" s="25">
        <f>FH52/FH49</f>
        <v>0.26969473885256595</v>
      </c>
      <c r="FJ75" s="25">
        <f>FN75</f>
        <v>0.26569473885256595</v>
      </c>
      <c r="FK75" s="25">
        <f>FN75</f>
        <v>0.26569473885256595</v>
      </c>
      <c r="FL75" s="25">
        <f>FN75</f>
        <v>0.26569473885256595</v>
      </c>
      <c r="FM75" s="25">
        <f>FN75</f>
        <v>0.26569473885256595</v>
      </c>
      <c r="FN75" s="687">
        <f>FH75-0.004</f>
        <v>0.26569473885256595</v>
      </c>
      <c r="FP75" s="25">
        <f>FT75</f>
        <v>0.26069473885256594</v>
      </c>
      <c r="FQ75" s="25">
        <f>FT75</f>
        <v>0.26069473885256594</v>
      </c>
      <c r="FR75" s="25">
        <f>FT75</f>
        <v>0.26069473885256594</v>
      </c>
      <c r="FS75" s="25">
        <f>FT75</f>
        <v>0.26069473885256594</v>
      </c>
      <c r="FT75" s="687">
        <f>FN75-0.005</f>
        <v>0.26069473885256594</v>
      </c>
      <c r="FV75" s="25">
        <f>FZ75</f>
        <v>0.25369473885256594</v>
      </c>
      <c r="FW75" s="25">
        <f>FZ75</f>
        <v>0.25369473885256594</v>
      </c>
      <c r="FX75" s="25">
        <f>FZ75</f>
        <v>0.25369473885256594</v>
      </c>
      <c r="FY75" s="25">
        <f>FZ75</f>
        <v>0.25369473885256594</v>
      </c>
      <c r="FZ75" s="687">
        <f>FT75-0.007</f>
        <v>0.25369473885256594</v>
      </c>
      <c r="GB75" s="25">
        <f>GF75</f>
        <v>0.24869473885256593</v>
      </c>
      <c r="GC75" s="25">
        <f>GF75</f>
        <v>0.24869473885256593</v>
      </c>
      <c r="GD75" s="25">
        <f>GF75</f>
        <v>0.24869473885256593</v>
      </c>
      <c r="GE75" s="25">
        <f>GF75</f>
        <v>0.24869473885256593</v>
      </c>
      <c r="GF75" s="687">
        <f>FZ75-0.005</f>
        <v>0.24869473885256593</v>
      </c>
      <c r="GH75" s="25">
        <f>GL75</f>
        <v>0.24369473885256593</v>
      </c>
      <c r="GI75" s="25">
        <f>GL75</f>
        <v>0.24369473885256593</v>
      </c>
      <c r="GJ75" s="25">
        <f>GL75</f>
        <v>0.24369473885256593</v>
      </c>
      <c r="GK75" s="25">
        <f>GL75</f>
        <v>0.24369473885256593</v>
      </c>
      <c r="GL75" s="687">
        <f>GF75-0.005</f>
        <v>0.24369473885256593</v>
      </c>
      <c r="GN75" s="25">
        <f>GR75</f>
        <v>0.23869473885256592</v>
      </c>
      <c r="GO75" s="25">
        <f>GR75</f>
        <v>0.23869473885256592</v>
      </c>
      <c r="GP75" s="25">
        <f>GR75</f>
        <v>0.23869473885256592</v>
      </c>
      <c r="GQ75" s="25">
        <f>GR75</f>
        <v>0.23869473885256592</v>
      </c>
      <c r="GR75" s="687">
        <f>GL75-0.005</f>
        <v>0.23869473885256592</v>
      </c>
      <c r="GT75" s="25">
        <f>GX75</f>
        <v>0.23369473885256592</v>
      </c>
      <c r="GU75" s="25">
        <f>GX75</f>
        <v>0.23369473885256592</v>
      </c>
      <c r="GV75" s="25">
        <f>GX75</f>
        <v>0.23369473885256592</v>
      </c>
      <c r="GW75" s="25">
        <f>GX75</f>
        <v>0.23369473885256592</v>
      </c>
      <c r="GX75" s="687">
        <f>GR75-0.005</f>
        <v>0.23369473885256592</v>
      </c>
      <c r="GZ75" s="25">
        <f>HD75</f>
        <v>0.22769473885256591</v>
      </c>
      <c r="HA75" s="25">
        <f>HD75</f>
        <v>0.22769473885256591</v>
      </c>
      <c r="HB75" s="25">
        <f>HD75</f>
        <v>0.22769473885256591</v>
      </c>
      <c r="HC75" s="25">
        <f>HD75</f>
        <v>0.22769473885256591</v>
      </c>
      <c r="HD75" s="687">
        <f>GX75-0.006</f>
        <v>0.22769473885256591</v>
      </c>
      <c r="HF75" s="25">
        <f>HJ75</f>
        <v>0.22169473885256591</v>
      </c>
      <c r="HG75" s="25">
        <f>HJ75</f>
        <v>0.22169473885256591</v>
      </c>
      <c r="HH75" s="25">
        <f>HJ75</f>
        <v>0.22169473885256591</v>
      </c>
      <c r="HI75" s="25">
        <f>HJ75</f>
        <v>0.22169473885256591</v>
      </c>
      <c r="HJ75" s="687">
        <f>HD75-0.006</f>
        <v>0.22169473885256591</v>
      </c>
      <c r="HK75" s="491"/>
      <c r="HL75" s="491"/>
      <c r="HM75" s="491"/>
      <c r="HN75" s="491"/>
      <c r="HO75" s="491"/>
    </row>
    <row r="76" spans="1:223" s="33" customFormat="1">
      <c r="A76" s="25"/>
      <c r="B76" s="25"/>
      <c r="C76" s="25" t="str">
        <f>C53</f>
        <v>Sales and Marketing</v>
      </c>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104"/>
      <c r="BE76" s="25"/>
      <c r="BF76" s="25"/>
      <c r="BG76" s="25"/>
      <c r="BH76" s="25"/>
      <c r="BI76" s="25"/>
      <c r="BJ76" s="25"/>
      <c r="BK76" s="25"/>
      <c r="BL76" s="25"/>
      <c r="BM76" s="25"/>
      <c r="BN76" s="25"/>
      <c r="BO76" s="25"/>
      <c r="BP76" s="25"/>
      <c r="BQ76" s="25"/>
      <c r="BR76" s="25"/>
      <c r="BS76" s="113"/>
      <c r="BT76" s="113"/>
      <c r="BU76" s="113"/>
      <c r="BV76" s="113"/>
      <c r="BW76" s="113"/>
      <c r="BX76" s="113"/>
      <c r="BY76" s="135"/>
      <c r="BZ76" s="113"/>
      <c r="CA76" s="113"/>
      <c r="CB76" s="113"/>
      <c r="CC76" s="113"/>
      <c r="CD76" s="113"/>
      <c r="CE76" s="113"/>
      <c r="CF76" s="113"/>
      <c r="CG76" s="113"/>
      <c r="CH76" s="113"/>
      <c r="CI76" s="25"/>
      <c r="CJ76" s="113"/>
      <c r="CK76" s="138"/>
      <c r="CL76" s="145"/>
      <c r="CM76" s="113"/>
      <c r="CN76" s="113"/>
      <c r="CO76" s="25"/>
      <c r="CP76" s="113"/>
      <c r="CQ76" s="113"/>
      <c r="CR76" s="138"/>
      <c r="CS76" s="138"/>
      <c r="CT76" s="113"/>
      <c r="CU76" s="25"/>
      <c r="CV76" s="113"/>
      <c r="CW76" s="113"/>
      <c r="CX76" s="113"/>
      <c r="CY76" s="109"/>
      <c r="CZ76" s="109"/>
      <c r="DA76" s="109"/>
      <c r="DB76" s="109"/>
      <c r="DC76" s="109"/>
      <c r="DD76" s="109"/>
      <c r="DE76" s="109"/>
      <c r="DF76" s="109"/>
      <c r="DG76" s="25"/>
      <c r="DH76" s="25">
        <f>DH53/DH49</f>
        <v>0.10682244611576243</v>
      </c>
      <c r="DI76" s="25">
        <f>DI53/DI49</f>
        <v>0.11336462669382695</v>
      </c>
      <c r="DJ76" s="25">
        <f>DJ53/DJ49</f>
        <v>9.9861062869051748E-2</v>
      </c>
      <c r="DK76" s="25">
        <f>DK53/DK49</f>
        <v>0.10522392938868913</v>
      </c>
      <c r="DL76" s="25">
        <f>DL53/DL49</f>
        <v>0.10624412806244128</v>
      </c>
      <c r="DN76" s="25">
        <f>DN53/DN49</f>
        <v>0.11735040857109974</v>
      </c>
      <c r="DO76" s="25">
        <f>DO53/DO49</f>
        <v>0.12116445292145547</v>
      </c>
      <c r="DP76" s="25">
        <f>DP53/DP49</f>
        <v>0.10994344237236318</v>
      </c>
      <c r="DQ76" s="25">
        <f>DQ53/DQ49</f>
        <v>0.11511397237713815</v>
      </c>
      <c r="DR76" s="25">
        <f>DR53/DR49</f>
        <v>0.11581831078932564</v>
      </c>
      <c r="DT76" s="25">
        <f>DT53/DT49</f>
        <v>0.12504008299537867</v>
      </c>
      <c r="DU76" s="25">
        <f>DU53/DU49</f>
        <v>0.11721489589201743</v>
      </c>
      <c r="DV76" s="25">
        <f>DV53/DV49</f>
        <v>9.0111922451452442E-2</v>
      </c>
      <c r="DW76" s="25">
        <f>DW53/DW49</f>
        <v>0.10401041294633999</v>
      </c>
      <c r="DX76" s="25">
        <f>DX53/DX49</f>
        <v>0.10768863849089205</v>
      </c>
      <c r="DZ76" s="25">
        <f>DZ53/DZ49</f>
        <v>0.11900495962192621</v>
      </c>
      <c r="EA76" s="25">
        <f>EA53/EA49</f>
        <v>0.14150044362656503</v>
      </c>
      <c r="EB76" s="25">
        <f>EB53/EB49</f>
        <v>0.12942146035932092</v>
      </c>
      <c r="EC76" s="25">
        <f>EC53/EC49</f>
        <v>0.12659466166131136</v>
      </c>
      <c r="ED76" s="25">
        <f>ED53/ED49</f>
        <v>0.12923859607828564</v>
      </c>
      <c r="EF76" s="25">
        <f>EF53/EF49</f>
        <v>0.1391067603205626</v>
      </c>
      <c r="EG76" s="25">
        <f>EG53/EG49</f>
        <v>0.13648938211590125</v>
      </c>
      <c r="EH76" s="25">
        <f>EH53/EH49</f>
        <v>0.1305228991629265</v>
      </c>
      <c r="EI76" s="25">
        <f>EI53/EI49</f>
        <v>0.12358602790094084</v>
      </c>
      <c r="EJ76" s="25">
        <f>EJ53/EJ49</f>
        <v>0.13207239939732562</v>
      </c>
      <c r="EL76" s="25">
        <f>EL53/EL49</f>
        <v>0.1184885585191663</v>
      </c>
      <c r="EM76" s="25">
        <f>EM53/EM49</f>
        <v>0.12865087089989585</v>
      </c>
      <c r="EN76" s="25">
        <f>EN53/EN49</f>
        <v>0.11589033523303104</v>
      </c>
      <c r="EO76" s="25">
        <f>EO53/EO49</f>
        <v>0.1161797983953919</v>
      </c>
      <c r="EP76" s="25">
        <f>EP53/EP49</f>
        <v>0.11973774725636913</v>
      </c>
      <c r="EQ76" s="666"/>
      <c r="ER76" s="25">
        <f>ER53/ER49</f>
        <v>0.12942268305171531</v>
      </c>
      <c r="ES76" s="25">
        <f>ES53/ES49</f>
        <v>0.13177347387873703</v>
      </c>
      <c r="ET76" s="25">
        <f>ET53/ET49</f>
        <v>0.12164529507102678</v>
      </c>
      <c r="EU76" s="25">
        <f>EU53/EU49</f>
        <v>0.12987790697674417</v>
      </c>
      <c r="EV76" s="25">
        <f>EV53/EV49</f>
        <v>0.12815070712086299</v>
      </c>
      <c r="EX76" s="25">
        <f>EX53/EX49</f>
        <v>0.13498973428154848</v>
      </c>
      <c r="EY76" s="25">
        <f>EY53/EY49</f>
        <v>0.13276898472398388</v>
      </c>
      <c r="EZ76" s="25">
        <f>EZ53/EZ49</f>
        <v>0.11611474091705407</v>
      </c>
      <c r="FA76" s="25">
        <f>FA53/FA49</f>
        <v>0.12327391281484988</v>
      </c>
      <c r="FB76" s="25">
        <f>FB53/FB49</f>
        <v>0.12649931530580258</v>
      </c>
      <c r="FD76" s="689">
        <f>EX76</f>
        <v>0.13498973428154848</v>
      </c>
      <c r="FE76" s="687">
        <v>0.13</v>
      </c>
      <c r="FF76" s="687">
        <v>0.125</v>
      </c>
      <c r="FG76" s="687">
        <f t="shared" ref="FG76:FG77" si="78">FA76</f>
        <v>0.12327391281484988</v>
      </c>
      <c r="FH76" s="25">
        <f>FH53/FH49</f>
        <v>0.12808556533999083</v>
      </c>
      <c r="FJ76" s="25">
        <f>FN76</f>
        <v>0.12608556533999082</v>
      </c>
      <c r="FK76" s="25">
        <f>FN76</f>
        <v>0.12608556533999082</v>
      </c>
      <c r="FL76" s="25">
        <f>FN76</f>
        <v>0.12608556533999082</v>
      </c>
      <c r="FM76" s="25">
        <f>FN76</f>
        <v>0.12608556533999082</v>
      </c>
      <c r="FN76" s="687">
        <f>FH76-0.002</f>
        <v>0.12608556533999082</v>
      </c>
      <c r="FP76" s="25">
        <f>FT76</f>
        <v>0.12358556533999082</v>
      </c>
      <c r="FQ76" s="25">
        <f>FT76</f>
        <v>0.12358556533999082</v>
      </c>
      <c r="FR76" s="25">
        <f>FT76</f>
        <v>0.12358556533999082</v>
      </c>
      <c r="FS76" s="25">
        <f>FT76</f>
        <v>0.12358556533999082</v>
      </c>
      <c r="FT76" s="687">
        <f>FN76-0.0025</f>
        <v>0.12358556533999082</v>
      </c>
      <c r="FV76" s="25">
        <f>FZ76</f>
        <v>0.12108556533999082</v>
      </c>
      <c r="FW76" s="25">
        <f>FZ76</f>
        <v>0.12108556533999082</v>
      </c>
      <c r="FX76" s="25">
        <f>FZ76</f>
        <v>0.12108556533999082</v>
      </c>
      <c r="FY76" s="25">
        <f>FZ76</f>
        <v>0.12108556533999082</v>
      </c>
      <c r="FZ76" s="687">
        <f>FT76-0.0025</f>
        <v>0.12108556533999082</v>
      </c>
      <c r="GB76" s="25">
        <f>GF76</f>
        <v>0.11858556533999082</v>
      </c>
      <c r="GC76" s="25">
        <f>GF76</f>
        <v>0.11858556533999082</v>
      </c>
      <c r="GD76" s="25">
        <f>GF76</f>
        <v>0.11858556533999082</v>
      </c>
      <c r="GE76" s="25">
        <f>GF76</f>
        <v>0.11858556533999082</v>
      </c>
      <c r="GF76" s="687">
        <f>FZ76-0.0025</f>
        <v>0.11858556533999082</v>
      </c>
      <c r="GH76" s="25">
        <f>GL76</f>
        <v>0.11608556533999081</v>
      </c>
      <c r="GI76" s="25">
        <f>GL76</f>
        <v>0.11608556533999081</v>
      </c>
      <c r="GJ76" s="25">
        <f>GL76</f>
        <v>0.11608556533999081</v>
      </c>
      <c r="GK76" s="25">
        <f>GL76</f>
        <v>0.11608556533999081</v>
      </c>
      <c r="GL76" s="687">
        <f>GF76-0.0025</f>
        <v>0.11608556533999081</v>
      </c>
      <c r="GN76" s="25">
        <f>GR76</f>
        <v>0.11358556533999081</v>
      </c>
      <c r="GO76" s="25">
        <f>GR76</f>
        <v>0.11358556533999081</v>
      </c>
      <c r="GP76" s="25">
        <f>GR76</f>
        <v>0.11358556533999081</v>
      </c>
      <c r="GQ76" s="25">
        <f>GR76</f>
        <v>0.11358556533999081</v>
      </c>
      <c r="GR76" s="687">
        <f>GL76-0.0025</f>
        <v>0.11358556533999081</v>
      </c>
      <c r="GT76" s="25">
        <f>GX76</f>
        <v>0.11358556533999081</v>
      </c>
      <c r="GU76" s="25">
        <f>GX76</f>
        <v>0.11358556533999081</v>
      </c>
      <c r="GV76" s="25">
        <f>GX76</f>
        <v>0.11358556533999081</v>
      </c>
      <c r="GW76" s="25">
        <f>GX76</f>
        <v>0.11358556533999081</v>
      </c>
      <c r="GX76" s="687">
        <f>GR76</f>
        <v>0.11358556533999081</v>
      </c>
      <c r="GZ76" s="25">
        <f>HD76</f>
        <v>0.11358556533999081</v>
      </c>
      <c r="HA76" s="25">
        <f>HD76</f>
        <v>0.11358556533999081</v>
      </c>
      <c r="HB76" s="25">
        <f>HD76</f>
        <v>0.11358556533999081</v>
      </c>
      <c r="HC76" s="25">
        <f>HD76</f>
        <v>0.11358556533999081</v>
      </c>
      <c r="HD76" s="687">
        <f>GX76</f>
        <v>0.11358556533999081</v>
      </c>
      <c r="HF76" s="25">
        <f>HJ76</f>
        <v>0.11358556533999081</v>
      </c>
      <c r="HG76" s="25">
        <f>HJ76</f>
        <v>0.11358556533999081</v>
      </c>
      <c r="HH76" s="25">
        <f>HJ76</f>
        <v>0.11358556533999081</v>
      </c>
      <c r="HI76" s="25">
        <f>HJ76</f>
        <v>0.11358556533999081</v>
      </c>
      <c r="HJ76" s="687">
        <f>HD76</f>
        <v>0.11358556533999081</v>
      </c>
      <c r="HK76" s="491"/>
      <c r="HL76" s="491"/>
      <c r="HM76" s="491"/>
      <c r="HN76" s="491"/>
      <c r="HO76" s="491"/>
    </row>
    <row r="77" spans="1:223" s="33" customFormat="1">
      <c r="A77" s="25"/>
      <c r="B77" s="25"/>
      <c r="C77" s="25" t="str">
        <f>C54</f>
        <v xml:space="preserve">Research &amp; Development </v>
      </c>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113"/>
      <c r="BT77" s="113"/>
      <c r="BU77" s="113"/>
      <c r="BV77" s="113"/>
      <c r="BW77" s="113"/>
      <c r="BX77" s="113"/>
      <c r="BY77" s="135"/>
      <c r="BZ77" s="113"/>
      <c r="CA77" s="113"/>
      <c r="CB77" s="113"/>
      <c r="CC77" s="113"/>
      <c r="CD77" s="113"/>
      <c r="CE77" s="113"/>
      <c r="CF77" s="113"/>
      <c r="CG77" s="113"/>
      <c r="CH77" s="113"/>
      <c r="CI77" s="25"/>
      <c r="CJ77" s="113"/>
      <c r="CK77" s="138"/>
      <c r="CL77" s="145"/>
      <c r="CM77" s="113"/>
      <c r="CN77" s="113"/>
      <c r="CO77" s="25"/>
      <c r="CP77" s="113"/>
      <c r="CQ77" s="113"/>
      <c r="CR77" s="138"/>
      <c r="CS77" s="138"/>
      <c r="CT77" s="113"/>
      <c r="CU77" s="25"/>
      <c r="CV77" s="113"/>
      <c r="CW77" s="113"/>
      <c r="CX77" s="113"/>
      <c r="CY77" s="109"/>
      <c r="CZ77" s="109"/>
      <c r="DA77" s="109"/>
      <c r="DB77" s="109"/>
      <c r="DC77" s="109"/>
      <c r="DD77" s="109"/>
      <c r="DE77" s="109"/>
      <c r="DF77" s="109"/>
      <c r="DG77" s="25"/>
      <c r="DH77" s="25">
        <f>DH54/DH49</f>
        <v>1.507339608659319E-2</v>
      </c>
      <c r="DI77" s="25">
        <f>DI54/DI49</f>
        <v>1.5838573495114104E-2</v>
      </c>
      <c r="DJ77" s="25">
        <f>DJ54/DJ49</f>
        <v>6.4547875419705917E-3</v>
      </c>
      <c r="DK77" s="25">
        <f>DK54/DK49</f>
        <v>6.8780647270349797E-3</v>
      </c>
      <c r="DL77" s="25">
        <f>DL54/DL49</f>
        <v>1.0844113608441137E-2</v>
      </c>
      <c r="DN77" s="25">
        <f>DN54/DN49</f>
        <v>1.2649486801217868E-2</v>
      </c>
      <c r="DO77" s="25">
        <f>DO54/DO49</f>
        <v>2.5434310265157849E-2</v>
      </c>
      <c r="DP77" s="25">
        <f>DP54/DP49</f>
        <v>2.4944588810761236E-2</v>
      </c>
      <c r="DQ77" s="25">
        <f>DQ54/DQ49</f>
        <v>1.9463263090915898E-2</v>
      </c>
      <c r="DR77" s="25">
        <f>DR54/DR49</f>
        <v>2.0759239781816406E-2</v>
      </c>
      <c r="DT77" s="25">
        <f>DT54/DT49</f>
        <v>1.9428463642365369E-2</v>
      </c>
      <c r="DU77" s="25">
        <f>DU54/DU49</f>
        <v>2.4201800475987904E-2</v>
      </c>
      <c r="DV77" s="25">
        <f>DV54/DV49</f>
        <v>1.5656388508019516E-2</v>
      </c>
      <c r="DW77" s="25">
        <f>DW54/DW49</f>
        <v>1.6667063501511942E-2</v>
      </c>
      <c r="DX77" s="25">
        <f>DX54/DX49</f>
        <v>1.8515101879184964E-2</v>
      </c>
      <c r="DZ77" s="25">
        <f>DZ54/DZ49</f>
        <v>2.1257995551054676E-2</v>
      </c>
      <c r="EA77" s="25">
        <f>EA54/EA49</f>
        <v>2.8712497124642633E-2</v>
      </c>
      <c r="EB77" s="25">
        <f>EB54/EB49</f>
        <v>6.1059831877369374E-2</v>
      </c>
      <c r="EC77" s="25">
        <f>EC54/EC49</f>
        <v>6.7707504851589093E-2</v>
      </c>
      <c r="ED77" s="25">
        <f>ED54/ED49</f>
        <v>4.5161450171267881E-2</v>
      </c>
      <c r="EF77" s="25">
        <f>EF54/EF49</f>
        <v>6.5827992045677616E-2</v>
      </c>
      <c r="EG77" s="25">
        <f>EG54/EG49</f>
        <v>6.8968274274018165E-2</v>
      </c>
      <c r="EH77" s="25">
        <f>EH54/EH49</f>
        <v>5.6778121166001456E-2</v>
      </c>
      <c r="EI77" s="25">
        <f>EI54/EI49</f>
        <v>4.8123715799718823E-2</v>
      </c>
      <c r="EJ77" s="25">
        <f>EJ54/EJ49</f>
        <v>5.9494475484964525E-2</v>
      </c>
      <c r="EL77" s="25">
        <f>EL54/EL49</f>
        <v>5.3891560996939217E-2</v>
      </c>
      <c r="EM77" s="25">
        <f>EM54/EM49</f>
        <v>5.1062845007725448E-2</v>
      </c>
      <c r="EN77" s="25">
        <f>EN54/EN49</f>
        <v>3.4780262447846058E-2</v>
      </c>
      <c r="EO77" s="25">
        <f>EO54/EO49</f>
        <v>4.5817475828018928E-2</v>
      </c>
      <c r="EP77" s="25">
        <f>EP54/EP49</f>
        <v>4.6157902654134331E-2</v>
      </c>
      <c r="EQ77" s="666"/>
      <c r="ER77" s="686">
        <f>ER54/ER49</f>
        <v>4.8771121351766512E-2</v>
      </c>
      <c r="ES77" s="686">
        <f>ES54/ES49</f>
        <v>4.7938626885995303E-2</v>
      </c>
      <c r="ET77" s="686">
        <f>ET54/ET49</f>
        <v>4.578606158833063E-2</v>
      </c>
      <c r="EU77" s="686">
        <f>EU54/EU49</f>
        <v>4.6331395348837213E-2</v>
      </c>
      <c r="EV77" s="686">
        <f>EV54/EV49</f>
        <v>4.7170154079985954E-2</v>
      </c>
      <c r="EX77" s="686">
        <f>EX54/EX49</f>
        <v>6.0588567857886744E-2</v>
      </c>
      <c r="EY77" s="686">
        <f>EY54/EY49</f>
        <v>4.9760105884299341E-2</v>
      </c>
      <c r="EZ77" s="686">
        <f>EZ54/EZ49</f>
        <v>4.629466924391764E-2</v>
      </c>
      <c r="FA77" s="686">
        <f>FA54/FA49</f>
        <v>4.826733974864595E-2</v>
      </c>
      <c r="FB77" s="686">
        <f>FB54/FB49</f>
        <v>5.097672039728763E-2</v>
      </c>
      <c r="FD77" s="690">
        <f>EX77</f>
        <v>6.0588567857886744E-2</v>
      </c>
      <c r="FE77" s="688">
        <f>EY77</f>
        <v>4.9760105884299341E-2</v>
      </c>
      <c r="FF77" s="688">
        <f t="shared" ref="FF77" si="79">EZ77</f>
        <v>4.629466924391764E-2</v>
      </c>
      <c r="FG77" s="688">
        <f t="shared" si="78"/>
        <v>4.826733974864595E-2</v>
      </c>
      <c r="FH77" s="686">
        <f>FH54/FH49</f>
        <v>5.0978666789761845E-2</v>
      </c>
      <c r="FJ77" s="686">
        <f>FN77</f>
        <v>5.0978666789761845E-2</v>
      </c>
      <c r="FK77" s="686">
        <f>FN77</f>
        <v>5.0978666789761845E-2</v>
      </c>
      <c r="FL77" s="686">
        <f>FN77</f>
        <v>5.0978666789761845E-2</v>
      </c>
      <c r="FM77" s="686">
        <f>FN77</f>
        <v>5.0978666789761845E-2</v>
      </c>
      <c r="FN77" s="688">
        <f>FH77</f>
        <v>5.0978666789761845E-2</v>
      </c>
      <c r="FP77" s="686">
        <f>FT77</f>
        <v>5.0978666789761845E-2</v>
      </c>
      <c r="FQ77" s="686">
        <f>FT77</f>
        <v>5.0978666789761845E-2</v>
      </c>
      <c r="FR77" s="686">
        <f>FT77</f>
        <v>5.0978666789761845E-2</v>
      </c>
      <c r="FS77" s="686">
        <f>FT77</f>
        <v>5.0978666789761845E-2</v>
      </c>
      <c r="FT77" s="688">
        <f>FN77</f>
        <v>5.0978666789761845E-2</v>
      </c>
      <c r="FV77" s="686">
        <f>FZ77</f>
        <v>5.0978666789761845E-2</v>
      </c>
      <c r="FW77" s="686">
        <f>FZ77</f>
        <v>5.0978666789761845E-2</v>
      </c>
      <c r="FX77" s="686">
        <f>FZ77</f>
        <v>5.0978666789761845E-2</v>
      </c>
      <c r="FY77" s="686">
        <f>FZ77</f>
        <v>5.0978666789761845E-2</v>
      </c>
      <c r="FZ77" s="688">
        <f>FT77</f>
        <v>5.0978666789761845E-2</v>
      </c>
      <c r="GB77" s="686">
        <f>GF77</f>
        <v>5.0978666789761845E-2</v>
      </c>
      <c r="GC77" s="686">
        <f>GF77</f>
        <v>5.0978666789761845E-2</v>
      </c>
      <c r="GD77" s="686">
        <f>GF77</f>
        <v>5.0978666789761845E-2</v>
      </c>
      <c r="GE77" s="686">
        <f>GF77</f>
        <v>5.0978666789761845E-2</v>
      </c>
      <c r="GF77" s="688">
        <f>FZ77</f>
        <v>5.0978666789761845E-2</v>
      </c>
      <c r="GH77" s="686">
        <f>GL77</f>
        <v>5.0978666789761845E-2</v>
      </c>
      <c r="GI77" s="686">
        <f>GL77</f>
        <v>5.0978666789761845E-2</v>
      </c>
      <c r="GJ77" s="686">
        <f>GL77</f>
        <v>5.0978666789761845E-2</v>
      </c>
      <c r="GK77" s="686">
        <f>GL77</f>
        <v>5.0978666789761845E-2</v>
      </c>
      <c r="GL77" s="688">
        <f>GF77</f>
        <v>5.0978666789761845E-2</v>
      </c>
      <c r="GN77" s="686">
        <f>GR77</f>
        <v>5.0978666789761845E-2</v>
      </c>
      <c r="GO77" s="686">
        <f>GR77</f>
        <v>5.0978666789761845E-2</v>
      </c>
      <c r="GP77" s="686">
        <f>GR77</f>
        <v>5.0978666789761845E-2</v>
      </c>
      <c r="GQ77" s="686">
        <f>GR77</f>
        <v>5.0978666789761845E-2</v>
      </c>
      <c r="GR77" s="688">
        <f>GL77</f>
        <v>5.0978666789761845E-2</v>
      </c>
      <c r="GT77" s="686">
        <f>GX77</f>
        <v>5.0978666789761845E-2</v>
      </c>
      <c r="GU77" s="686">
        <f>GX77</f>
        <v>5.0978666789761845E-2</v>
      </c>
      <c r="GV77" s="686">
        <f>GX77</f>
        <v>5.0978666789761845E-2</v>
      </c>
      <c r="GW77" s="686">
        <f>GX77</f>
        <v>5.0978666789761845E-2</v>
      </c>
      <c r="GX77" s="688">
        <f>GR77</f>
        <v>5.0978666789761845E-2</v>
      </c>
      <c r="GZ77" s="686">
        <f>HD77</f>
        <v>5.0978666789761845E-2</v>
      </c>
      <c r="HA77" s="686">
        <f>HD77</f>
        <v>5.0978666789761845E-2</v>
      </c>
      <c r="HB77" s="686">
        <f>HD77</f>
        <v>5.0978666789761845E-2</v>
      </c>
      <c r="HC77" s="686">
        <f>HD77</f>
        <v>5.0978666789761845E-2</v>
      </c>
      <c r="HD77" s="688">
        <f>GX77</f>
        <v>5.0978666789761845E-2</v>
      </c>
      <c r="HF77" s="686">
        <f>HJ77</f>
        <v>5.0978666789761845E-2</v>
      </c>
      <c r="HG77" s="686">
        <f>HJ77</f>
        <v>5.0978666789761845E-2</v>
      </c>
      <c r="HH77" s="686">
        <f>HJ77</f>
        <v>5.0978666789761845E-2</v>
      </c>
      <c r="HI77" s="686">
        <f>HJ77</f>
        <v>5.0978666789761845E-2</v>
      </c>
      <c r="HJ77" s="688">
        <f>HD77</f>
        <v>5.0978666789761845E-2</v>
      </c>
      <c r="HK77" s="491"/>
      <c r="HL77" s="491"/>
      <c r="HM77" s="491"/>
      <c r="HN77" s="491"/>
      <c r="HO77" s="491"/>
    </row>
    <row r="78" spans="1:223" s="33" customFormat="1">
      <c r="A78" s="25"/>
      <c r="B78" s="25" t="s">
        <v>643</v>
      </c>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113"/>
      <c r="BT78" s="113"/>
      <c r="BU78" s="113"/>
      <c r="BV78" s="113"/>
      <c r="BW78" s="113"/>
      <c r="BX78" s="113"/>
      <c r="BY78" s="135"/>
      <c r="BZ78" s="113"/>
      <c r="CA78" s="113"/>
      <c r="CB78" s="113"/>
      <c r="CC78" s="113"/>
      <c r="CD78" s="113"/>
      <c r="CE78" s="113"/>
      <c r="CF78" s="113"/>
      <c r="CG78" s="113"/>
      <c r="CH78" s="113"/>
      <c r="CI78" s="25"/>
      <c r="CJ78" s="113"/>
      <c r="CK78" s="138"/>
      <c r="CL78" s="145"/>
      <c r="CM78" s="113"/>
      <c r="CN78" s="113"/>
      <c r="CO78" s="25"/>
      <c r="CP78" s="113"/>
      <c r="CQ78" s="113"/>
      <c r="CR78" s="138"/>
      <c r="CS78" s="138"/>
      <c r="CT78" s="113"/>
      <c r="CU78" s="25"/>
      <c r="CV78" s="113"/>
      <c r="CW78" s="113"/>
      <c r="CX78" s="113"/>
      <c r="CY78" s="109"/>
      <c r="CZ78" s="109"/>
      <c r="DA78" s="109"/>
      <c r="DB78" s="109"/>
      <c r="DC78" s="109"/>
      <c r="DD78" s="109"/>
      <c r="DE78" s="109"/>
      <c r="DF78" s="109"/>
      <c r="DG78" s="25"/>
      <c r="DH78" s="25"/>
      <c r="DI78" s="25"/>
      <c r="DJ78" s="25"/>
      <c r="DK78" s="25"/>
      <c r="DL78" s="25"/>
      <c r="DN78" s="25"/>
      <c r="DO78" s="25"/>
      <c r="DP78" s="25"/>
      <c r="DQ78" s="25"/>
      <c r="DR78" s="25"/>
      <c r="DT78" s="25"/>
      <c r="DU78" s="25"/>
      <c r="DV78" s="25"/>
      <c r="DW78" s="25"/>
      <c r="DX78" s="25"/>
      <c r="DZ78" s="25"/>
      <c r="EA78" s="25"/>
      <c r="EB78" s="25"/>
      <c r="EC78" s="25"/>
      <c r="ED78" s="25"/>
      <c r="EF78" s="25"/>
      <c r="EG78" s="25"/>
      <c r="EH78" s="25"/>
      <c r="EI78" s="25"/>
      <c r="EJ78" s="25"/>
      <c r="EL78" s="25">
        <f>EL70/EL49</f>
        <v>-5.1923917796239595E-2</v>
      </c>
      <c r="EM78" s="25">
        <f>EM70/EM49</f>
        <v>-1.3960263277905215E-2</v>
      </c>
      <c r="EN78" s="25">
        <f>EN70/EN49</f>
        <v>2.1750003290469527E-2</v>
      </c>
      <c r="EO78" s="25">
        <f>EO70/EO49</f>
        <v>6.0095659329356128E-2</v>
      </c>
      <c r="EP78" s="25">
        <f>EP70/EP49</f>
        <v>5.8768547925015808E-3</v>
      </c>
      <c r="EQ78" s="666"/>
      <c r="ER78" s="25">
        <f>ER70/ER49</f>
        <v>2.2350230414746593E-2</v>
      </c>
      <c r="ES78" s="25">
        <f>ES70/ES49</f>
        <v>6.6072145019513528E-2</v>
      </c>
      <c r="ET78" s="25">
        <f>ET70/ET49</f>
        <v>7.9690628277242978E-2</v>
      </c>
      <c r="EU78" s="25">
        <f>EU70/EU49</f>
        <v>6.9029069767441886E-2</v>
      </c>
      <c r="EV78" s="25">
        <f>EV70/EV49</f>
        <v>5.9960700369077503E-2</v>
      </c>
      <c r="EX78" s="25">
        <f>EX70/EX49</f>
        <v>4.2074567798375401E-2</v>
      </c>
      <c r="EY78" s="25">
        <f>EY70/EY49</f>
        <v>5.8870567473666931E-2</v>
      </c>
      <c r="EZ78" s="25">
        <f>EZ70/EZ49</f>
        <v>6.5134160822590326E-2</v>
      </c>
      <c r="FA78" s="25">
        <f>FA70/FA49</f>
        <v>7.0358100646789642E-2</v>
      </c>
      <c r="FB78" s="25">
        <f>FB70/FB49</f>
        <v>5.9611016702138801E-2</v>
      </c>
      <c r="FD78" s="554">
        <f>FD70/FD49</f>
        <v>4.9220916802407151E-2</v>
      </c>
      <c r="FE78" s="25">
        <f>FE70/FE49</f>
        <v>6.0215845739250581E-2</v>
      </c>
      <c r="FF78" s="25">
        <f>FF70/FF49</f>
        <v>8.0454040528435231E-2</v>
      </c>
      <c r="FG78" s="25">
        <f>FG70/FG49</f>
        <v>8.8274225967901854E-2</v>
      </c>
      <c r="FH78" s="25">
        <f>FH70/FH49</f>
        <v>7.0316040804766153E-2</v>
      </c>
      <c r="FJ78" s="25">
        <f>FJ70/FJ49</f>
        <v>8.7512037660411615E-2</v>
      </c>
      <c r="FK78" s="25">
        <f>FK70/FK49</f>
        <v>8.4781541132912447E-2</v>
      </c>
      <c r="FL78" s="25">
        <f>FL70/FL49</f>
        <v>8.2756004381119797E-2</v>
      </c>
      <c r="FM78" s="25">
        <f>FM70/FM49</f>
        <v>8.1677059040860603E-2</v>
      </c>
      <c r="FN78" s="25">
        <f>FN70/FN49</f>
        <v>8.406942434417318E-2</v>
      </c>
      <c r="FP78" s="25">
        <f>FP70/FP49</f>
        <v>0.10382365780695774</v>
      </c>
      <c r="FQ78" s="25">
        <f>FQ70/FQ49</f>
        <v>0.10159454563718479</v>
      </c>
      <c r="FR78" s="25">
        <f>FR70/FR49</f>
        <v>9.9969173793918703E-2</v>
      </c>
      <c r="FS78" s="25">
        <f>FS70/FS49</f>
        <v>9.9182739411099632E-2</v>
      </c>
      <c r="FT78" s="25">
        <f>FT70/FT49</f>
        <v>0.10105275169690679</v>
      </c>
      <c r="FV78" s="25">
        <f>FV70/FV49</f>
        <v>0.12362149029326193</v>
      </c>
      <c r="FW78" s="25">
        <f>FW70/FW49</f>
        <v>0.12169673073222442</v>
      </c>
      <c r="FX78" s="25">
        <f>FX70/FX49</f>
        <v>0.12030920703178054</v>
      </c>
      <c r="FY78" s="25">
        <f>FY70/FY49</f>
        <v>0.1196977585372727</v>
      </c>
      <c r="FZ78" s="25">
        <f>FZ70/FZ49</f>
        <v>0.12125513730383371</v>
      </c>
      <c r="GB78" s="25">
        <f>GB70/GB49</f>
        <v>0.14405054613363319</v>
      </c>
      <c r="GC78" s="25">
        <f>GC70/GC49</f>
        <v>0.14206752392135535</v>
      </c>
      <c r="GD78" s="25">
        <f>GD70/GD49</f>
        <v>0.14063257200218868</v>
      </c>
      <c r="GE78" s="25">
        <f>GE70/GE49</f>
        <v>0.13998443855646622</v>
      </c>
      <c r="GF78" s="25">
        <f>GF70/GF49</f>
        <v>0.14160491381009552</v>
      </c>
      <c r="GH78" s="25">
        <f>GH70/GH49</f>
        <v>0.162922616073294</v>
      </c>
      <c r="GI78" s="25">
        <f>GI70/GI49</f>
        <v>0.16113371762971829</v>
      </c>
      <c r="GJ78" s="25">
        <f>GJ70/GJ49</f>
        <v>0.15985113313600569</v>
      </c>
      <c r="GK78" s="25">
        <f>GK70/GK49</f>
        <v>0.15931870026806219</v>
      </c>
      <c r="GL78" s="25">
        <f>GL70/GL49</f>
        <v>0.16073644688040573</v>
      </c>
      <c r="GN78" s="25">
        <f>GN70/GN49</f>
        <v>0.18425297836808863</v>
      </c>
      <c r="GO78" s="25">
        <f>GO70/GO49</f>
        <v>0.18231681749907547</v>
      </c>
      <c r="GP78" s="25">
        <f>GP70/GP49</f>
        <v>0.1809181929534236</v>
      </c>
      <c r="GQ78" s="25">
        <f>GQ70/GQ49</f>
        <v>0.18030228910645543</v>
      </c>
      <c r="GR78" s="25">
        <f>GR70/GR49</f>
        <v>0.18187088144866373</v>
      </c>
      <c r="GT78" s="25">
        <f>GT70/GT49</f>
        <v>0.20120118419314623</v>
      </c>
      <c r="GU78" s="25">
        <f>GU70/GU49</f>
        <v>0.19941759756398839</v>
      </c>
      <c r="GV78" s="25">
        <f>GV70/GV49</f>
        <v>0.19813954620970614</v>
      </c>
      <c r="GW78" s="25">
        <f>GW70/GW49</f>
        <v>0.19761956113853357</v>
      </c>
      <c r="GX78" s="25">
        <f>GX70/GX49</f>
        <v>0.19902476261391039</v>
      </c>
      <c r="GZ78" s="25">
        <f>GZ70/GZ49</f>
        <v>0.21979036968250951</v>
      </c>
      <c r="HA78" s="25">
        <f>HA70/HA49</f>
        <v>0.21808028600807605</v>
      </c>
      <c r="HB78" s="25">
        <f>HB70/HB49</f>
        <v>0.21686164858368825</v>
      </c>
      <c r="HC78" s="25">
        <f>HC70/HC49</f>
        <v>0.21639394553627087</v>
      </c>
      <c r="HD78" s="25">
        <f>HD70/HD49</f>
        <v>0.21771533448969907</v>
      </c>
      <c r="HF78" s="25">
        <f>HF70/HF49</f>
        <v>0.19659978772327552</v>
      </c>
      <c r="HG78" s="25">
        <f>HG70/HG49</f>
        <v>0.1965997877232756</v>
      </c>
      <c r="HH78" s="25">
        <f>HH70/HH49</f>
        <v>0.19659978772327558</v>
      </c>
      <c r="HI78" s="25">
        <f>HI70/HI49</f>
        <v>0.1965997877232756</v>
      </c>
      <c r="HJ78" s="25">
        <f>HJ70/HJ49</f>
        <v>0.19659978772327558</v>
      </c>
      <c r="HK78" s="491"/>
      <c r="HL78" s="491"/>
      <c r="HM78" s="491"/>
      <c r="HN78" s="491"/>
      <c r="HO78" s="491"/>
    </row>
    <row r="79" spans="1:223" s="33" customFormat="1">
      <c r="A79" s="25"/>
      <c r="B79" s="25" t="s">
        <v>161</v>
      </c>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113"/>
      <c r="BM79" s="113"/>
      <c r="BN79" s="113"/>
      <c r="BO79" s="113"/>
      <c r="BP79" s="113"/>
      <c r="BQ79" s="113"/>
      <c r="BR79" s="113"/>
      <c r="BS79" s="113"/>
      <c r="BT79" s="113"/>
      <c r="BU79" s="113"/>
      <c r="BV79" s="113"/>
      <c r="BW79" s="113"/>
      <c r="BX79" s="113"/>
      <c r="BY79" s="135"/>
      <c r="BZ79" s="113"/>
      <c r="CA79" s="113"/>
      <c r="CB79" s="113"/>
      <c r="CC79" s="25"/>
      <c r="CD79" s="113"/>
      <c r="CE79" s="113"/>
      <c r="CF79" s="113"/>
      <c r="CG79" s="113"/>
      <c r="CH79" s="113"/>
      <c r="CI79" s="25"/>
      <c r="CJ79" s="113"/>
      <c r="CK79" s="138"/>
      <c r="CL79" s="25"/>
      <c r="CM79" s="113"/>
      <c r="CN79" s="25"/>
      <c r="CO79" s="25"/>
      <c r="CP79" s="113"/>
      <c r="CQ79" s="113"/>
      <c r="CR79" s="25"/>
      <c r="CS79" s="25"/>
      <c r="CT79" s="25"/>
      <c r="CU79" s="25"/>
      <c r="CV79" s="25"/>
      <c r="CW79" s="25"/>
      <c r="CX79" s="25"/>
      <c r="CY79" s="109"/>
      <c r="CZ79" s="109"/>
      <c r="DA79" s="109"/>
      <c r="DB79" s="109"/>
      <c r="DC79" s="109"/>
      <c r="DD79" s="109"/>
      <c r="DE79" s="109"/>
      <c r="DF79" s="109"/>
      <c r="DG79" s="25"/>
      <c r="DH79" s="25">
        <f>DH56/DH49</f>
        <v>8.7381549280229648E-2</v>
      </c>
      <c r="DI79" s="25">
        <f>DI56/DI49</f>
        <v>9.4027691671832933E-2</v>
      </c>
      <c r="DJ79" s="25">
        <f>DJ56/DJ49</f>
        <v>0.10423179344679867</v>
      </c>
      <c r="DK79" s="25">
        <f>DK56/DK49</f>
        <v>0.11279503105590059</v>
      </c>
      <c r="DL79" s="25">
        <f>DL56/DL49</f>
        <v>0.10023849100238494</v>
      </c>
      <c r="DN79" s="25">
        <f>DN56/DN49</f>
        <v>0.14289002584303745</v>
      </c>
      <c r="DO79" s="25">
        <f>DO56/DO49</f>
        <v>0.10681033889473313</v>
      </c>
      <c r="DP79" s="25">
        <f>DP56/DP49</f>
        <v>9.5651177010088601E-2</v>
      </c>
      <c r="DQ79" s="25">
        <f>DQ56/DQ49</f>
        <v>7.4437623984728807E-2</v>
      </c>
      <c r="DR79" s="25">
        <f>DR56/DR49</f>
        <v>0.10392583714502354</v>
      </c>
      <c r="DT79" s="25">
        <f>DT56/DT49</f>
        <v>5.7625200414976622E-3</v>
      </c>
      <c r="DU79" s="25">
        <f>DU56/DU49</f>
        <v>-0.18004759879048471</v>
      </c>
      <c r="DV79" s="25">
        <f>DV56/DV49</f>
        <v>8.1255380887089043E-2</v>
      </c>
      <c r="DW79" s="25">
        <f>DW56/DW49</f>
        <v>5.4279070136590488E-2</v>
      </c>
      <c r="DX79" s="25">
        <f>DX56/DX49</f>
        <v>4.4617143062856864E-3</v>
      </c>
      <c r="DZ79" s="25">
        <f>DZ56/DZ49</f>
        <v>2.0427064128863671E-2</v>
      </c>
      <c r="EA79" s="25">
        <f>EA56/EA49</f>
        <v>-2.1113338372054698E-2</v>
      </c>
      <c r="EB79" s="25">
        <f>EB56/EB49</f>
        <v>-9.3786055711224614E-2</v>
      </c>
      <c r="EC79" s="25">
        <f>EC56/EC49</f>
        <v>-0.13711704259854302</v>
      </c>
      <c r="ED79" s="25">
        <f>ED56/ED49</f>
        <v>-5.9525653016854335E-2</v>
      </c>
      <c r="EF79" s="25">
        <f>EF56/EF49</f>
        <v>-0.23533528493031444</v>
      </c>
      <c r="EG79" s="25">
        <f>EG56/EG49</f>
        <v>-0.19504765255213016</v>
      </c>
      <c r="EH79" s="25">
        <f>EH56/EH49</f>
        <v>-0.15961081517603384</v>
      </c>
      <c r="EI79" s="25">
        <f>EI56/EI49</f>
        <v>-7.6738401643776183E-2</v>
      </c>
      <c r="EJ79" s="25">
        <f>EJ56/EJ49</f>
        <v>-0.16316152928620753</v>
      </c>
      <c r="EL79" s="25">
        <f>EL56/EL49</f>
        <v>-0.11703104503716658</v>
      </c>
      <c r="EM79" s="25">
        <f>EM56/EM49</f>
        <v>-8.3421251454903103E-2</v>
      </c>
      <c r="EN79" s="25">
        <f>EN56/EN49</f>
        <v>-3.9143424983876657E-2</v>
      </c>
      <c r="EO79" s="25">
        <f>EO56/EO49</f>
        <v>-2.2757663032297831E-3</v>
      </c>
      <c r="EP79" s="25">
        <f>EP56/EP49</f>
        <v>-5.8509946031644208E-2</v>
      </c>
      <c r="EQ79" s="666"/>
      <c r="ER79" s="25">
        <f>ER56/ER49</f>
        <v>-3.9362519201228824E-2</v>
      </c>
      <c r="ES79" s="25">
        <f>ES56/ES49</f>
        <v>6.8388226282963989E-3</v>
      </c>
      <c r="ET79" s="25">
        <f>ET56/ET49</f>
        <v>2.0461912479740833E-2</v>
      </c>
      <c r="EU79" s="25">
        <f>EU56/EU49</f>
        <v>1.4401162790697697E-2</v>
      </c>
      <c r="EV79" s="25">
        <f>EV56/EV49</f>
        <v>1.3412739983591055E-3</v>
      </c>
      <c r="EX79" s="25">
        <f>EX56/EX49</f>
        <v>-1.4050644211027405E-2</v>
      </c>
      <c r="EY79" s="25">
        <f>EY56/EY49</f>
        <v>5.8070920421332689E-3</v>
      </c>
      <c r="EZ79" s="25">
        <f>EZ56/EZ49</f>
        <v>2.0042918683472025E-2</v>
      </c>
      <c r="FA79" s="25">
        <f>FA56/FA49</f>
        <v>2.3836567281905596E-2</v>
      </c>
      <c r="FB79" s="25">
        <f>FB56/FB49</f>
        <v>9.6090918590134577E-3</v>
      </c>
      <c r="FD79" s="554">
        <f>FD56/FD49</f>
        <v>-4.0506442110273041E-3</v>
      </c>
      <c r="FE79" s="25">
        <f>FE56/FE49</f>
        <v>1.050559752936645E-2</v>
      </c>
      <c r="FF79" s="25">
        <f>FF56/FF49</f>
        <v>3.3430379612027876E-2</v>
      </c>
      <c r="FG79" s="25">
        <f>FG56/FG49</f>
        <v>4.2816953252353143E-2</v>
      </c>
      <c r="FH79" s="25">
        <f>FH56/FH49</f>
        <v>2.1599787723275712E-2</v>
      </c>
      <c r="FJ79" s="25">
        <f>FJ56/FJ49</f>
        <v>4.0099787723275701E-2</v>
      </c>
      <c r="FK79" s="25">
        <f>FK56/FK49</f>
        <v>4.0099787723275757E-2</v>
      </c>
      <c r="FL79" s="25">
        <f>FL56/FL49</f>
        <v>4.0099787723275764E-2</v>
      </c>
      <c r="FM79" s="25">
        <f>FM56/FM49</f>
        <v>4.0099787723275701E-2</v>
      </c>
      <c r="FN79" s="25">
        <f>FN56/FN49</f>
        <v>4.0099787723275812E-2</v>
      </c>
      <c r="FP79" s="25">
        <f>FP56/FP49</f>
        <v>6.0099787723275747E-2</v>
      </c>
      <c r="FQ79" s="25">
        <f>FQ56/FQ49</f>
        <v>6.0099787723275795E-2</v>
      </c>
      <c r="FR79" s="25">
        <f>FR56/FR49</f>
        <v>6.0099787723275726E-2</v>
      </c>
      <c r="FS79" s="25">
        <f>FS56/FS49</f>
        <v>6.009978772327576E-2</v>
      </c>
      <c r="FT79" s="25">
        <f>FT56/FT49</f>
        <v>6.009978772327574E-2</v>
      </c>
      <c r="FV79" s="25">
        <f>FV56/FV49</f>
        <v>8.2099787723275752E-2</v>
      </c>
      <c r="FW79" s="25">
        <f>FW56/FW49</f>
        <v>8.2099787723275808E-2</v>
      </c>
      <c r="FX79" s="25">
        <f>FX56/FX49</f>
        <v>8.2099787723275822E-2</v>
      </c>
      <c r="FY79" s="25">
        <f>FY56/FY49</f>
        <v>8.2099787723275849E-2</v>
      </c>
      <c r="FZ79" s="25">
        <f>FZ56/FZ49</f>
        <v>8.2099787723275822E-2</v>
      </c>
      <c r="GB79" s="25">
        <f>GB56/GB49</f>
        <v>0.10209978772327573</v>
      </c>
      <c r="GC79" s="25">
        <f>GC56/GC49</f>
        <v>0.10209978772327566</v>
      </c>
      <c r="GD79" s="25">
        <f>GD56/GD49</f>
        <v>0.10209978772327571</v>
      </c>
      <c r="GE79" s="25">
        <f>GE56/GE49</f>
        <v>0.1020997877232757</v>
      </c>
      <c r="GF79" s="25">
        <f>GF56/GF49</f>
        <v>0.10209978772327573</v>
      </c>
      <c r="GH79" s="25">
        <f>GH56/GH49</f>
        <v>0.12209978772327566</v>
      </c>
      <c r="GI79" s="25">
        <f>GI56/GI49</f>
        <v>0.1220997877232757</v>
      </c>
      <c r="GJ79" s="25">
        <f>GJ56/GJ49</f>
        <v>0.12209978772327572</v>
      </c>
      <c r="GK79" s="25">
        <f>GK56/GK49</f>
        <v>0.1220997877232757</v>
      </c>
      <c r="GL79" s="25">
        <f>GL56/GL49</f>
        <v>0.12209978772327573</v>
      </c>
      <c r="GN79" s="25">
        <f>GN56/GN49</f>
        <v>0.14209978772327567</v>
      </c>
      <c r="GO79" s="25">
        <f>GO56/GO49</f>
        <v>0.14209978772327567</v>
      </c>
      <c r="GP79" s="25">
        <f>GP56/GP49</f>
        <v>0.14209978772327569</v>
      </c>
      <c r="GQ79" s="25">
        <f>GQ56/GQ49</f>
        <v>0.14209978772327569</v>
      </c>
      <c r="GR79" s="25">
        <f>GR56/GR49</f>
        <v>0.14209978772327561</v>
      </c>
      <c r="GT79" s="25">
        <f>GT56/GT49</f>
        <v>0.15959978772327565</v>
      </c>
      <c r="GU79" s="25">
        <f>GU56/GU49</f>
        <v>0.1595997877232756</v>
      </c>
      <c r="GV79" s="25">
        <f>GV56/GV49</f>
        <v>0.1595997877232756</v>
      </c>
      <c r="GW79" s="25">
        <f>GW56/GW49</f>
        <v>0.15959978772327568</v>
      </c>
      <c r="GX79" s="25">
        <f>GX56/GX49</f>
        <v>0.15959978772327574</v>
      </c>
      <c r="GZ79" s="25">
        <f>GZ56/GZ49</f>
        <v>0.17809978772327559</v>
      </c>
      <c r="HA79" s="25">
        <f>HA56/HA49</f>
        <v>0.17809978772327553</v>
      </c>
      <c r="HB79" s="25">
        <f>HB56/HB49</f>
        <v>0.17809978772327556</v>
      </c>
      <c r="HC79" s="25">
        <f>HC56/HC49</f>
        <v>0.17809978772327559</v>
      </c>
      <c r="HD79" s="25">
        <f>HD56/HD49</f>
        <v>0.17809978772327553</v>
      </c>
      <c r="HF79" s="25">
        <f>HF56/HF49</f>
        <v>0.19659978772327552</v>
      </c>
      <c r="HG79" s="25">
        <f>HG56/HG49</f>
        <v>0.1965997877232756</v>
      </c>
      <c r="HH79" s="25">
        <f>HH56/HH49</f>
        <v>0.19659978772327558</v>
      </c>
      <c r="HI79" s="25">
        <f>HI56/HI49</f>
        <v>0.1965997877232756</v>
      </c>
      <c r="HJ79" s="25">
        <f>HJ56/HJ49</f>
        <v>0.19659978772327552</v>
      </c>
      <c r="HK79" s="491"/>
      <c r="HL79" s="491"/>
      <c r="HM79" s="491"/>
      <c r="HN79" s="491"/>
      <c r="HO79" s="491"/>
    </row>
    <row r="80" spans="1:223" s="33" customFormat="1" ht="12.95" customHeight="1">
      <c r="A80" s="25"/>
      <c r="B80" s="25" t="str">
        <f>B60</f>
        <v>Income before taxes</v>
      </c>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113"/>
      <c r="BM80" s="113"/>
      <c r="BN80" s="113"/>
      <c r="BO80" s="113"/>
      <c r="BP80" s="113"/>
      <c r="BQ80" s="113"/>
      <c r="BR80" s="113"/>
      <c r="BS80" s="113"/>
      <c r="BT80" s="113"/>
      <c r="BU80" s="113"/>
      <c r="BV80" s="113"/>
      <c r="BW80" s="113"/>
      <c r="BX80" s="113"/>
      <c r="BY80" s="135"/>
      <c r="BZ80" s="113"/>
      <c r="CA80" s="113"/>
      <c r="CB80" s="113"/>
      <c r="CC80" s="25"/>
      <c r="CD80" s="113"/>
      <c r="CE80" s="113"/>
      <c r="CF80" s="113"/>
      <c r="CG80" s="113"/>
      <c r="CH80" s="113"/>
      <c r="CI80" s="25"/>
      <c r="CJ80" s="113"/>
      <c r="CK80" s="144"/>
      <c r="CL80" s="113"/>
      <c r="CM80" s="113"/>
      <c r="CN80" s="113"/>
      <c r="CO80" s="25"/>
      <c r="CP80" s="113"/>
      <c r="CQ80" s="113"/>
      <c r="CR80" s="113"/>
      <c r="CS80" s="113"/>
      <c r="CT80" s="25"/>
      <c r="CU80" s="25"/>
      <c r="CV80" s="113"/>
      <c r="CW80" s="113"/>
      <c r="CX80" s="113"/>
      <c r="CY80" s="109"/>
      <c r="CZ80" s="109"/>
      <c r="DA80" s="109"/>
      <c r="DB80" s="109"/>
      <c r="DC80" s="109"/>
      <c r="DD80" s="109"/>
      <c r="DE80" s="109"/>
      <c r="DF80" s="109"/>
      <c r="DG80" s="25"/>
      <c r="DH80" s="25">
        <f>DH60/DH$49</f>
        <v>6.4944893808239992E-2</v>
      </c>
      <c r="DI80" s="25">
        <f>DI60/DI$49</f>
        <v>7.1428571428571341E-2</v>
      </c>
      <c r="DJ80" s="25">
        <f>DJ60/DJ$49</f>
        <v>7.7558758828296881E-2</v>
      </c>
      <c r="DK80" s="25">
        <f>DK60/DK$49</f>
        <v>9.4253023864007815E-2</v>
      </c>
      <c r="DL80" s="25">
        <f>DL60/DL$49</f>
        <v>7.7780588277805915E-2</v>
      </c>
      <c r="DN80" s="25">
        <f>DN60/DN$49</f>
        <v>6.9702962009688424E-2</v>
      </c>
      <c r="DO80" s="25">
        <f>DO60/DO$49</f>
        <v>8.407971449077295E-2</v>
      </c>
      <c r="DP80" s="25">
        <f>DP60/DP$49</f>
        <v>9.404616325282783E-2</v>
      </c>
      <c r="DQ80" s="25">
        <f>DQ60/DQ$49</f>
        <v>7.5504360519519406E-2</v>
      </c>
      <c r="DR80" s="25">
        <f>DR60/DR$49</f>
        <v>8.1028789472396778E-2</v>
      </c>
      <c r="DT80" s="25">
        <f>DT60/DT$49</f>
        <v>1.4146939545408966E-4</v>
      </c>
      <c r="DU80" s="25">
        <f>DU60/DU$49</f>
        <v>-0.16911367372983649</v>
      </c>
      <c r="DV80" s="25">
        <f>DV60/DV$49</f>
        <v>6.1748668728675724E-2</v>
      </c>
      <c r="DW80" s="25">
        <f>DW60/DW$49</f>
        <v>7.0374691460907732E-2</v>
      </c>
      <c r="DX80" s="25">
        <f>DX60/DX$49</f>
        <v>4.3177154582764747E-3</v>
      </c>
      <c r="DZ80" s="25">
        <f>DZ60/DZ$49</f>
        <v>-3.1774471363160257E-2</v>
      </c>
      <c r="EA80" s="25">
        <f>EA60/EA$49</f>
        <v>-2.7118727613288911E-2</v>
      </c>
      <c r="EB80" s="25">
        <f>EB60/EB$49</f>
        <v>-0.10373331135651884</v>
      </c>
      <c r="EC80" s="25">
        <f>EC60/EC$49</f>
        <v>-0.1580902236503039</v>
      </c>
      <c r="ED80" s="25">
        <f>ED60/ED$49</f>
        <v>-8.1423990717053987E-2</v>
      </c>
      <c r="EF80" s="25">
        <f>EF60/EF$49</f>
        <v>-0.24500507813500169</v>
      </c>
      <c r="EG80" s="25">
        <f>EG60/EG$49</f>
        <v>-0.20568952283484732</v>
      </c>
      <c r="EH80" s="25">
        <f>EH60/EH$49</f>
        <v>-0.16049603205416899</v>
      </c>
      <c r="EI80" s="25">
        <f>EI60/EI$49</f>
        <v>-7.0545402112396641E-2</v>
      </c>
      <c r="EJ80" s="25">
        <f>EJ60/EJ$49</f>
        <v>-0.16653391612781718</v>
      </c>
      <c r="EL80" s="25">
        <f>EL60/EL$49</f>
        <v>-0.10717096633143855</v>
      </c>
      <c r="EM80" s="25">
        <f>EM60/EM$49</f>
        <v>-6.1272691383570319E-2</v>
      </c>
      <c r="EN80" s="25">
        <f>EN60/EN$49</f>
        <v>-2.1085328454663869E-2</v>
      </c>
      <c r="EO80" s="25">
        <f>EO60/EO$49</f>
        <v>1.8861859699650284E-2</v>
      </c>
      <c r="EP80" s="25">
        <f>EP60/EP$49</f>
        <v>-4.0527818295830555E-2</v>
      </c>
      <c r="EQ80" s="666"/>
      <c r="ER80" s="25">
        <f>ER60/ER$49</f>
        <v>-2.0890937019969226E-2</v>
      </c>
      <c r="ES80" s="25">
        <f>ES60/ES$49</f>
        <v>2.4613682508419433E-2</v>
      </c>
      <c r="ET80" s="25">
        <f>ET60/ET$49</f>
        <v>4.0411383353990048E-2</v>
      </c>
      <c r="EU80" s="25">
        <f>EU60/EU$49</f>
        <v>2.7616279069767463E-2</v>
      </c>
      <c r="EV80" s="25">
        <f>EV60/EV$49</f>
        <v>1.8646130742424043E-2</v>
      </c>
      <c r="EX80" s="25">
        <f>EX60/EX$49</f>
        <v>-1.1485702383431445E-3</v>
      </c>
      <c r="EY80" s="25">
        <f>EY60/EY$49</f>
        <v>1.5799922792698536E-2</v>
      </c>
      <c r="EZ80" s="25">
        <f>EZ60/EZ$49</f>
        <v>2.3370980367098493E-2</v>
      </c>
      <c r="FA80" s="25">
        <f>FA60/FA$49</f>
        <v>2.9137087868748947E-2</v>
      </c>
      <c r="FB80" s="25">
        <f>FB60/FB$49</f>
        <v>1.7326337903460835E-2</v>
      </c>
      <c r="FD80" s="554">
        <f>FD60/FD$49</f>
        <v>-4.5963323091508516E-4</v>
      </c>
      <c r="FE80" s="25">
        <f>FE60/FE$49</f>
        <v>1.392873910566708E-2</v>
      </c>
      <c r="FF80" s="25">
        <f>FF60/FF$49</f>
        <v>3.6686989584390282E-2</v>
      </c>
      <c r="FG80" s="25">
        <f>FG60/FG$49</f>
        <v>4.6173433687968293E-2</v>
      </c>
      <c r="FH80" s="25">
        <f>FH60/FH$49</f>
        <v>2.5001214169878813E-2</v>
      </c>
      <c r="FJ80" s="25">
        <f>FJ60/FJ$49</f>
        <v>4.5879042023728007E-2</v>
      </c>
      <c r="FK80" s="25">
        <f>FK60/FK$49</f>
        <v>4.6034603313759151E-2</v>
      </c>
      <c r="FL80" s="25">
        <f>FL60/FL$49</f>
        <v>4.5967617770288439E-2</v>
      </c>
      <c r="FM80" s="25">
        <f>FM60/FM$49</f>
        <v>3.6735046842277103E-2</v>
      </c>
      <c r="FN80" s="25">
        <f>FN60/FN$49</f>
        <v>4.351915277938672E-2</v>
      </c>
      <c r="FP80" s="25">
        <f>FP60/FP$49</f>
        <v>5.8729843641095701E-2</v>
      </c>
      <c r="FQ80" s="25">
        <f>FQ60/FQ$49</f>
        <v>5.9374613194904807E-2</v>
      </c>
      <c r="FR80" s="25">
        <f>FR60/FR$49</f>
        <v>5.9698869376852502E-2</v>
      </c>
      <c r="FS80" s="25">
        <f>FS60/FS$49</f>
        <v>6.0024455145879903E-2</v>
      </c>
      <c r="FT80" s="25">
        <f>FT60/FT$49</f>
        <v>5.9481062035471086E-2</v>
      </c>
      <c r="FV80" s="25">
        <f>FV60/FV$49</f>
        <v>7.1735405609206063E-2</v>
      </c>
      <c r="FW80" s="25">
        <f>FW60/FW$49</f>
        <v>7.3755759472908036E-2</v>
      </c>
      <c r="FX80" s="25">
        <f>FX60/FX$49</f>
        <v>7.4416839118067526E-2</v>
      </c>
      <c r="FY80" s="25">
        <f>FY60/FY$49</f>
        <v>7.4920425775413385E-2</v>
      </c>
      <c r="FZ80" s="25">
        <f>FZ60/FZ$49</f>
        <v>7.3767001442275021E-2</v>
      </c>
      <c r="GB80" s="25">
        <f>GB60/GB$49</f>
        <v>9.4905870149269905E-2</v>
      </c>
      <c r="GC80" s="25">
        <f>GC60/GC$49</f>
        <v>9.6048750544948103E-2</v>
      </c>
      <c r="GD80" s="25">
        <f>GD60/GD$49</f>
        <v>9.6741907570556632E-2</v>
      </c>
      <c r="GE80" s="25">
        <f>GE60/GE$49</f>
        <v>9.7325132813072715E-2</v>
      </c>
      <c r="GF80" s="25">
        <f>GF60/GF$49</f>
        <v>9.6300933581744699E-2</v>
      </c>
      <c r="GH80" s="25">
        <f>GH60/GH$49</f>
        <v>0.11755674382957555</v>
      </c>
      <c r="GI80" s="25">
        <f>GI60/GI$49</f>
        <v>0.11867387982796866</v>
      </c>
      <c r="GJ80" s="25">
        <f>GJ60/GJ$49</f>
        <v>0.11937472873448099</v>
      </c>
      <c r="GK80" s="25">
        <f>GK60/GK$49</f>
        <v>0.12661372813450417</v>
      </c>
      <c r="GL80" s="25">
        <f>GL60/GL$49</f>
        <v>0.12069840791812873</v>
      </c>
      <c r="GN80" s="25">
        <f>GN60/GN$49</f>
        <v>0.14619803347560387</v>
      </c>
      <c r="GO80" s="25">
        <f>GO60/GO$49</f>
        <v>0.14698286956137663</v>
      </c>
      <c r="GP80" s="25">
        <f>GP60/GP$49</f>
        <v>0.14747329684364405</v>
      </c>
      <c r="GQ80" s="25">
        <f>GQ60/GQ$49</f>
        <v>0.14808354001116386</v>
      </c>
      <c r="GR80" s="25">
        <f>GR60/GR$49</f>
        <v>0.14721912114322708</v>
      </c>
      <c r="GT80" s="25">
        <f>GT60/GT$49</f>
        <v>0.16684450058939077</v>
      </c>
      <c r="GU80" s="25">
        <f>GU60/GU$49</f>
        <v>0.1675597287659594</v>
      </c>
      <c r="GV80" s="25">
        <f>GV60/GV$49</f>
        <v>0.16802438918661314</v>
      </c>
      <c r="GW80" s="25">
        <f>GW60/GW$49</f>
        <v>0.16867434817420024</v>
      </c>
      <c r="GX80" s="25">
        <f>GX60/GX$49</f>
        <v>0.16780914048139758</v>
      </c>
      <c r="GZ80" s="25">
        <f>GZ60/GZ$49</f>
        <v>0.18882818499599854</v>
      </c>
      <c r="HA80" s="25">
        <f>HA60/HA$49</f>
        <v>0.18946379325399743</v>
      </c>
      <c r="HB80" s="25">
        <f>HB60/HB$49</f>
        <v>0.18989719297745974</v>
      </c>
      <c r="HC80" s="25">
        <f>HC60/HC$49</f>
        <v>0.1905878843060014</v>
      </c>
      <c r="HD80" s="25">
        <f>HD60/HD$49</f>
        <v>0.18972608024165488</v>
      </c>
      <c r="HF80" s="25">
        <f>HF60/HF$49</f>
        <v>0.21120286722048315</v>
      </c>
      <c r="HG80" s="25">
        <f>HG60/HG$49</f>
        <v>0.21173900795942466</v>
      </c>
      <c r="HH80" s="25">
        <f>HH60/HH$49</f>
        <v>0.21212702256923005</v>
      </c>
      <c r="HI80" s="25">
        <f>HI60/HI$49</f>
        <v>0.21285192371580477</v>
      </c>
      <c r="HJ80" s="25">
        <f>HJ60/HJ$49</f>
        <v>0.2120096548809946</v>
      </c>
      <c r="HK80" s="491"/>
      <c r="HL80" s="491"/>
      <c r="HM80" s="491"/>
      <c r="HN80" s="491"/>
      <c r="HO80" s="491"/>
    </row>
    <row r="81" spans="1:223" s="33" customFormat="1" collapsed="1">
      <c r="A81" s="25"/>
      <c r="B81" s="25"/>
      <c r="C81" s="25" t="str">
        <f>C61</f>
        <v>Income tax</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134"/>
      <c r="BZ81" s="25"/>
      <c r="CA81" s="25"/>
      <c r="CB81" s="25"/>
      <c r="CC81" s="25"/>
      <c r="CD81" s="25"/>
      <c r="CE81" s="25"/>
      <c r="CF81" s="25"/>
      <c r="CG81" s="25"/>
      <c r="CH81" s="25"/>
      <c r="CI81" s="25"/>
      <c r="CJ81" s="25"/>
      <c r="CK81" s="25"/>
      <c r="CL81" s="25"/>
      <c r="CM81" s="25"/>
      <c r="CN81" s="25"/>
      <c r="CO81" s="25"/>
      <c r="CP81" s="113"/>
      <c r="CQ81" s="113"/>
      <c r="CR81" s="113"/>
      <c r="CS81" s="113"/>
      <c r="CT81" s="113"/>
      <c r="CU81" s="25"/>
      <c r="CV81" s="113"/>
      <c r="CW81" s="113"/>
      <c r="CX81" s="113"/>
      <c r="CY81" s="109"/>
      <c r="CZ81" s="109"/>
      <c r="DA81" s="109"/>
      <c r="DB81" s="109"/>
      <c r="DC81" s="109"/>
      <c r="DD81" s="109"/>
      <c r="DE81" s="109"/>
      <c r="DF81" s="109"/>
      <c r="DG81" s="25"/>
      <c r="DH81" s="25">
        <f>DH61/DH60</f>
        <v>0.10633648943918414</v>
      </c>
      <c r="DI81" s="25">
        <f>DI61/DI60</f>
        <v>7.7082041744162028E-2</v>
      </c>
      <c r="DJ81" s="25">
        <f>DJ61/DJ60</f>
        <v>0.13845866766187703</v>
      </c>
      <c r="DK81" s="25">
        <f>DK61/DK60</f>
        <v>0.23903995560488367</v>
      </c>
      <c r="DL81" s="25">
        <f>DL61/DL60</f>
        <v>0.15219512195121943</v>
      </c>
      <c r="DN81" s="25">
        <f>DN61/DN60</f>
        <v>-7.4602221555088985E-2</v>
      </c>
      <c r="DO81" s="25">
        <f>DO61/DO60</f>
        <v>0.15481758652946689</v>
      </c>
      <c r="DP81" s="25">
        <f>DP61/DP60</f>
        <v>0.23455912230800494</v>
      </c>
      <c r="DQ81" s="25">
        <f>DQ61/DQ60</f>
        <v>-0.35357541207088855</v>
      </c>
      <c r="DR81" s="25">
        <f>DR61/DR60</f>
        <v>8.5428804298607625E-3</v>
      </c>
      <c r="DT81" s="25">
        <f>DT61/DT60</f>
        <v>147.26666666669487</v>
      </c>
      <c r="DU81" s="25">
        <f>DU61/DU60</f>
        <v>0.71860765517710301</v>
      </c>
      <c r="DV81" s="25">
        <f>DV61/DV60</f>
        <v>0.10134262845339523</v>
      </c>
      <c r="DW81" s="25">
        <f>DW61/DW60</f>
        <v>-0.86590729671816913</v>
      </c>
      <c r="DX81" s="25">
        <f>DX61/DX60</f>
        <v>-7.9489317352785323</v>
      </c>
      <c r="DZ81" s="25">
        <f>DZ61/DZ60</f>
        <v>-0.26586761100517614</v>
      </c>
      <c r="EA81" s="25">
        <f>EA61/EA60</f>
        <v>0.73826113299000751</v>
      </c>
      <c r="EB81" s="25">
        <f>EB61/EB60</f>
        <v>0.22419957098593796</v>
      </c>
      <c r="EC81" s="25">
        <f>EC61/EC60</f>
        <v>0.12300648991296484</v>
      </c>
      <c r="ED81" s="25">
        <f>ED61/ED60</f>
        <v>0.17060553808702703</v>
      </c>
      <c r="EF81" s="25">
        <f>EF61/EF60</f>
        <v>0.1307346640192287</v>
      </c>
      <c r="EG81" s="25">
        <f>EG61/EG60</f>
        <v>0.22277073777501347</v>
      </c>
      <c r="EH81" s="25">
        <f>EH61/EH60</f>
        <v>0.13406550873288497</v>
      </c>
      <c r="EI81" s="25">
        <f>EI61/EI60</f>
        <v>0.28983137455288766</v>
      </c>
      <c r="EJ81" s="25">
        <f>EJ61/EJ60</f>
        <v>0.17777751599184799</v>
      </c>
      <c r="EL81" s="25">
        <f>EL61/EL60</f>
        <v>0.19951040391676872</v>
      </c>
      <c r="EM81" s="25">
        <f>EM61/EM60</f>
        <v>0.25649855587647191</v>
      </c>
      <c r="EN81" s="25">
        <f>EN61/EN60</f>
        <v>0.91604244694132297</v>
      </c>
      <c r="EO81" s="25">
        <f>EO61/EO60</f>
        <v>-0.32719836400817986</v>
      </c>
      <c r="EP81" s="25">
        <f>EP61/EP60</f>
        <v>0.38109934106263926</v>
      </c>
      <c r="EQ81" s="666"/>
      <c r="ER81" s="25">
        <f>ER61/ER60</f>
        <v>0.18995098039215733</v>
      </c>
      <c r="ES81" s="25">
        <f>ES61/ES60</f>
        <v>-9.2615460607557112E-2</v>
      </c>
      <c r="ET81" s="25">
        <f>ET61/ET60</f>
        <v>-2.2117369507518771E-2</v>
      </c>
      <c r="EU81" s="25">
        <f>EU61/EU60</f>
        <v>-0.16947368421052719</v>
      </c>
      <c r="EV81" s="25">
        <f>EV61/EV60</f>
        <v>-0.15831777218478404</v>
      </c>
      <c r="EX81" s="25">
        <f>EX61/EX60</f>
        <v>-1.3782383419689814</v>
      </c>
      <c r="EY81" s="25">
        <f>EY61/EY60</f>
        <v>-0.25270506108202218</v>
      </c>
      <c r="EZ81" s="25">
        <f>EZ61/EZ60</f>
        <v>0.1686033264980627</v>
      </c>
      <c r="FA81" s="25">
        <f>FA61/FA60</f>
        <v>-0.45569391806533222</v>
      </c>
      <c r="FB81" s="25">
        <f>FB61/FB60</f>
        <v>-0.17798762101253832</v>
      </c>
      <c r="FD81" s="554">
        <f>FH81</f>
        <v>0</v>
      </c>
      <c r="FE81" s="25">
        <f>FH81</f>
        <v>0</v>
      </c>
      <c r="FF81" s="25">
        <f>FH81</f>
        <v>0</v>
      </c>
      <c r="FG81" s="25">
        <f>FH81</f>
        <v>0</v>
      </c>
      <c r="FH81" s="687">
        <v>0</v>
      </c>
      <c r="FJ81" s="25">
        <f>FN81</f>
        <v>0</v>
      </c>
      <c r="FK81" s="25">
        <f>FN81</f>
        <v>0</v>
      </c>
      <c r="FL81" s="25">
        <f>FN81</f>
        <v>0</v>
      </c>
      <c r="FM81" s="25">
        <f>FN81</f>
        <v>0</v>
      </c>
      <c r="FN81" s="687">
        <f>FH81</f>
        <v>0</v>
      </c>
      <c r="FP81" s="25">
        <f>FT81</f>
        <v>0</v>
      </c>
      <c r="FQ81" s="25">
        <f>FT81</f>
        <v>0</v>
      </c>
      <c r="FR81" s="25">
        <f>FT81</f>
        <v>0</v>
      </c>
      <c r="FS81" s="25">
        <f>FT81</f>
        <v>0</v>
      </c>
      <c r="FT81" s="687">
        <v>0</v>
      </c>
      <c r="FV81" s="25">
        <f>FZ81</f>
        <v>0.2</v>
      </c>
      <c r="FW81" s="25">
        <f>FZ81</f>
        <v>0.2</v>
      </c>
      <c r="FX81" s="25">
        <f>FZ81</f>
        <v>0.2</v>
      </c>
      <c r="FY81" s="25">
        <f>FZ81</f>
        <v>0.2</v>
      </c>
      <c r="FZ81" s="687">
        <v>0.2</v>
      </c>
      <c r="GB81" s="25">
        <f>GF81</f>
        <v>0.2</v>
      </c>
      <c r="GC81" s="25">
        <f>GF81</f>
        <v>0.2</v>
      </c>
      <c r="GD81" s="25">
        <f>GF81</f>
        <v>0.2</v>
      </c>
      <c r="GE81" s="25">
        <f>GF81</f>
        <v>0.2</v>
      </c>
      <c r="GF81" s="687">
        <f>FZ81</f>
        <v>0.2</v>
      </c>
      <c r="GH81" s="25">
        <f>GL81</f>
        <v>0.2</v>
      </c>
      <c r="GI81" s="25">
        <f>GL81</f>
        <v>0.2</v>
      </c>
      <c r="GJ81" s="25">
        <f>GL81</f>
        <v>0.2</v>
      </c>
      <c r="GK81" s="25">
        <f>GL81</f>
        <v>0.2</v>
      </c>
      <c r="GL81" s="687">
        <f>GF81</f>
        <v>0.2</v>
      </c>
      <c r="GN81" s="25">
        <f>GR81</f>
        <v>0.2</v>
      </c>
      <c r="GO81" s="25">
        <f>GR81</f>
        <v>0.2</v>
      </c>
      <c r="GP81" s="25">
        <f>GR81</f>
        <v>0.2</v>
      </c>
      <c r="GQ81" s="25">
        <f>GR81</f>
        <v>0.2</v>
      </c>
      <c r="GR81" s="687">
        <f>GL81</f>
        <v>0.2</v>
      </c>
      <c r="GT81" s="25">
        <f>GX81</f>
        <v>0.2</v>
      </c>
      <c r="GU81" s="25">
        <f>GX81</f>
        <v>0.2</v>
      </c>
      <c r="GV81" s="25">
        <f>GX81</f>
        <v>0.2</v>
      </c>
      <c r="GW81" s="25">
        <f>GX81</f>
        <v>0.2</v>
      </c>
      <c r="GX81" s="687">
        <f>GR81</f>
        <v>0.2</v>
      </c>
      <c r="GZ81" s="25">
        <f>HD81</f>
        <v>0.2</v>
      </c>
      <c r="HA81" s="25">
        <f>HD81</f>
        <v>0.2</v>
      </c>
      <c r="HB81" s="25">
        <f>HD81</f>
        <v>0.2</v>
      </c>
      <c r="HC81" s="25">
        <f>HD81</f>
        <v>0.2</v>
      </c>
      <c r="HD81" s="687">
        <f>GX81</f>
        <v>0.2</v>
      </c>
      <c r="HF81" s="25">
        <f>HJ81</f>
        <v>0.2</v>
      </c>
      <c r="HG81" s="25">
        <f>HJ81</f>
        <v>0.2</v>
      </c>
      <c r="HH81" s="25">
        <f>HJ81</f>
        <v>0.2</v>
      </c>
      <c r="HI81" s="25">
        <f>HJ81</f>
        <v>0.2</v>
      </c>
      <c r="HJ81" s="687">
        <f>HD81</f>
        <v>0.2</v>
      </c>
      <c r="HK81" s="491"/>
      <c r="HL81" s="491"/>
      <c r="HM81" s="491"/>
      <c r="HN81" s="491"/>
      <c r="HO81" s="491"/>
    </row>
    <row r="82" spans="1:223" s="33" customFormat="1">
      <c r="A82" s="25"/>
      <c r="B82" s="25" t="s">
        <v>34</v>
      </c>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113"/>
      <c r="BM82" s="113"/>
      <c r="BN82" s="113"/>
      <c r="BO82" s="113"/>
      <c r="BP82" s="113"/>
      <c r="BQ82" s="113"/>
      <c r="BR82" s="113"/>
      <c r="BS82" s="113"/>
      <c r="BT82" s="113"/>
      <c r="BU82" s="113"/>
      <c r="BV82" s="113"/>
      <c r="BW82" s="113"/>
      <c r="BX82" s="113"/>
      <c r="BY82" s="135"/>
      <c r="BZ82" s="113"/>
      <c r="CA82" s="113"/>
      <c r="CB82" s="113"/>
      <c r="CC82" s="25"/>
      <c r="CD82" s="113"/>
      <c r="CE82" s="113"/>
      <c r="CF82" s="113"/>
      <c r="CG82" s="113"/>
      <c r="CH82" s="113"/>
      <c r="CI82" s="25"/>
      <c r="CJ82" s="113"/>
      <c r="CK82" s="138"/>
      <c r="CL82" s="145"/>
      <c r="CM82" s="113"/>
      <c r="CN82" s="113"/>
      <c r="CO82" s="25"/>
      <c r="CP82" s="113"/>
      <c r="CQ82" s="113"/>
      <c r="CR82" s="138"/>
      <c r="CS82" s="138"/>
      <c r="CT82" s="113"/>
      <c r="CU82" s="25"/>
      <c r="CV82" s="113"/>
      <c r="CW82" s="113"/>
      <c r="CX82" s="113"/>
      <c r="CY82" s="113"/>
      <c r="CZ82" s="113"/>
      <c r="DA82" s="113"/>
      <c r="DB82" s="113"/>
      <c r="DC82" s="113"/>
      <c r="DD82" s="113"/>
      <c r="DE82" s="113"/>
      <c r="DF82" s="113"/>
      <c r="DG82" s="25"/>
      <c r="DH82" s="25">
        <f>DH62/DH49</f>
        <v>5.8038881793671143E-2</v>
      </c>
      <c r="DI82" s="25">
        <f>DI62/DI49</f>
        <v>6.5922711303988343E-2</v>
      </c>
      <c r="DJ82" s="25">
        <f>DJ62/DJ49</f>
        <v>6.682007641542205E-2</v>
      </c>
      <c r="DK82" s="25">
        <f>DK62/DK49</f>
        <v>7.1722785223929358E-2</v>
      </c>
      <c r="DL82" s="25">
        <f>DL62/DL49</f>
        <v>6.5942762159427654E-2</v>
      </c>
      <c r="DN82" s="25">
        <f>DN62/DN49</f>
        <v>7.4902957824581146E-2</v>
      </c>
      <c r="DO82" s="25">
        <f>DO62/DO49</f>
        <v>7.1062696017224841E-2</v>
      </c>
      <c r="DP82" s="25">
        <f>DP62/DP49</f>
        <v>7.1986777743809183E-2</v>
      </c>
      <c r="DQ82" s="25">
        <f>DQ62/DQ49</f>
        <v>0.1022008459033574</v>
      </c>
      <c r="DR82" s="25">
        <f>DR62/DR49</f>
        <v>8.0336570212557745E-2</v>
      </c>
      <c r="DT82" s="25">
        <f>DT62/DT49</f>
        <v>-2.0692256908422173E-2</v>
      </c>
      <c r="DU82" s="25">
        <f>DU62/DU49</f>
        <v>-4.7587293192453042E-2</v>
      </c>
      <c r="DV82" s="25">
        <f>DV62/DV49</f>
        <v>5.5490896336213756E-2</v>
      </c>
      <c r="DW82" s="25">
        <f>DW62/DW49</f>
        <v>0.13131265030119757</v>
      </c>
      <c r="DX82" s="25">
        <f>DX62/DX49</f>
        <v>3.8638940888473035E-2</v>
      </c>
      <c r="DZ82" s="25">
        <f>DZ62/DZ49</f>
        <v>-4.0222274155436055E-2</v>
      </c>
      <c r="EA82" s="25">
        <f>EA62/EA49</f>
        <v>-7.0980250402548377E-3</v>
      </c>
      <c r="EB82" s="25">
        <f>EB62/EB49</f>
        <v>-8.0476347453436597E-2</v>
      </c>
      <c r="EC82" s="25">
        <f>EC62/EC49</f>
        <v>-0.13864410014952444</v>
      </c>
      <c r="ED82" s="25">
        <f>ED62/ED49</f>
        <v>-6.7532606967577902E-2</v>
      </c>
      <c r="EF82" s="25">
        <f>EF62/EF49</f>
        <v>-0.21297442156201735</v>
      </c>
      <c r="EG82" s="25">
        <f>EG62/EG49</f>
        <v>-0.1598679160803379</v>
      </c>
      <c r="EH82" s="25">
        <f>EH62/EH49</f>
        <v>-0.13897904986721743</v>
      </c>
      <c r="EI82" s="25">
        <f>EI62/EI49</f>
        <v>-5.0099131249774539E-2</v>
      </c>
      <c r="EJ82" s="25">
        <f>EJ62/EJ49</f>
        <v>-0.13692793019021909</v>
      </c>
      <c r="EL82" s="25">
        <f>EL62/EL49</f>
        <v>-8.5789243550502825E-2</v>
      </c>
      <c r="EM82" s="25">
        <f>EM62/EM49</f>
        <v>-4.555633452901979E-2</v>
      </c>
      <c r="EN82" s="25">
        <f>EN62/EN49</f>
        <v>-1.7702725824920737E-3</v>
      </c>
      <c r="EO82" s="25">
        <f>EO62/EO49</f>
        <v>2.5033429335527674E-2</v>
      </c>
      <c r="EP82" s="25">
        <f>EP62/EP49</f>
        <v>-2.5082693448583156E-2</v>
      </c>
      <c r="EQ82" s="666"/>
      <c r="ER82" s="25">
        <f>ER62/ER49</f>
        <v>-1.6922683051715254E-2</v>
      </c>
      <c r="ES82" s="25">
        <f>ES62/ES49</f>
        <v>2.6893290051184869E-2</v>
      </c>
      <c r="ET82" s="25">
        <f>ET62/ET49</f>
        <v>4.1305176851940247E-2</v>
      </c>
      <c r="EU82" s="25">
        <f>EU62/EU49</f>
        <v>3.2296511627907025E-2</v>
      </c>
      <c r="EV82" s="25">
        <f>EV62/EV$49</f>
        <v>2.159814462143083E-2</v>
      </c>
      <c r="EX82" s="25">
        <f>EX62/EX49</f>
        <v>-2.7315737792721179E-3</v>
      </c>
      <c r="EY82" s="25">
        <f>EY62/EY49</f>
        <v>1.9792643247118651E-2</v>
      </c>
      <c r="EZ82" s="25">
        <f>EZ62/EZ49</f>
        <v>1.9430555333684773E-2</v>
      </c>
      <c r="FA82" s="25">
        <f>FA62/FA49</f>
        <v>4.2414681600673014E-2</v>
      </c>
      <c r="FB82" s="25">
        <f>FB62/FB$49</f>
        <v>2.04102115677572E-2</v>
      </c>
      <c r="FD82" s="554">
        <f>FD62/FD$49</f>
        <v>-4.5963323091508516E-4</v>
      </c>
      <c r="FE82" s="25">
        <f>FE62/FE$49</f>
        <v>1.392873910566708E-2</v>
      </c>
      <c r="FF82" s="25">
        <f>FF62/FF$49</f>
        <v>3.6686989584390282E-2</v>
      </c>
      <c r="FG82" s="25">
        <f>FG62/FG$49</f>
        <v>4.6173433687968293E-2</v>
      </c>
      <c r="FH82" s="25">
        <f>FH62/FH$49</f>
        <v>2.5001214169878813E-2</v>
      </c>
      <c r="FJ82" s="25">
        <f>FJ62/FJ$49</f>
        <v>4.5879042023728007E-2</v>
      </c>
      <c r="FK82" s="25">
        <f>FK62/FK$49</f>
        <v>4.6034603313759151E-2</v>
      </c>
      <c r="FL82" s="25">
        <f>FL62/FL$49</f>
        <v>4.5967617770288439E-2</v>
      </c>
      <c r="FM82" s="25">
        <f>FM62/FM$49</f>
        <v>3.6735046842277103E-2</v>
      </c>
      <c r="FN82" s="25">
        <f>FN62/FN$49</f>
        <v>4.351915277938672E-2</v>
      </c>
      <c r="FP82" s="25">
        <f>FP62/FP$49</f>
        <v>5.8729843641095701E-2</v>
      </c>
      <c r="FQ82" s="25">
        <f>FQ62/FQ$49</f>
        <v>5.9374613194904807E-2</v>
      </c>
      <c r="FR82" s="25">
        <f>FR62/FR$49</f>
        <v>5.9698869376852502E-2</v>
      </c>
      <c r="FS82" s="25">
        <f>FS62/FS$49</f>
        <v>6.0024455145879903E-2</v>
      </c>
      <c r="FT82" s="25">
        <f>FT62/FT$49</f>
        <v>5.9481062035471086E-2</v>
      </c>
      <c r="FV82" s="25">
        <f>FV62/FV$49</f>
        <v>5.7388324487364847E-2</v>
      </c>
      <c r="FW82" s="25">
        <f>FW62/FW$49</f>
        <v>5.9004607578326429E-2</v>
      </c>
      <c r="FX82" s="25">
        <f>FX62/FX$49</f>
        <v>5.9533471294454021E-2</v>
      </c>
      <c r="FY82" s="25">
        <f>FY62/FY$49</f>
        <v>5.9936340620330708E-2</v>
      </c>
      <c r="FZ82" s="25">
        <f>FZ62/FZ$49</f>
        <v>5.9013601153820011E-2</v>
      </c>
      <c r="GB82" s="25">
        <f>GB62/GB$49</f>
        <v>7.5924696119415921E-2</v>
      </c>
      <c r="GC82" s="25">
        <f>GC62/GC$49</f>
        <v>7.6839000435958482E-2</v>
      </c>
      <c r="GD82" s="25">
        <f>GD62/GD$49</f>
        <v>7.7393526056445297E-2</v>
      </c>
      <c r="GE82" s="25">
        <f>GE62/GE$49</f>
        <v>7.7860106250458166E-2</v>
      </c>
      <c r="GF82" s="25">
        <f>GF62/GF$49</f>
        <v>7.7040746865395762E-2</v>
      </c>
      <c r="GH82" s="25">
        <f>GH62/GH$49</f>
        <v>9.4045395063660428E-2</v>
      </c>
      <c r="GI82" s="25">
        <f>GI62/GI$49</f>
        <v>9.4939103862374932E-2</v>
      </c>
      <c r="GJ82" s="25">
        <f>GJ62/GJ$49</f>
        <v>9.5499782987584783E-2</v>
      </c>
      <c r="GK82" s="25">
        <f>GK62/GK$49</f>
        <v>0.10129098250760335</v>
      </c>
      <c r="GL82" s="25">
        <f>GL62/GL$49</f>
        <v>9.6558726334502992E-2</v>
      </c>
      <c r="GN82" s="25">
        <f>GN62/GN$49</f>
        <v>0.11695842678048309</v>
      </c>
      <c r="GO82" s="25">
        <f>GO62/GO$49</f>
        <v>0.11758629564910128</v>
      </c>
      <c r="GP82" s="25">
        <f>GP62/GP$49</f>
        <v>0.11797863747491523</v>
      </c>
      <c r="GQ82" s="25">
        <f>GQ62/GQ$49</f>
        <v>0.11846683200893109</v>
      </c>
      <c r="GR82" s="25">
        <f>GR62/GR$49</f>
        <v>0.11777529691458165</v>
      </c>
      <c r="GT82" s="25">
        <f>GT62/GT$49</f>
        <v>0.13347560047151261</v>
      </c>
      <c r="GU82" s="25">
        <f>GU62/GU$49</f>
        <v>0.13404778301276751</v>
      </c>
      <c r="GV82" s="25">
        <f>GV62/GV$49</f>
        <v>0.13441951134929053</v>
      </c>
      <c r="GW82" s="25">
        <f>GW62/GW$49</f>
        <v>0.1349394785393602</v>
      </c>
      <c r="GX82" s="25">
        <f>GX62/GX$49</f>
        <v>0.13424731238511808</v>
      </c>
      <c r="GZ82" s="25">
        <f>GZ62/GZ$49</f>
        <v>0.15106254799679886</v>
      </c>
      <c r="HA82" s="25">
        <f>HA62/HA$49</f>
        <v>0.15157103460319793</v>
      </c>
      <c r="HB82" s="25">
        <f>HB62/HB$49</f>
        <v>0.15191775438196781</v>
      </c>
      <c r="HC82" s="25">
        <f>HC62/HC$49</f>
        <v>0.15247030744480111</v>
      </c>
      <c r="HD82" s="25">
        <f>HD62/HD$49</f>
        <v>0.1517808641933239</v>
      </c>
      <c r="HF82" s="25">
        <f>HF62/HF$49</f>
        <v>0.16896229377638652</v>
      </c>
      <c r="HG82" s="25">
        <f>HG62/HG$49</f>
        <v>0.16939120636753974</v>
      </c>
      <c r="HH82" s="25">
        <f>HH62/HH$49</f>
        <v>0.16970161805538403</v>
      </c>
      <c r="HI82" s="25">
        <f>HI62/HI$49</f>
        <v>0.17028153897264381</v>
      </c>
      <c r="HJ82" s="25">
        <f>HJ62/HJ$49</f>
        <v>0.1696077239047957</v>
      </c>
      <c r="HK82" s="491"/>
      <c r="HL82" s="491"/>
      <c r="HM82" s="491"/>
      <c r="HN82" s="491"/>
      <c r="HO82" s="491"/>
    </row>
    <row r="83" spans="1:223" s="26" customFormat="1" ht="7.5" customHeight="1">
      <c r="BY83" s="136"/>
      <c r="CK83" s="143"/>
      <c r="FD83" s="553"/>
      <c r="HH83" s="515"/>
      <c r="HI83" s="515"/>
      <c r="HJ83" s="515"/>
      <c r="HK83" s="515"/>
      <c r="HL83" s="515"/>
      <c r="HM83" s="515"/>
      <c r="HN83" s="515"/>
      <c r="HO83" s="515"/>
    </row>
    <row r="84" spans="1:223" s="25" customFormat="1">
      <c r="B84" s="27" t="s">
        <v>35</v>
      </c>
      <c r="BY84" s="134"/>
      <c r="FD84" s="554"/>
      <c r="HH84" s="491"/>
      <c r="HI84" s="491"/>
      <c r="HJ84" s="491"/>
      <c r="HK84" s="491"/>
      <c r="HL84" s="491"/>
      <c r="HM84" s="491"/>
      <c r="HN84" s="491"/>
      <c r="HO84" s="491"/>
    </row>
    <row r="85" spans="1:223" s="667" customFormat="1">
      <c r="B85" s="25" t="str">
        <f>B49</f>
        <v>Net sales</v>
      </c>
      <c r="C85" s="25"/>
      <c r="BS85" s="110"/>
      <c r="BT85" s="110"/>
      <c r="BU85" s="110"/>
      <c r="BV85" s="110"/>
      <c r="BW85" s="110"/>
      <c r="BX85" s="110"/>
      <c r="BY85" s="668"/>
      <c r="BZ85" s="110"/>
      <c r="CA85" s="110"/>
      <c r="CB85" s="110"/>
      <c r="CC85" s="110"/>
      <c r="CD85" s="110"/>
      <c r="CE85" s="110"/>
      <c r="CF85" s="110"/>
      <c r="CG85" s="110"/>
      <c r="CH85" s="110"/>
      <c r="CJ85" s="110"/>
      <c r="CK85" s="110"/>
      <c r="CL85" s="110"/>
      <c r="CM85" s="110"/>
      <c r="CN85" s="110"/>
      <c r="CP85" s="110"/>
      <c r="CQ85" s="669"/>
      <c r="CR85" s="669"/>
      <c r="CS85" s="110"/>
      <c r="CT85" s="110"/>
      <c r="CV85" s="110"/>
      <c r="CW85" s="110"/>
      <c r="CX85" s="110"/>
      <c r="CY85" s="110"/>
      <c r="CZ85" s="110"/>
      <c r="DA85" s="110"/>
      <c r="DB85" s="110"/>
      <c r="DC85" s="110"/>
      <c r="DD85" s="110"/>
      <c r="DE85" s="110"/>
      <c r="DF85" s="110"/>
      <c r="DH85" s="110"/>
      <c r="DI85" s="110"/>
      <c r="DJ85" s="110"/>
      <c r="DK85" s="110"/>
      <c r="DL85" s="110"/>
      <c r="DN85" s="110">
        <f t="shared" ref="DN85:DR88" si="80">DN49/DH49-1</f>
        <v>0.50697696419280058</v>
      </c>
      <c r="DO85" s="110">
        <f t="shared" si="80"/>
        <v>0.50138753579547135</v>
      </c>
      <c r="DP85" s="110">
        <f t="shared" si="80"/>
        <v>0.51487785110570794</v>
      </c>
      <c r="DQ85" s="110">
        <f t="shared" si="80"/>
        <v>0.39742399476953261</v>
      </c>
      <c r="DR85" s="110">
        <f t="shared" si="80"/>
        <v>0.47730721977307211</v>
      </c>
      <c r="DT85" s="110">
        <f t="shared" ref="DT85:DX88" si="81">DT49/DN49-1</f>
        <v>0.10936731640457431</v>
      </c>
      <c r="DU85" s="110">
        <f t="shared" si="81"/>
        <v>-0.14487823582039649</v>
      </c>
      <c r="DV85" s="110">
        <f t="shared" si="81"/>
        <v>0.19844848670131454</v>
      </c>
      <c r="DW85" s="110">
        <f t="shared" si="81"/>
        <v>0.17899651907025493</v>
      </c>
      <c r="DX85" s="110">
        <f t="shared" si="81"/>
        <v>8.7121786561651593E-2</v>
      </c>
      <c r="DY85" s="110"/>
      <c r="DZ85" s="110">
        <f t="shared" ref="DZ85:ED88" si="82">DZ49/DT49-1</f>
        <v>8.9625577666698097E-2</v>
      </c>
      <c r="EA85" s="110">
        <f t="shared" si="82"/>
        <v>0.39949641859342133</v>
      </c>
      <c r="EB85" s="110">
        <f t="shared" si="82"/>
        <v>-3.2715793501482682E-2</v>
      </c>
      <c r="EC85" s="110">
        <f t="shared" si="82"/>
        <v>-2.1032246799527199E-3</v>
      </c>
      <c r="ED85" s="110">
        <f t="shared" si="82"/>
        <v>8.9731532147742543E-2</v>
      </c>
      <c r="EE85" s="110"/>
      <c r="EF85" s="110">
        <f t="shared" ref="EF85:EJ88" si="83">EF49/DZ49-1</f>
        <v>1.4160456319839421E-2</v>
      </c>
      <c r="EG85" s="110">
        <f t="shared" si="83"/>
        <v>2.7504847030988211E-2</v>
      </c>
      <c r="EH85" s="110">
        <f t="shared" si="83"/>
        <v>6.1331794956321239E-2</v>
      </c>
      <c r="EI85" s="110">
        <f t="shared" si="83"/>
        <v>0.1031797792129292</v>
      </c>
      <c r="EJ85" s="110">
        <f t="shared" si="83"/>
        <v>5.2441625424040517E-2</v>
      </c>
      <c r="EK85" s="110"/>
      <c r="EL85" s="667">
        <f t="shared" ref="EL85:EP88" si="84">EL49/EF49-1</f>
        <v>0.17112888221287204</v>
      </c>
      <c r="EM85" s="667">
        <f t="shared" si="84"/>
        <v>0.1746593961877958</v>
      </c>
      <c r="EN85" s="667">
        <f t="shared" si="84"/>
        <v>0.17993197807146966</v>
      </c>
      <c r="EO85" s="667">
        <f t="shared" si="84"/>
        <v>0.12145921199668352</v>
      </c>
      <c r="EP85" s="667">
        <f t="shared" si="84"/>
        <v>0.16070335551509807</v>
      </c>
      <c r="ER85" s="667">
        <f t="shared" ref="ER85:EV88" si="85">ER49/EL49-1</f>
        <v>0.1386095321381724</v>
      </c>
      <c r="ES85" s="667">
        <f t="shared" si="85"/>
        <v>0.1196934323461547</v>
      </c>
      <c r="ET85" s="667">
        <f t="shared" si="85"/>
        <v>0.10443950142806369</v>
      </c>
      <c r="EU85" s="667">
        <f t="shared" si="85"/>
        <v>0.10573955976136595</v>
      </c>
      <c r="EV85" s="667">
        <f t="shared" si="85"/>
        <v>0.1164942372342781</v>
      </c>
      <c r="EX85" s="667">
        <f t="shared" ref="EX85:FB88" si="86">EX49/ER49-1</f>
        <v>7.5492831541218663E-2</v>
      </c>
      <c r="EY85" s="667">
        <f t="shared" si="86"/>
        <v>0.10229662861241806</v>
      </c>
      <c r="EZ85" s="667">
        <f>EZ49/ET49-1</f>
        <v>0.11901158356373331</v>
      </c>
      <c r="FA85" s="667">
        <f t="shared" si="86"/>
        <v>0.10563953488372091</v>
      </c>
      <c r="FB85" s="667">
        <f t="shared" si="86"/>
        <v>0.10107392751064981</v>
      </c>
      <c r="FD85" s="672">
        <f t="shared" ref="FD85:FH88" si="87">FD49/EX49-1</f>
        <v>9.8710780600172576E-2</v>
      </c>
      <c r="FE85" s="667">
        <f t="shared" si="87"/>
        <v>8.1290714443280399E-2</v>
      </c>
      <c r="FF85" s="667">
        <f t="shared" si="87"/>
        <v>9.4697230062248172E-2</v>
      </c>
      <c r="FG85" s="667">
        <f t="shared" si="87"/>
        <v>0.11000652452016602</v>
      </c>
      <c r="FH85" s="667">
        <f t="shared" si="87"/>
        <v>9.6284925934992494E-2</v>
      </c>
      <c r="FJ85" s="667">
        <f t="shared" ref="FJ85:FN88" si="88">FJ49/FD49-1</f>
        <v>9.7550016756095204E-2</v>
      </c>
      <c r="FK85" s="667">
        <f t="shared" si="88"/>
        <v>9.7815935154306421E-2</v>
      </c>
      <c r="FL85" s="667">
        <f t="shared" si="88"/>
        <v>9.7824437921020246E-2</v>
      </c>
      <c r="FM85" s="667">
        <f t="shared" si="88"/>
        <v>9.7886488543660777E-2</v>
      </c>
      <c r="FN85" s="667">
        <f t="shared" si="88"/>
        <v>9.7775234457554872E-2</v>
      </c>
      <c r="FP85" s="667">
        <f t="shared" ref="FP85" si="89">FP49/FJ49-1</f>
        <v>9.7744830736255839E-2</v>
      </c>
      <c r="FQ85" s="667">
        <f t="shared" ref="FQ85" si="90">FQ49/FK49-1</f>
        <v>9.8000241979416369E-2</v>
      </c>
      <c r="FR85" s="667">
        <f t="shared" ref="FR85" si="91">FR49/FL49-1</f>
        <v>9.8008400273167817E-2</v>
      </c>
      <c r="FS85" s="667">
        <f t="shared" ref="FS85" si="92">FS49/FM49-1</f>
        <v>9.8067958519672649E-2</v>
      </c>
      <c r="FT85" s="667">
        <f t="shared" ref="FT85" si="93">FT49/FN49-1</f>
        <v>9.7961148331160208E-2</v>
      </c>
      <c r="FV85" s="667">
        <f>FZ85</f>
        <v>9.2961148331160204E-2</v>
      </c>
      <c r="FW85" s="667">
        <f>FZ85</f>
        <v>9.2961148331160204E-2</v>
      </c>
      <c r="FX85" s="667">
        <f>FZ85</f>
        <v>9.2961148331160204E-2</v>
      </c>
      <c r="FY85" s="667">
        <f>FZ85</f>
        <v>9.2961148331160204E-2</v>
      </c>
      <c r="FZ85" s="355">
        <f>FT85-0.005</f>
        <v>9.2961148331160204E-2</v>
      </c>
      <c r="GB85" s="667">
        <f>GF85</f>
        <v>8.7961148331160199E-2</v>
      </c>
      <c r="GC85" s="667">
        <f>GF85</f>
        <v>8.7961148331160199E-2</v>
      </c>
      <c r="GD85" s="667">
        <f>GF85</f>
        <v>8.7961148331160199E-2</v>
      </c>
      <c r="GE85" s="667">
        <f>GF85</f>
        <v>8.7961148331160199E-2</v>
      </c>
      <c r="GF85" s="355">
        <f>FZ85-0.005</f>
        <v>8.7961148331160199E-2</v>
      </c>
      <c r="GH85" s="667">
        <f>GL85</f>
        <v>8.0961148331160193E-2</v>
      </c>
      <c r="GI85" s="667">
        <f>GL85</f>
        <v>8.0961148331160193E-2</v>
      </c>
      <c r="GJ85" s="667">
        <f>GL85</f>
        <v>8.0961148331160193E-2</v>
      </c>
      <c r="GK85" s="667">
        <f>GL85</f>
        <v>8.0961148331160193E-2</v>
      </c>
      <c r="GL85" s="355">
        <f>GF85-0.007</f>
        <v>8.0961148331160193E-2</v>
      </c>
      <c r="GN85" s="667">
        <f>GR85</f>
        <v>7.5961148331160189E-2</v>
      </c>
      <c r="GO85" s="667">
        <f>GR85</f>
        <v>7.5961148331160189E-2</v>
      </c>
      <c r="GP85" s="667">
        <f>GR85</f>
        <v>7.5961148331160189E-2</v>
      </c>
      <c r="GQ85" s="667">
        <f>GR85</f>
        <v>7.5961148331160189E-2</v>
      </c>
      <c r="GR85" s="355">
        <f>GL85-0.005</f>
        <v>7.5961148331160189E-2</v>
      </c>
      <c r="GT85" s="667">
        <f>GX85</f>
        <v>7.0961148331160184E-2</v>
      </c>
      <c r="GU85" s="667">
        <f>GX85</f>
        <v>7.0961148331160184E-2</v>
      </c>
      <c r="GV85" s="667">
        <f>GX85</f>
        <v>7.0961148331160184E-2</v>
      </c>
      <c r="GW85" s="667">
        <f>GX85</f>
        <v>7.0961148331160184E-2</v>
      </c>
      <c r="GX85" s="355">
        <f>GR85-0.005</f>
        <v>7.0961148331160184E-2</v>
      </c>
      <c r="GZ85" s="667">
        <f>HD85</f>
        <v>6.596114833116018E-2</v>
      </c>
      <c r="HA85" s="667">
        <f>HD85</f>
        <v>6.596114833116018E-2</v>
      </c>
      <c r="HB85" s="667">
        <f>HD85</f>
        <v>6.596114833116018E-2</v>
      </c>
      <c r="HC85" s="667">
        <f>HD85</f>
        <v>6.596114833116018E-2</v>
      </c>
      <c r="HD85" s="355">
        <f>GX85-0.005</f>
        <v>6.596114833116018E-2</v>
      </c>
      <c r="HF85" s="667">
        <f>HJ85</f>
        <v>6.0961148331160182E-2</v>
      </c>
      <c r="HG85" s="667">
        <f>HJ85</f>
        <v>6.0961148331160182E-2</v>
      </c>
      <c r="HH85" s="667">
        <f>HJ85</f>
        <v>6.0961148331160182E-2</v>
      </c>
      <c r="HI85" s="667">
        <f>HJ85</f>
        <v>6.0961148331160182E-2</v>
      </c>
      <c r="HJ85" s="355">
        <f>HD85-0.005</f>
        <v>6.0961148331160182E-2</v>
      </c>
      <c r="HK85" s="516"/>
      <c r="HL85" s="516"/>
      <c r="HM85" s="516"/>
      <c r="HN85" s="516"/>
      <c r="HO85" s="516"/>
    </row>
    <row r="86" spans="1:223" s="667" customFormat="1">
      <c r="B86" s="25"/>
      <c r="C86" s="25" t="str">
        <f>C50</f>
        <v>Cost of products sold</v>
      </c>
      <c r="BS86" s="110"/>
      <c r="BT86" s="110"/>
      <c r="BU86" s="110"/>
      <c r="BV86" s="110"/>
      <c r="BW86" s="110"/>
      <c r="BX86" s="110"/>
      <c r="BY86" s="668"/>
      <c r="BZ86" s="110"/>
      <c r="CA86" s="110"/>
      <c r="CB86" s="110"/>
      <c r="CC86" s="110"/>
      <c r="CD86" s="669"/>
      <c r="CE86" s="669"/>
      <c r="CF86" s="669"/>
      <c r="CG86" s="669"/>
      <c r="CH86" s="669"/>
      <c r="CJ86" s="669"/>
      <c r="CK86" s="669"/>
      <c r="CL86" s="669"/>
      <c r="CM86" s="669"/>
      <c r="CN86" s="669"/>
      <c r="CP86" s="669"/>
      <c r="CQ86" s="669"/>
      <c r="CR86" s="669"/>
      <c r="CS86" s="110"/>
      <c r="CT86" s="110"/>
      <c r="CU86" s="110"/>
      <c r="CV86" s="110"/>
      <c r="CW86" s="110"/>
      <c r="CX86" s="110"/>
      <c r="CY86" s="110"/>
      <c r="CZ86" s="110"/>
      <c r="DA86" s="110"/>
      <c r="DB86" s="110"/>
      <c r="DC86" s="110"/>
      <c r="DD86" s="110"/>
      <c r="DE86" s="110"/>
      <c r="DF86" s="110"/>
      <c r="DH86" s="110"/>
      <c r="DI86" s="110"/>
      <c r="DJ86" s="110"/>
      <c r="DK86" s="110"/>
      <c r="DL86" s="110"/>
      <c r="DN86" s="110">
        <f t="shared" si="80"/>
        <v>0.34169435215946864</v>
      </c>
      <c r="DO86" s="110">
        <f t="shared" si="80"/>
        <v>0.41732050730868431</v>
      </c>
      <c r="DP86" s="110">
        <f t="shared" si="80"/>
        <v>0.46403806934058478</v>
      </c>
      <c r="DQ86" s="110">
        <f t="shared" si="80"/>
        <v>0.44662635910984672</v>
      </c>
      <c r="DR86" s="110">
        <f t="shared" si="80"/>
        <v>0.41825723365111234</v>
      </c>
      <c r="DT86" s="110">
        <f t="shared" si="81"/>
        <v>0.23108827534975851</v>
      </c>
      <c r="DU86" s="110">
        <f t="shared" si="81"/>
        <v>0.11799723207007018</v>
      </c>
      <c r="DV86" s="110">
        <f t="shared" si="81"/>
        <v>0.32576151560178301</v>
      </c>
      <c r="DW86" s="110">
        <f t="shared" si="81"/>
        <v>0.20368776889981555</v>
      </c>
      <c r="DX86" s="110">
        <f t="shared" si="81"/>
        <v>0.21963357453512833</v>
      </c>
      <c r="DY86" s="110"/>
      <c r="DZ86" s="110">
        <f t="shared" si="82"/>
        <v>0.15083555421464601</v>
      </c>
      <c r="EA86" s="110">
        <f t="shared" si="82"/>
        <v>0.15319394278543697</v>
      </c>
      <c r="EB86" s="110">
        <f t="shared" si="82"/>
        <v>-2.9448437215427559E-2</v>
      </c>
      <c r="EC86" s="110">
        <f t="shared" si="82"/>
        <v>0.10326213818860874</v>
      </c>
      <c r="ED86" s="110">
        <f t="shared" si="82"/>
        <v>8.8990736980526508E-2</v>
      </c>
      <c r="EE86" s="110"/>
      <c r="EF86" s="110">
        <f t="shared" si="83"/>
        <v>7.8997960967084335E-2</v>
      </c>
      <c r="EG86" s="110">
        <f t="shared" si="83"/>
        <v>0.12157929564002679</v>
      </c>
      <c r="EH86" s="110">
        <f t="shared" si="83"/>
        <v>8.3130043160067668E-2</v>
      </c>
      <c r="EI86" s="110">
        <f t="shared" si="83"/>
        <v>1.8566025759699567E-2</v>
      </c>
      <c r="EJ86" s="110">
        <f t="shared" si="83"/>
        <v>7.4068417837507727E-2</v>
      </c>
      <c r="EK86" s="110"/>
      <c r="EL86" s="667">
        <f t="shared" si="84"/>
        <v>4.6825225419793837E-2</v>
      </c>
      <c r="EM86" s="667">
        <f t="shared" si="84"/>
        <v>7.7353716256080007E-2</v>
      </c>
      <c r="EN86" s="667">
        <f t="shared" si="84"/>
        <v>0.12999093768324554</v>
      </c>
      <c r="EO86" s="667">
        <f t="shared" si="84"/>
        <v>7.606522472931232E-2</v>
      </c>
      <c r="EP86" s="667">
        <f t="shared" si="84"/>
        <v>8.2607243592499158E-2</v>
      </c>
      <c r="ER86" s="110">
        <f t="shared" si="85"/>
        <v>0.10203344809356163</v>
      </c>
      <c r="ES86" s="110">
        <f t="shared" si="85"/>
        <v>5.5590035656480907E-2</v>
      </c>
      <c r="ET86" s="110">
        <f t="shared" si="85"/>
        <v>3.4839014034673932E-2</v>
      </c>
      <c r="EU86" s="110">
        <f t="shared" si="85"/>
        <v>8.032816553055433E-2</v>
      </c>
      <c r="EV86" s="110">
        <f t="shared" si="85"/>
        <v>6.7479940501097735E-2</v>
      </c>
      <c r="EW86" s="110"/>
      <c r="EX86" s="110">
        <f t="shared" si="86"/>
        <v>4.7012847214096931E-2</v>
      </c>
      <c r="EY86" s="110">
        <f t="shared" si="86"/>
        <v>0.14084458329970828</v>
      </c>
      <c r="EZ86" s="110">
        <f>EZ50/ET50-1</f>
        <v>0.16704276075857027</v>
      </c>
      <c r="FA86" s="110">
        <f t="shared" si="86"/>
        <v>0.13758752777994943</v>
      </c>
      <c r="FB86" s="110">
        <f t="shared" si="86"/>
        <v>0.12364160758124609</v>
      </c>
      <c r="FC86" s="110"/>
      <c r="FD86" s="829">
        <f t="shared" si="87"/>
        <v>7.807895077381799E-2</v>
      </c>
      <c r="FE86" s="110">
        <f t="shared" si="87"/>
        <v>5.9495863114939151E-2</v>
      </c>
      <c r="FF86" s="110">
        <f t="shared" si="87"/>
        <v>7.462117067669527E-2</v>
      </c>
      <c r="FG86" s="110">
        <f t="shared" si="87"/>
        <v>8.9283598554113608E-2</v>
      </c>
      <c r="FH86" s="110">
        <f t="shared" si="87"/>
        <v>7.540090080404771E-2</v>
      </c>
      <c r="FI86" s="110"/>
      <c r="FJ86" s="110">
        <f t="shared" si="88"/>
        <v>8.6227202460103625E-2</v>
      </c>
      <c r="FK86" s="110">
        <f t="shared" si="88"/>
        <v>6.1697181278171476E-2</v>
      </c>
      <c r="FL86" s="110">
        <f t="shared" si="88"/>
        <v>6.0633028570433956E-2</v>
      </c>
      <c r="FM86" s="110">
        <f t="shared" si="88"/>
        <v>8.0131731851819987E-2</v>
      </c>
      <c r="FN86" s="110">
        <f t="shared" si="88"/>
        <v>7.1866771594686796E-2</v>
      </c>
      <c r="FO86" s="110"/>
      <c r="FP86" s="110">
        <f t="shared" ref="FP86:FT88" si="94">FP50/FJ50-1</f>
        <v>7.1210860345773286E-2</v>
      </c>
      <c r="FQ86" s="110">
        <f t="shared" si="94"/>
        <v>7.1460097955340807E-2</v>
      </c>
      <c r="FR86" s="110">
        <f t="shared" si="94"/>
        <v>7.1468059052149258E-2</v>
      </c>
      <c r="FS86" s="110">
        <f t="shared" si="94"/>
        <v>7.1526177695656168E-2</v>
      </c>
      <c r="FT86" s="110">
        <f t="shared" si="94"/>
        <v>7.1421949253192674E-2</v>
      </c>
      <c r="FU86" s="110"/>
      <c r="FV86" s="110">
        <f t="shared" ref="FV86:FZ88" si="95">FV50/FP50-1</f>
        <v>6.5888421736131075E-2</v>
      </c>
      <c r="FW86" s="110">
        <f t="shared" si="95"/>
        <v>6.5888421736131075E-2</v>
      </c>
      <c r="FX86" s="110">
        <f t="shared" si="95"/>
        <v>6.5888421736131075E-2</v>
      </c>
      <c r="FY86" s="110">
        <f t="shared" si="95"/>
        <v>6.5888421736131297E-2</v>
      </c>
      <c r="FZ86" s="110">
        <f t="shared" si="95"/>
        <v>6.5888421736131075E-2</v>
      </c>
      <c r="GA86" s="110"/>
      <c r="GB86" s="110">
        <f t="shared" ref="GB86:GF88" si="96">GB50/FV50-1</f>
        <v>6.0327791861438884E-2</v>
      </c>
      <c r="GC86" s="110">
        <f t="shared" si="96"/>
        <v>6.0327791861438884E-2</v>
      </c>
      <c r="GD86" s="110">
        <f t="shared" si="96"/>
        <v>6.0327791861438884E-2</v>
      </c>
      <c r="GE86" s="110">
        <f t="shared" si="96"/>
        <v>6.0327791861438884E-2</v>
      </c>
      <c r="GF86" s="110">
        <f t="shared" si="96"/>
        <v>6.0327791861439106E-2</v>
      </c>
      <c r="GG86" s="110"/>
      <c r="GH86" s="110">
        <f t="shared" ref="GH86:GL88" si="97">GH50/GB50-1</f>
        <v>5.2790062963949724E-2</v>
      </c>
      <c r="GI86" s="110">
        <f t="shared" si="97"/>
        <v>5.2790062963949724E-2</v>
      </c>
      <c r="GJ86" s="110">
        <f t="shared" si="97"/>
        <v>5.2790062963949502E-2</v>
      </c>
      <c r="GK86" s="110">
        <f t="shared" si="97"/>
        <v>5.2790062963949724E-2</v>
      </c>
      <c r="GL86" s="110">
        <f t="shared" si="97"/>
        <v>5.2790062963949502E-2</v>
      </c>
      <c r="GM86" s="110"/>
      <c r="GN86" s="110">
        <f t="shared" ref="GN86:GR88" si="98">GN50/GH50-1</f>
        <v>4.7170039421845944E-2</v>
      </c>
      <c r="GO86" s="110">
        <f t="shared" si="98"/>
        <v>4.7170039421846166E-2</v>
      </c>
      <c r="GP86" s="110">
        <f t="shared" si="98"/>
        <v>4.7170039421846166E-2</v>
      </c>
      <c r="GQ86" s="110">
        <f t="shared" si="98"/>
        <v>4.7170039421845944E-2</v>
      </c>
      <c r="GR86" s="110">
        <f t="shared" si="98"/>
        <v>4.7170039421846166E-2</v>
      </c>
      <c r="GS86" s="110"/>
      <c r="GT86" s="110">
        <f t="shared" ref="GT86:GX88" si="99">GT50/GN50-1</f>
        <v>4.1515921769607278E-2</v>
      </c>
      <c r="GU86" s="110">
        <f t="shared" si="99"/>
        <v>4.1515921769607278E-2</v>
      </c>
      <c r="GV86" s="110">
        <f t="shared" si="99"/>
        <v>4.1515921769607278E-2</v>
      </c>
      <c r="GW86" s="110">
        <f t="shared" si="99"/>
        <v>4.1515921769607278E-2</v>
      </c>
      <c r="GX86" s="110">
        <f t="shared" si="99"/>
        <v>4.1515921769606834E-2</v>
      </c>
      <c r="GY86" s="110"/>
      <c r="GZ86" s="110">
        <f t="shared" ref="GZ86:HD88" si="100">GZ50/GT50-1</f>
        <v>3.5824818331428032E-2</v>
      </c>
      <c r="HA86" s="110">
        <f t="shared" si="100"/>
        <v>3.5824818331428032E-2</v>
      </c>
      <c r="HB86" s="110">
        <f t="shared" si="100"/>
        <v>3.5824818331428032E-2</v>
      </c>
      <c r="HC86" s="110">
        <f t="shared" si="100"/>
        <v>3.5824818331428032E-2</v>
      </c>
      <c r="HD86" s="110">
        <f t="shared" si="100"/>
        <v>3.5824818331428032E-2</v>
      </c>
      <c r="HE86" s="110"/>
      <c r="HF86" s="110">
        <f t="shared" ref="HF86:HF88" si="101">HF50/GZ50-1</f>
        <v>3.0093500909362136E-2</v>
      </c>
      <c r="HG86" s="110">
        <f t="shared" ref="HG86:HG88" si="102">HG50/HA50-1</f>
        <v>3.0093500909361914E-2</v>
      </c>
      <c r="HH86" s="110">
        <f t="shared" ref="HH86:HH88" si="103">HH50/HB50-1</f>
        <v>3.0093500909362136E-2</v>
      </c>
      <c r="HI86" s="110">
        <f t="shared" ref="HI86:HI88" si="104">HI50/HC50-1</f>
        <v>3.0093500909362136E-2</v>
      </c>
      <c r="HJ86" s="110">
        <f t="shared" ref="HJ86:HJ88" si="105">HJ50/HD50-1</f>
        <v>3.0093500909362136E-2</v>
      </c>
      <c r="HK86" s="516"/>
      <c r="HL86" s="516"/>
      <c r="HM86" s="516"/>
      <c r="HN86" s="516"/>
      <c r="HO86" s="516"/>
    </row>
    <row r="87" spans="1:223" s="667" customFormat="1" collapsed="1">
      <c r="B87" s="25" t="str">
        <f>B51</f>
        <v>Gross profit</v>
      </c>
      <c r="C87" s="25"/>
      <c r="BS87" s="110"/>
      <c r="BT87" s="110"/>
      <c r="BU87" s="110"/>
      <c r="BV87" s="110"/>
      <c r="BW87" s="110"/>
      <c r="BX87" s="110"/>
      <c r="BY87" s="668"/>
      <c r="BZ87" s="110"/>
      <c r="CA87" s="110"/>
      <c r="CB87" s="110"/>
      <c r="CC87" s="110"/>
      <c r="CD87" s="110"/>
      <c r="CE87" s="110"/>
      <c r="CF87" s="110"/>
      <c r="CG87" s="110"/>
      <c r="CH87" s="110"/>
      <c r="CJ87" s="110"/>
      <c r="CK87" s="110"/>
      <c r="CL87" s="110"/>
      <c r="CM87" s="110"/>
      <c r="CN87" s="110"/>
      <c r="CP87" s="669"/>
      <c r="CQ87" s="669"/>
      <c r="CR87" s="669"/>
      <c r="CS87" s="669"/>
      <c r="CT87" s="669"/>
      <c r="CU87" s="110"/>
      <c r="CV87" s="110"/>
      <c r="CW87" s="110"/>
      <c r="CX87" s="110"/>
      <c r="CY87" s="110"/>
      <c r="CZ87" s="110"/>
      <c r="DA87" s="110"/>
      <c r="DB87" s="110"/>
      <c r="DC87" s="110"/>
      <c r="DD87" s="110"/>
      <c r="DE87" s="110"/>
      <c r="DF87" s="110"/>
      <c r="DH87" s="110"/>
      <c r="DI87" s="110"/>
      <c r="DJ87" s="110"/>
      <c r="DK87" s="110"/>
      <c r="DL87" s="110"/>
      <c r="DN87" s="110">
        <f t="shared" si="80"/>
        <v>0.72563454565432317</v>
      </c>
      <c r="DO87" s="110">
        <f t="shared" si="80"/>
        <v>0.60386505076973473</v>
      </c>
      <c r="DP87" s="110">
        <f t="shared" si="80"/>
        <v>0.5727236162247451</v>
      </c>
      <c r="DQ87" s="110">
        <f t="shared" si="80"/>
        <v>0.34523456657055851</v>
      </c>
      <c r="DR87" s="110">
        <f t="shared" si="80"/>
        <v>0.54666247593603856</v>
      </c>
      <c r="DT87" s="110">
        <f t="shared" si="81"/>
        <v>-1.5833598641621482E-2</v>
      </c>
      <c r="DU87" s="110">
        <f t="shared" si="81"/>
        <v>-0.42805211779602148</v>
      </c>
      <c r="DV87" s="110">
        <f t="shared" si="81"/>
        <v>6.3601668240478526E-2</v>
      </c>
      <c r="DW87" s="110">
        <f t="shared" si="81"/>
        <v>0.15083228171383944</v>
      </c>
      <c r="DX87" s="110">
        <f t="shared" si="81"/>
        <v>-5.5594505070210465E-2</v>
      </c>
      <c r="DY87" s="110"/>
      <c r="DZ87" s="110">
        <f t="shared" si="82"/>
        <v>1.0869330802907307E-2</v>
      </c>
      <c r="EA87" s="110">
        <f t="shared" si="82"/>
        <v>0.91812468756694976</v>
      </c>
      <c r="EB87" s="110">
        <f t="shared" si="82"/>
        <v>-3.7029501525940867E-2</v>
      </c>
      <c r="EC87" s="110">
        <f t="shared" si="82"/>
        <v>-0.12780881764224672</v>
      </c>
      <c r="ED87" s="110">
        <f t="shared" si="82"/>
        <v>9.0761889904406923E-2</v>
      </c>
      <c r="EE87" s="110"/>
      <c r="EF87" s="110">
        <f t="shared" si="83"/>
        <v>-8.0814114735562326E-2</v>
      </c>
      <c r="EG87" s="110">
        <f t="shared" si="83"/>
        <v>-9.1587706398108981E-2</v>
      </c>
      <c r="EH87" s="110">
        <f t="shared" si="83"/>
        <v>3.2326220156349228E-2</v>
      </c>
      <c r="EI87" s="110">
        <f t="shared" si="83"/>
        <v>0.23087208142087445</v>
      </c>
      <c r="EJ87" s="110">
        <f t="shared" si="83"/>
        <v>2.2410179271570962E-2</v>
      </c>
      <c r="EK87" s="110"/>
      <c r="EL87" s="667">
        <f t="shared" si="84"/>
        <v>0.38486712312869908</v>
      </c>
      <c r="EM87" s="667">
        <f t="shared" si="84"/>
        <v>0.32674849894465074</v>
      </c>
      <c r="EN87" s="667">
        <f t="shared" si="84"/>
        <v>0.24965578833773661</v>
      </c>
      <c r="EO87" s="667">
        <f t="shared" si="84"/>
        <v>0.1781481541529526</v>
      </c>
      <c r="EP87" s="667">
        <f t="shared" si="84"/>
        <v>0.2746286943644507</v>
      </c>
      <c r="ER87" s="110">
        <f t="shared" si="85"/>
        <v>0.18614979804582155</v>
      </c>
      <c r="ES87" s="110">
        <f t="shared" si="85"/>
        <v>0.20105337946373414</v>
      </c>
      <c r="ET87" s="110">
        <f t="shared" si="85"/>
        <v>0.19230540170329369</v>
      </c>
      <c r="EU87" s="110">
        <f t="shared" si="85"/>
        <v>0.13472415264150195</v>
      </c>
      <c r="EV87" s="110">
        <f t="shared" si="85"/>
        <v>0.1772239083870093</v>
      </c>
      <c r="EW87" s="110"/>
      <c r="EX87" s="110">
        <f t="shared" si="86"/>
        <v>0.10988498601181207</v>
      </c>
      <c r="EY87" s="110">
        <f t="shared" si="86"/>
        <v>5.9297076940882931E-2</v>
      </c>
      <c r="EZ87" s="110">
        <f>EZ51/ET51-1</f>
        <v>6.6383616383616229E-2</v>
      </c>
      <c r="FA87" s="110">
        <f t="shared" si="86"/>
        <v>7.0946068860132883E-2</v>
      </c>
      <c r="FB87" s="110">
        <f t="shared" si="86"/>
        <v>7.5718804649727023E-2</v>
      </c>
      <c r="FC87" s="110"/>
      <c r="FD87" s="829">
        <f t="shared" si="87"/>
        <v>0.12221421989669978</v>
      </c>
      <c r="FE87" s="110">
        <f t="shared" si="87"/>
        <v>0.10747406434069706</v>
      </c>
      <c r="FF87" s="110">
        <f t="shared" si="87"/>
        <v>0.11877105737430038</v>
      </c>
      <c r="FG87" s="110">
        <f t="shared" si="87"/>
        <v>0.13391062507482188</v>
      </c>
      <c r="FH87" s="110">
        <f t="shared" si="87"/>
        <v>0.12079372672474853</v>
      </c>
      <c r="FI87" s="110"/>
      <c r="FJ87" s="110">
        <f t="shared" si="88"/>
        <v>0.10994148746499199</v>
      </c>
      <c r="FK87" s="110">
        <f t="shared" si="88"/>
        <v>0.13932756239401733</v>
      </c>
      <c r="FL87" s="110">
        <f t="shared" si="88"/>
        <v>0.1406618745346091</v>
      </c>
      <c r="FM87" s="110">
        <f t="shared" si="88"/>
        <v>0.11756073903280551</v>
      </c>
      <c r="FN87" s="110">
        <f t="shared" si="88"/>
        <v>0.12694911540851717</v>
      </c>
      <c r="FO87" s="110"/>
      <c r="FP87" s="110">
        <f t="shared" si="94"/>
        <v>0.12616268613767279</v>
      </c>
      <c r="FQ87" s="110">
        <f t="shared" si="94"/>
        <v>0.12642470933615568</v>
      </c>
      <c r="FR87" s="110">
        <f t="shared" si="94"/>
        <v>0.12643307882763288</v>
      </c>
      <c r="FS87" s="110">
        <f t="shared" si="94"/>
        <v>0.12649417888748982</v>
      </c>
      <c r="FT87" s="110">
        <f t="shared" si="94"/>
        <v>0.12638460365157522</v>
      </c>
      <c r="FU87" s="110"/>
      <c r="FV87" s="110">
        <f t="shared" si="95"/>
        <v>0.12054118828006355</v>
      </c>
      <c r="FW87" s="110">
        <f t="shared" si="95"/>
        <v>0.12054118828006355</v>
      </c>
      <c r="FX87" s="110">
        <f t="shared" si="95"/>
        <v>0.12054118828006355</v>
      </c>
      <c r="FY87" s="110">
        <f t="shared" si="95"/>
        <v>0.12054118828006355</v>
      </c>
      <c r="FZ87" s="110">
        <f t="shared" si="95"/>
        <v>0.12054118828006355</v>
      </c>
      <c r="GA87" s="110"/>
      <c r="GB87" s="110">
        <f t="shared" si="96"/>
        <v>0.11473929111401038</v>
      </c>
      <c r="GC87" s="110">
        <f t="shared" si="96"/>
        <v>0.11473929111401016</v>
      </c>
      <c r="GD87" s="110">
        <f t="shared" si="96"/>
        <v>0.1147392911140106</v>
      </c>
      <c r="GE87" s="110">
        <f t="shared" si="96"/>
        <v>0.11473929111401038</v>
      </c>
      <c r="GF87" s="110">
        <f t="shared" si="96"/>
        <v>0.11473929111401016</v>
      </c>
      <c r="GG87" s="110"/>
      <c r="GH87" s="110">
        <f t="shared" si="97"/>
        <v>0.10692787633964196</v>
      </c>
      <c r="GI87" s="110">
        <f t="shared" si="97"/>
        <v>0.10692787633964218</v>
      </c>
      <c r="GJ87" s="110">
        <f t="shared" si="97"/>
        <v>0.10692787633964196</v>
      </c>
      <c r="GK87" s="110">
        <f t="shared" si="97"/>
        <v>0.10692787633964218</v>
      </c>
      <c r="GL87" s="110">
        <f t="shared" si="97"/>
        <v>0.10692787633964218</v>
      </c>
      <c r="GM87" s="110"/>
      <c r="GN87" s="110">
        <f t="shared" si="98"/>
        <v>0.10120144725542057</v>
      </c>
      <c r="GO87" s="110">
        <f t="shared" si="98"/>
        <v>0.10120144725542035</v>
      </c>
      <c r="GP87" s="110">
        <f t="shared" si="98"/>
        <v>0.10120144725542035</v>
      </c>
      <c r="GQ87" s="110">
        <f t="shared" si="98"/>
        <v>0.10120144725542057</v>
      </c>
      <c r="GR87" s="110">
        <f t="shared" si="98"/>
        <v>0.10120144725542035</v>
      </c>
      <c r="GS87" s="110"/>
      <c r="GT87" s="110">
        <f t="shared" si="99"/>
        <v>9.5508318685430194E-2</v>
      </c>
      <c r="GU87" s="110">
        <f t="shared" si="99"/>
        <v>9.5508318685430416E-2</v>
      </c>
      <c r="GV87" s="110">
        <f t="shared" si="99"/>
        <v>9.5508318685430194E-2</v>
      </c>
      <c r="GW87" s="110">
        <f t="shared" si="99"/>
        <v>9.5508318685430194E-2</v>
      </c>
      <c r="GX87" s="110">
        <f t="shared" si="99"/>
        <v>9.5508318685430416E-2</v>
      </c>
      <c r="GY87" s="110"/>
      <c r="GZ87" s="110">
        <f t="shared" si="100"/>
        <v>8.9846252125275416E-2</v>
      </c>
      <c r="HA87" s="110">
        <f t="shared" si="100"/>
        <v>8.9846252125275416E-2</v>
      </c>
      <c r="HB87" s="110">
        <f t="shared" si="100"/>
        <v>8.9846252125275639E-2</v>
      </c>
      <c r="HC87" s="110">
        <f t="shared" si="100"/>
        <v>8.9846252125275416E-2</v>
      </c>
      <c r="HD87" s="110">
        <f t="shared" si="100"/>
        <v>8.9846252125275416E-2</v>
      </c>
      <c r="HE87" s="110"/>
      <c r="HF87" s="110">
        <f t="shared" si="101"/>
        <v>8.4213205307083649E-2</v>
      </c>
      <c r="HG87" s="110">
        <f t="shared" si="102"/>
        <v>8.4213205307083872E-2</v>
      </c>
      <c r="HH87" s="110">
        <f t="shared" si="103"/>
        <v>8.4213205307083872E-2</v>
      </c>
      <c r="HI87" s="110">
        <f t="shared" si="104"/>
        <v>8.4213205307083649E-2</v>
      </c>
      <c r="HJ87" s="110">
        <f t="shared" si="105"/>
        <v>8.4213205307083872E-2</v>
      </c>
      <c r="HK87" s="516"/>
      <c r="HL87" s="516"/>
      <c r="HM87" s="516"/>
      <c r="HN87" s="516"/>
      <c r="HO87" s="516"/>
    </row>
    <row r="88" spans="1:223" s="667" customFormat="1">
      <c r="B88" s="25"/>
      <c r="C88" s="25" t="str">
        <f>C52</f>
        <v>G&amp;A</v>
      </c>
      <c r="BS88" s="110"/>
      <c r="BT88" s="110"/>
      <c r="BU88" s="110"/>
      <c r="BV88" s="110"/>
      <c r="BW88" s="110"/>
      <c r="BX88" s="110"/>
      <c r="BY88" s="668"/>
      <c r="BZ88" s="110"/>
      <c r="CA88" s="110"/>
      <c r="CB88" s="110"/>
      <c r="CC88" s="110"/>
      <c r="CD88" s="110"/>
      <c r="CE88" s="110"/>
      <c r="CF88" s="110"/>
      <c r="CG88" s="110"/>
      <c r="CH88" s="110"/>
      <c r="CJ88" s="110"/>
      <c r="CK88" s="110"/>
      <c r="CL88" s="110"/>
      <c r="CM88" s="110"/>
      <c r="CN88" s="110"/>
      <c r="CP88" s="110"/>
      <c r="CQ88" s="110"/>
      <c r="CR88" s="110"/>
      <c r="CS88" s="110"/>
      <c r="CT88" s="110"/>
      <c r="CU88" s="110"/>
      <c r="CV88" s="110"/>
      <c r="CW88" s="110"/>
      <c r="CX88" s="110"/>
      <c r="CY88" s="110"/>
      <c r="CZ88" s="110"/>
      <c r="DA88" s="110"/>
      <c r="DB88" s="110"/>
      <c r="DC88" s="110"/>
      <c r="DD88" s="110"/>
      <c r="DE88" s="110"/>
      <c r="DF88" s="110"/>
      <c r="DH88" s="110"/>
      <c r="DI88" s="110"/>
      <c r="DJ88" s="110"/>
      <c r="DK88" s="110"/>
      <c r="DL88" s="110"/>
      <c r="DN88" s="110">
        <f t="shared" si="80"/>
        <v>0.49914468995010686</v>
      </c>
      <c r="DO88" s="110">
        <f t="shared" si="80"/>
        <v>0.50522489777373947</v>
      </c>
      <c r="DP88" s="110">
        <f t="shared" si="80"/>
        <v>0.50233500253193042</v>
      </c>
      <c r="DQ88" s="110">
        <f t="shared" si="80"/>
        <v>0.38539574126155074</v>
      </c>
      <c r="DR88" s="110">
        <f t="shared" si="80"/>
        <v>0.4676410118887997</v>
      </c>
      <c r="DT88" s="110">
        <f t="shared" si="81"/>
        <v>0.44724956021490048</v>
      </c>
      <c r="DU88" s="110">
        <f t="shared" si="81"/>
        <v>0.35250743823034791</v>
      </c>
      <c r="DV88" s="110">
        <f t="shared" si="81"/>
        <v>0.14617430058799297</v>
      </c>
      <c r="DW88" s="110">
        <f t="shared" si="81"/>
        <v>0.28358587689407688</v>
      </c>
      <c r="DX88" s="110">
        <f t="shared" si="81"/>
        <v>0.29750992274974353</v>
      </c>
      <c r="DY88" s="110"/>
      <c r="DZ88" s="110">
        <f t="shared" si="82"/>
        <v>-7.0039421813403613E-2</v>
      </c>
      <c r="EA88" s="110">
        <f t="shared" si="82"/>
        <v>0.13403047886246267</v>
      </c>
      <c r="EB88" s="110">
        <f t="shared" si="82"/>
        <v>0.31780159456280233</v>
      </c>
      <c r="EC88" s="110">
        <f t="shared" si="82"/>
        <v>0.21212121212121193</v>
      </c>
      <c r="ED88" s="110">
        <f t="shared" si="82"/>
        <v>0.1510651781034118</v>
      </c>
      <c r="EE88" s="110"/>
      <c r="EF88" s="110">
        <f t="shared" si="83"/>
        <v>0.64783806697753321</v>
      </c>
      <c r="EG88" s="110">
        <f t="shared" si="83"/>
        <v>0.33531065504638757</v>
      </c>
      <c r="EH88" s="110">
        <f t="shared" si="83"/>
        <v>0.24423506074882217</v>
      </c>
      <c r="EI88" s="110">
        <f t="shared" si="83"/>
        <v>0.13014911463187318</v>
      </c>
      <c r="EJ88" s="110">
        <f t="shared" si="83"/>
        <v>0.31062748083301628</v>
      </c>
      <c r="EK88" s="110"/>
      <c r="EL88" s="667">
        <f t="shared" si="84"/>
        <v>0.11629901172637025</v>
      </c>
      <c r="EM88" s="667">
        <f t="shared" si="84"/>
        <v>6.5267280038739051E-2</v>
      </c>
      <c r="EN88" s="667">
        <f t="shared" si="84"/>
        <v>7.373455559982478E-4</v>
      </c>
      <c r="EO88" s="667">
        <f t="shared" si="84"/>
        <v>-1.4101348286809978E-2</v>
      </c>
      <c r="EP88" s="667">
        <f t="shared" si="84"/>
        <v>4.0854638801016474E-2</v>
      </c>
      <c r="ER88" s="110">
        <f t="shared" si="85"/>
        <v>-5.7401290520817327E-2</v>
      </c>
      <c r="ES88" s="110">
        <f t="shared" si="85"/>
        <v>-6.9648398126371136E-2</v>
      </c>
      <c r="ET88" s="110">
        <f t="shared" si="85"/>
        <v>-3.3255670390505254E-2</v>
      </c>
      <c r="EU88" s="110">
        <f t="shared" si="85"/>
        <v>3.8685124001505811E-2</v>
      </c>
      <c r="EV88" s="110">
        <f t="shared" si="85"/>
        <v>-3.1553301313350768E-2</v>
      </c>
      <c r="EW88" s="110"/>
      <c r="EX88" s="110">
        <f t="shared" si="86"/>
        <v>-2.1086730639936491E-2</v>
      </c>
      <c r="EY88" s="110">
        <f t="shared" si="86"/>
        <v>0.11913411084910686</v>
      </c>
      <c r="EZ88" s="110">
        <f>EZ52/ET52-1</f>
        <v>-8.6143325025233031E-2</v>
      </c>
      <c r="FA88" s="110">
        <f t="shared" si="86"/>
        <v>2.4259139958124898E-2</v>
      </c>
      <c r="FB88" s="110">
        <f t="shared" si="86"/>
        <v>8.2109324758843361E-3</v>
      </c>
      <c r="FC88" s="110"/>
      <c r="FD88" s="829">
        <f t="shared" si="87"/>
        <v>9.8710780600172576E-2</v>
      </c>
      <c r="FE88" s="110">
        <f t="shared" si="87"/>
        <v>2.350700335509992E-2</v>
      </c>
      <c r="FF88" s="110">
        <f t="shared" si="87"/>
        <v>0.20480158876682086</v>
      </c>
      <c r="FG88" s="110">
        <f t="shared" si="87"/>
        <v>7.8746478756215987E-2</v>
      </c>
      <c r="FH88" s="110">
        <f t="shared" si="87"/>
        <v>9.7328865573718115E-2</v>
      </c>
      <c r="FI88" s="110"/>
      <c r="FJ88" s="110">
        <f t="shared" si="88"/>
        <v>1.9839223227966496E-2</v>
      </c>
      <c r="FK88" s="110">
        <f t="shared" si="88"/>
        <v>6.0668793450941561E-2</v>
      </c>
      <c r="FL88" s="110">
        <f t="shared" si="88"/>
        <v>0.12186991284380944</v>
      </c>
      <c r="FM88" s="110">
        <f t="shared" si="88"/>
        <v>0.12193332255141764</v>
      </c>
      <c r="FN88" s="110">
        <f t="shared" si="88"/>
        <v>8.1493489561408561E-2</v>
      </c>
      <c r="FO88" s="110"/>
      <c r="FP88" s="110">
        <f t="shared" si="94"/>
        <v>7.7086822311305703E-2</v>
      </c>
      <c r="FQ88" s="110">
        <f t="shared" si="94"/>
        <v>7.7337427075341525E-2</v>
      </c>
      <c r="FR88" s="110">
        <f t="shared" si="94"/>
        <v>7.7345431841518542E-2</v>
      </c>
      <c r="FS88" s="110">
        <f t="shared" si="94"/>
        <v>7.7403869285880944E-2</v>
      </c>
      <c r="FT88" s="110">
        <f t="shared" si="94"/>
        <v>7.7299069114371122E-2</v>
      </c>
      <c r="FU88" s="110"/>
      <c r="FV88" s="110">
        <f t="shared" si="95"/>
        <v>6.3613689797886952E-2</v>
      </c>
      <c r="FW88" s="110">
        <f t="shared" si="95"/>
        <v>6.3613689797886952E-2</v>
      </c>
      <c r="FX88" s="110">
        <f t="shared" si="95"/>
        <v>6.3613689797886952E-2</v>
      </c>
      <c r="FY88" s="110">
        <f t="shared" si="95"/>
        <v>6.3613689797887174E-2</v>
      </c>
      <c r="FZ88" s="110">
        <f t="shared" si="95"/>
        <v>6.3613689797886952E-2</v>
      </c>
      <c r="GA88" s="110"/>
      <c r="GB88" s="110">
        <f t="shared" si="96"/>
        <v>6.6518820570405479E-2</v>
      </c>
      <c r="GC88" s="110">
        <f t="shared" si="96"/>
        <v>6.6518820570405479E-2</v>
      </c>
      <c r="GD88" s="110">
        <f t="shared" si="96"/>
        <v>6.6518820570405701E-2</v>
      </c>
      <c r="GE88" s="110">
        <f t="shared" si="96"/>
        <v>6.6518820570405479E-2</v>
      </c>
      <c r="GF88" s="110">
        <f t="shared" si="96"/>
        <v>6.6518820570405257E-2</v>
      </c>
      <c r="GG88" s="110"/>
      <c r="GH88" s="110">
        <f t="shared" si="97"/>
        <v>5.922845801936405E-2</v>
      </c>
      <c r="GI88" s="110">
        <f t="shared" si="97"/>
        <v>5.922845801936405E-2</v>
      </c>
      <c r="GJ88" s="110">
        <f t="shared" si="97"/>
        <v>5.9228458019363828E-2</v>
      </c>
      <c r="GK88" s="110">
        <f t="shared" si="97"/>
        <v>5.922845801936405E-2</v>
      </c>
      <c r="GL88" s="110">
        <f t="shared" si="97"/>
        <v>5.922845801936405E-2</v>
      </c>
      <c r="GM88" s="110"/>
      <c r="GN88" s="110">
        <f t="shared" si="98"/>
        <v>5.3885145513099753E-2</v>
      </c>
      <c r="GO88" s="110">
        <f t="shared" si="98"/>
        <v>5.388514551309953E-2</v>
      </c>
      <c r="GP88" s="110">
        <f t="shared" si="98"/>
        <v>5.388514551309953E-2</v>
      </c>
      <c r="GQ88" s="110">
        <f t="shared" si="98"/>
        <v>5.388514551309953E-2</v>
      </c>
      <c r="GR88" s="110">
        <f t="shared" si="98"/>
        <v>5.388514551309953E-2</v>
      </c>
      <c r="GS88" s="110"/>
      <c r="GT88" s="110">
        <f t="shared" si="99"/>
        <v>4.8527450096347957E-2</v>
      </c>
      <c r="GU88" s="110">
        <f t="shared" si="99"/>
        <v>4.8527450096348179E-2</v>
      </c>
      <c r="GV88" s="110">
        <f t="shared" si="99"/>
        <v>4.8527450096347957E-2</v>
      </c>
      <c r="GW88" s="110">
        <f t="shared" si="99"/>
        <v>4.8527450096347735E-2</v>
      </c>
      <c r="GX88" s="110">
        <f t="shared" si="99"/>
        <v>4.8527450096347957E-2</v>
      </c>
      <c r="GY88" s="110"/>
      <c r="GZ88" s="110">
        <f t="shared" si="100"/>
        <v>3.8593108633775408E-2</v>
      </c>
      <c r="HA88" s="110">
        <f t="shared" si="100"/>
        <v>3.8593108633775408E-2</v>
      </c>
      <c r="HB88" s="110">
        <f t="shared" si="100"/>
        <v>3.859310863377563E-2</v>
      </c>
      <c r="HC88" s="110">
        <f t="shared" si="100"/>
        <v>3.8593108633775408E-2</v>
      </c>
      <c r="HD88" s="110">
        <f t="shared" si="100"/>
        <v>3.859310863377563E-2</v>
      </c>
      <c r="HE88" s="110"/>
      <c r="HF88" s="110">
        <f t="shared" si="101"/>
        <v>3.3003686854156999E-2</v>
      </c>
      <c r="HG88" s="110">
        <f t="shared" si="102"/>
        <v>3.3003686854156999E-2</v>
      </c>
      <c r="HH88" s="110">
        <f t="shared" si="103"/>
        <v>3.3003686854156999E-2</v>
      </c>
      <c r="HI88" s="110">
        <f t="shared" si="104"/>
        <v>3.3003686854156999E-2</v>
      </c>
      <c r="HJ88" s="110">
        <f t="shared" si="105"/>
        <v>3.3003686854156777E-2</v>
      </c>
      <c r="HK88" s="516"/>
      <c r="HL88" s="516"/>
      <c r="HM88" s="516"/>
      <c r="HN88" s="516"/>
      <c r="HO88" s="516"/>
    </row>
    <row r="89" spans="1:223" s="667" customFormat="1">
      <c r="B89" s="25"/>
      <c r="C89" s="25" t="str">
        <f>C54</f>
        <v xml:space="preserve">Research &amp; Development </v>
      </c>
      <c r="BS89" s="110"/>
      <c r="BT89" s="110"/>
      <c r="BU89" s="110"/>
      <c r="BV89" s="110"/>
      <c r="BW89" s="110"/>
      <c r="BX89" s="110"/>
      <c r="BY89" s="668"/>
      <c r="BZ89" s="110"/>
      <c r="CA89" s="110"/>
      <c r="CB89" s="110"/>
      <c r="CC89" s="110"/>
      <c r="CD89" s="110"/>
      <c r="CE89" s="110"/>
      <c r="CF89" s="110"/>
      <c r="CG89" s="110"/>
      <c r="CH89" s="110"/>
      <c r="CJ89" s="110"/>
      <c r="CK89" s="110"/>
      <c r="CL89" s="110"/>
      <c r="CM89" s="110"/>
      <c r="CN89" s="110"/>
      <c r="CP89" s="110"/>
      <c r="CQ89" s="110"/>
      <c r="CR89" s="110"/>
      <c r="CS89" s="110"/>
      <c r="CT89" s="110"/>
      <c r="CU89" s="110"/>
      <c r="CV89" s="110"/>
      <c r="CW89" s="110"/>
      <c r="CX89" s="110"/>
      <c r="CY89" s="110"/>
      <c r="CZ89" s="110"/>
      <c r="DA89" s="110"/>
      <c r="DB89" s="110"/>
      <c r="DC89" s="110"/>
      <c r="DD89" s="110"/>
      <c r="DE89" s="110"/>
      <c r="DF89" s="110"/>
      <c r="DH89" s="110"/>
      <c r="DI89" s="110"/>
      <c r="DJ89" s="110"/>
      <c r="DK89" s="110"/>
      <c r="DL89" s="110"/>
      <c r="DN89" s="110">
        <f>DN54/DH54-1</f>
        <v>0.26464435146443521</v>
      </c>
      <c r="DO89" s="110">
        <f>DO54/DI54-1</f>
        <v>1.4109972041006524</v>
      </c>
      <c r="DP89" s="110">
        <f>DP54/DJ54-1</f>
        <v>4.8542600896860995</v>
      </c>
      <c r="DQ89" s="110">
        <f>DQ54/DK54-1</f>
        <v>2.9543726235741445</v>
      </c>
      <c r="DR89" s="110">
        <f>DR54/DL54-1</f>
        <v>1.8280573142285901</v>
      </c>
      <c r="DT89" s="110">
        <f>DT54/DN54-1</f>
        <v>0.70388751033912311</v>
      </c>
      <c r="DU89" s="110">
        <f>DU54/DO54-1</f>
        <v>-0.18631619636644769</v>
      </c>
      <c r="DV89" s="110">
        <f>DV54/DP54-1</f>
        <v>-0.24779777862887786</v>
      </c>
      <c r="DW89" s="110">
        <f>DW54/DQ54-1</f>
        <v>9.6153846153845812E-3</v>
      </c>
      <c r="DX89" s="110">
        <f>DX54/DR54-1</f>
        <v>-3.0399434429126959E-2</v>
      </c>
      <c r="DY89" s="110"/>
      <c r="DZ89" s="110">
        <f>DZ54/DT54-1</f>
        <v>0.19223300970873791</v>
      </c>
      <c r="EA89" s="110">
        <f>EA54/DU54-1</f>
        <v>0.66033254156769594</v>
      </c>
      <c r="EB89" s="110">
        <f>EB54/DV54-1</f>
        <v>2.7724032586558045</v>
      </c>
      <c r="EC89" s="110">
        <f>EC54/DW54-1</f>
        <v>3.053809523809524</v>
      </c>
      <c r="ED89" s="110">
        <f>ED54/DX54-1</f>
        <v>1.6580386438206345</v>
      </c>
      <c r="EE89" s="110"/>
      <c r="EF89" s="110">
        <f>EF54/DZ54-1</f>
        <v>2.140472312703583</v>
      </c>
      <c r="EG89" s="110">
        <f>EG54/EA54-1</f>
        <v>1.468097281831187</v>
      </c>
      <c r="EH89" s="110">
        <f>EH54/EB54-1</f>
        <v>-1.3092185180186178E-2</v>
      </c>
      <c r="EI89" s="110">
        <f>EI54/EC54-1</f>
        <v>-0.21590508633854111</v>
      </c>
      <c r="EJ89" s="110">
        <f>EJ54/ED54-1</f>
        <v>0.38645819046312813</v>
      </c>
      <c r="EK89" s="110"/>
      <c r="EL89" s="667">
        <f>EL54/EF54-1</f>
        <v>-4.1229093737845224E-2</v>
      </c>
      <c r="EM89" s="667">
        <f>EM54/EG54-1</f>
        <v>-0.13030373290053321</v>
      </c>
      <c r="EN89" s="667">
        <f>EN54/EH54-1</f>
        <v>-0.2772155361050328</v>
      </c>
      <c r="EO89" s="667">
        <f>EO54/EI54-1</f>
        <v>6.771535580524346E-2</v>
      </c>
      <c r="EP89" s="667">
        <f>EP54/EJ54-1</f>
        <v>-9.9485589922838624E-2</v>
      </c>
      <c r="ER89" s="110">
        <f>ER54/EL54-1</f>
        <v>3.0425963488843966E-2</v>
      </c>
      <c r="ES89" s="110">
        <f>ES54/EM54-1</f>
        <v>5.1186350306585027E-2</v>
      </c>
      <c r="ET89" s="110">
        <f>ET54/EN54-1</f>
        <v>0.45392620624408697</v>
      </c>
      <c r="EU89" s="110">
        <f>EU54/EO54-1</f>
        <v>0.11814227585239245</v>
      </c>
      <c r="EV89" s="110">
        <f>EV54/EP54-1</f>
        <v>0.14097916437804403</v>
      </c>
      <c r="EW89" s="110"/>
      <c r="EX89" s="110">
        <f>EX54/ER54-1</f>
        <v>0.33608923884514419</v>
      </c>
      <c r="EY89" s="110">
        <f>EY54/ES54-1</f>
        <v>0.14417955871164079</v>
      </c>
      <c r="EZ89" s="110">
        <f>EZ54/ET54-1</f>
        <v>0.13144195731389918</v>
      </c>
      <c r="FA89" s="110">
        <f>FA54/EU54-1</f>
        <v>0.15183837369807995</v>
      </c>
      <c r="FB89" s="110">
        <f>FB54/EV54-1</f>
        <v>0.18992907346192123</v>
      </c>
      <c r="FC89" s="110"/>
      <c r="FD89" s="829">
        <f>FD54/EX54-1</f>
        <v>9.8710780600172576E-2</v>
      </c>
      <c r="FE89" s="110">
        <f>FE54/EY54-1</f>
        <v>8.1290714443280399E-2</v>
      </c>
      <c r="FF89" s="110">
        <f>FF54/EZ54-1</f>
        <v>9.4697230062248172E-2</v>
      </c>
      <c r="FG89" s="110">
        <f>FG54/FA54-1</f>
        <v>0.11000652452016602</v>
      </c>
      <c r="FH89" s="110">
        <f>FH54/FB54-1</f>
        <v>9.6326784271755006E-2</v>
      </c>
      <c r="FI89" s="110"/>
      <c r="FJ89" s="110">
        <f>FJ54/FD54-1</f>
        <v>-7.6531455231890755E-2</v>
      </c>
      <c r="FK89" s="110">
        <f>FK54/FE54-1</f>
        <v>0.12470003349371339</v>
      </c>
      <c r="FL89" s="110">
        <f>FL54/FF54-1</f>
        <v>0.20890001221439203</v>
      </c>
      <c r="FM89" s="110">
        <f>FM54/FG54-1</f>
        <v>0.15955819740446908</v>
      </c>
      <c r="FN89" s="110">
        <f>FN54/FH54-1</f>
        <v>9.7775234457554649E-2</v>
      </c>
      <c r="FO89" s="110"/>
      <c r="FP89" s="110">
        <f>FP54/FJ54-1</f>
        <v>9.7744830736255839E-2</v>
      </c>
      <c r="FQ89" s="110">
        <f>FQ54/FK54-1</f>
        <v>9.8000241979416369E-2</v>
      </c>
      <c r="FR89" s="110">
        <f>FR54/FL54-1</f>
        <v>9.8008400273167595E-2</v>
      </c>
      <c r="FS89" s="110">
        <f>FS54/FM54-1</f>
        <v>9.8067958519672649E-2</v>
      </c>
      <c r="FT89" s="110">
        <f>FT54/FN54-1</f>
        <v>9.7961148331159986E-2</v>
      </c>
      <c r="FU89" s="110"/>
      <c r="FV89" s="110">
        <f>FV54/FP54-1</f>
        <v>9.2961148331160093E-2</v>
      </c>
      <c r="FW89" s="110">
        <f>FW54/FQ54-1</f>
        <v>9.2961148331160093E-2</v>
      </c>
      <c r="FX89" s="110">
        <f>FX54/FR54-1</f>
        <v>9.2961148331160093E-2</v>
      </c>
      <c r="FY89" s="110">
        <f>FY54/FS54-1</f>
        <v>9.2961148331160093E-2</v>
      </c>
      <c r="FZ89" s="110">
        <f>FZ54/FT54-1</f>
        <v>9.2961148331160315E-2</v>
      </c>
      <c r="GA89" s="110"/>
      <c r="GB89" s="110">
        <f>GB54/FV54-1</f>
        <v>8.7961148331160199E-2</v>
      </c>
      <c r="GC89" s="110">
        <f>GC54/FW54-1</f>
        <v>8.7961148331159977E-2</v>
      </c>
      <c r="GD89" s="110">
        <f>GD54/FX54-1</f>
        <v>8.7961148331160421E-2</v>
      </c>
      <c r="GE89" s="110">
        <f>GE54/FY54-1</f>
        <v>8.7961148331160199E-2</v>
      </c>
      <c r="GF89" s="110">
        <f>GF54/FZ54-1</f>
        <v>8.7961148331160199E-2</v>
      </c>
      <c r="GG89" s="110"/>
      <c r="GH89" s="110">
        <f>GH54/GB54-1</f>
        <v>8.0961148331160304E-2</v>
      </c>
      <c r="GI89" s="110">
        <f>GI54/GC54-1</f>
        <v>8.0961148331160304E-2</v>
      </c>
      <c r="GJ89" s="110">
        <f>GJ54/GD54-1</f>
        <v>8.0961148331160082E-2</v>
      </c>
      <c r="GK89" s="110">
        <f>GK54/GE54-1</f>
        <v>8.0961148331160082E-2</v>
      </c>
      <c r="GL89" s="110">
        <f>GL54/GF54-1</f>
        <v>8.0961148331160082E-2</v>
      </c>
      <c r="GM89" s="110"/>
      <c r="GN89" s="110">
        <f>GN54/GH54-1</f>
        <v>7.5961148331160189E-2</v>
      </c>
      <c r="GO89" s="110">
        <f>GO54/GI54-1</f>
        <v>7.5961148331160189E-2</v>
      </c>
      <c r="GP89" s="110">
        <f>GP54/GJ54-1</f>
        <v>7.5961148331160189E-2</v>
      </c>
      <c r="GQ89" s="110">
        <f>GQ54/GK54-1</f>
        <v>7.5961148331160411E-2</v>
      </c>
      <c r="GR89" s="110">
        <f>GR54/GL54-1</f>
        <v>7.5961148331160189E-2</v>
      </c>
      <c r="GS89" s="110"/>
      <c r="GT89" s="110">
        <f>GT54/GN54-1</f>
        <v>7.0961148331160295E-2</v>
      </c>
      <c r="GU89" s="110">
        <f>GU54/GO54-1</f>
        <v>7.0961148331160295E-2</v>
      </c>
      <c r="GV89" s="110">
        <f>GV54/GP54-1</f>
        <v>7.0961148331160517E-2</v>
      </c>
      <c r="GW89" s="110">
        <f>GW54/GQ54-1</f>
        <v>7.0961148331160073E-2</v>
      </c>
      <c r="GX89" s="110">
        <f>GX54/GR54-1</f>
        <v>7.0961148331160517E-2</v>
      </c>
      <c r="GY89" s="110"/>
      <c r="GZ89" s="110">
        <f>GZ54/GT54-1</f>
        <v>6.596114833116018E-2</v>
      </c>
      <c r="HA89" s="110">
        <f>HA54/GU54-1</f>
        <v>6.5961148331159958E-2</v>
      </c>
      <c r="HB89" s="110">
        <f>HB54/GV54-1</f>
        <v>6.596114833116018E-2</v>
      </c>
      <c r="HC89" s="110">
        <f>HC54/GW54-1</f>
        <v>6.596114833116018E-2</v>
      </c>
      <c r="HD89" s="110">
        <f>HD54/GX54-1</f>
        <v>6.5961148331159958E-2</v>
      </c>
      <c r="HE89" s="110"/>
      <c r="HF89" s="110">
        <f>HF54/GZ54-1</f>
        <v>6.0961148331160286E-2</v>
      </c>
      <c r="HG89" s="110">
        <f>HG54/HA54-1</f>
        <v>6.0961148331160508E-2</v>
      </c>
      <c r="HH89" s="110">
        <f>HH54/HB54-1</f>
        <v>6.0961148331160508E-2</v>
      </c>
      <c r="HI89" s="110">
        <f>HI54/HC54-1</f>
        <v>6.0961148331160286E-2</v>
      </c>
      <c r="HJ89" s="110">
        <f>HJ54/HD54-1</f>
        <v>6.0961148331160286E-2</v>
      </c>
      <c r="HK89" s="516"/>
      <c r="HL89" s="516"/>
      <c r="HM89" s="516"/>
      <c r="HN89" s="516"/>
      <c r="HO89" s="516"/>
    </row>
    <row r="90" spans="1:223" s="667" customFormat="1">
      <c r="B90" s="22" t="s">
        <v>554</v>
      </c>
      <c r="C90" s="25"/>
      <c r="BS90" s="110"/>
      <c r="BT90" s="110"/>
      <c r="BU90" s="110"/>
      <c r="BV90" s="110"/>
      <c r="BW90" s="110"/>
      <c r="BX90" s="110"/>
      <c r="BY90" s="668"/>
      <c r="BZ90" s="110"/>
      <c r="CA90" s="110"/>
      <c r="CB90" s="110"/>
      <c r="CC90" s="110"/>
      <c r="CD90" s="110"/>
      <c r="CE90" s="110"/>
      <c r="CF90" s="110"/>
      <c r="CG90" s="110"/>
      <c r="CH90" s="110"/>
      <c r="CJ90" s="110"/>
      <c r="CK90" s="110"/>
      <c r="CL90" s="110"/>
      <c r="CM90" s="110"/>
      <c r="CN90" s="110"/>
      <c r="CP90" s="110"/>
      <c r="CQ90" s="110"/>
      <c r="CR90" s="110"/>
      <c r="CS90" s="110"/>
      <c r="CT90" s="110"/>
      <c r="CU90" s="110"/>
      <c r="CV90" s="110"/>
      <c r="CW90" s="110"/>
      <c r="CX90" s="110"/>
      <c r="CY90" s="110"/>
      <c r="CZ90" s="110"/>
      <c r="DA90" s="110"/>
      <c r="DB90" s="110"/>
      <c r="DC90" s="110"/>
      <c r="DD90" s="110"/>
      <c r="DE90" s="110"/>
      <c r="DF90" s="110"/>
      <c r="DH90" s="110"/>
      <c r="DI90" s="110"/>
      <c r="DJ90" s="110"/>
      <c r="DK90" s="110"/>
      <c r="DL90" s="110"/>
      <c r="DN90" s="110"/>
      <c r="DO90" s="110"/>
      <c r="DP90" s="110"/>
      <c r="DQ90" s="110"/>
      <c r="DR90" s="110"/>
      <c r="DT90" s="110"/>
      <c r="DU90" s="110"/>
      <c r="DV90" s="110"/>
      <c r="DW90" s="110"/>
      <c r="DX90" s="110"/>
      <c r="DY90" s="110"/>
      <c r="DZ90" s="110"/>
      <c r="EA90" s="110"/>
      <c r="EB90" s="110"/>
      <c r="EC90" s="110"/>
      <c r="ED90" s="110"/>
      <c r="EE90" s="110"/>
      <c r="EF90" s="110"/>
      <c r="EG90" s="110"/>
      <c r="EH90" s="110"/>
      <c r="EI90" s="110"/>
      <c r="EJ90" s="110"/>
      <c r="EK90" s="110"/>
      <c r="ER90" s="110">
        <f>ER70/EL70-1</f>
        <v>-1.4901052631578962</v>
      </c>
      <c r="ES90" s="110">
        <f>ES70/EM70-1</f>
        <v>-6.2993661628473969</v>
      </c>
      <c r="ET90" s="110">
        <f>ET70/EN70-1</f>
        <v>3.0465960665658089</v>
      </c>
      <c r="EU90" s="110">
        <f>EU70/EO70-1</f>
        <v>0.27011125374411638</v>
      </c>
      <c r="EV90" s="110">
        <f>EV70/EP70-1</f>
        <v>10.391429393154992</v>
      </c>
      <c r="EW90" s="110"/>
      <c r="EX90" s="110">
        <f>EX70/ER70-1</f>
        <v>1.0246277205040073</v>
      </c>
      <c r="EY90" s="110">
        <f>EY70/ES70-1</f>
        <v>-1.7848928144262421E-2</v>
      </c>
      <c r="EZ90" s="110">
        <f>EZ70/ET70-1</f>
        <v>-8.5389561836401007E-2</v>
      </c>
      <c r="FA90" s="110">
        <f>FA70/EU70-1</f>
        <v>0.12692664027625544</v>
      </c>
      <c r="FB90" s="110">
        <f>FB70/EV70-1</f>
        <v>9.4652595435264608E-2</v>
      </c>
      <c r="FC90" s="110"/>
      <c r="FD90" s="829">
        <f>FD70/EX70-1</f>
        <v>0.28532638008267441</v>
      </c>
      <c r="FE90" s="110">
        <f>FE70/EY70-1</f>
        <v>0.10599978315692304</v>
      </c>
      <c r="FF90" s="110">
        <f>FF70/EZ70-1</f>
        <v>0.35217548213575522</v>
      </c>
      <c r="FG90" s="110">
        <f>FG70/FA70-1</f>
        <v>0.39266077211550554</v>
      </c>
      <c r="FH90" s="110">
        <f>FH70/FB70-1</f>
        <v>0.29315720231507436</v>
      </c>
      <c r="FI90" s="110"/>
      <c r="FJ90" s="110">
        <f>FJ70/FD70-1</f>
        <v>0.95138255522797444</v>
      </c>
      <c r="FK90" s="110">
        <f>FK70/FE70-1</f>
        <v>0.54568163446025753</v>
      </c>
      <c r="FL90" s="110">
        <f>FL70/FF70-1</f>
        <v>0.12923556601463981</v>
      </c>
      <c r="FM90" s="110">
        <f>FM70/FG70-1</f>
        <v>1.5836033244292391E-2</v>
      </c>
      <c r="FN90" s="110">
        <f>FN70/FH70-1</f>
        <v>0.31249329404622594</v>
      </c>
      <c r="FO90" s="110"/>
      <c r="FP90" s="110">
        <f>FP70/FJ70-1</f>
        <v>0.30235664387090333</v>
      </c>
      <c r="FQ90" s="110">
        <f>FQ70/FK70-1</f>
        <v>0.31574437315947068</v>
      </c>
      <c r="FR90" s="110">
        <f>FR70/FL70-1</f>
        <v>0.32639309274256756</v>
      </c>
      <c r="FS90" s="110">
        <f>FS70/FM70-1</f>
        <v>0.3334146633640509</v>
      </c>
      <c r="FT90" s="110">
        <f>FT70/FN70-1</f>
        <v>0.31976632599423072</v>
      </c>
      <c r="FU90" s="110"/>
      <c r="FV90" s="110">
        <f>FV70/FP70-1</f>
        <v>0.30137474293723354</v>
      </c>
      <c r="FW90" s="110">
        <f>FW70/FQ70-1</f>
        <v>0.30922184586804091</v>
      </c>
      <c r="FX90" s="110">
        <f>FX70/FR70-1</f>
        <v>0.31533835963606927</v>
      </c>
      <c r="FY90" s="110">
        <f>FY70/FS70-1</f>
        <v>0.31902990782812313</v>
      </c>
      <c r="FZ90" s="110">
        <f>FZ70/FT70-1</f>
        <v>0.31146507030453496</v>
      </c>
      <c r="GA90" s="110"/>
      <c r="GB90" s="110">
        <f>GB70/FV70-1</f>
        <v>0.26775204875378011</v>
      </c>
      <c r="GC90" s="110">
        <f>GC70/FW70-1</f>
        <v>0.27007476319258994</v>
      </c>
      <c r="GD90" s="110">
        <f>GD70/FX70-1</f>
        <v>0.27174618055498456</v>
      </c>
      <c r="GE90" s="110">
        <f>GE70/FY70-1</f>
        <v>0.27235156598994936</v>
      </c>
      <c r="GF90" s="110">
        <f>GF70/FZ70-1</f>
        <v>0.27054942218349698</v>
      </c>
      <c r="GG90" s="110"/>
      <c r="GH90" s="110">
        <f>GH70/GB70-1</f>
        <v>0.22257792758610995</v>
      </c>
      <c r="GI90" s="110">
        <f>GI70/GC70-1</f>
        <v>0.22603170405299688</v>
      </c>
      <c r="GJ90" s="110">
        <f>GJ70/GD70-1</f>
        <v>0.22868309934660558</v>
      </c>
      <c r="GK90" s="110">
        <f>GK70/GE70-1</f>
        <v>0.23026049872625132</v>
      </c>
      <c r="GL90" s="110">
        <f>GL70/GF70-1</f>
        <v>0.22700441336045385</v>
      </c>
      <c r="GM90" s="110"/>
      <c r="GN90" s="110">
        <f>GN70/GH70-1</f>
        <v>0.21682950450033744</v>
      </c>
      <c r="GO90" s="110">
        <f>GO70/GI70-1</f>
        <v>0.21741008152727237</v>
      </c>
      <c r="GP90" s="110">
        <f>GP70/GJ70-1</f>
        <v>0.21776394589922132</v>
      </c>
      <c r="GQ90" s="110">
        <f>GQ70/GK70-1</f>
        <v>0.21767411927982239</v>
      </c>
      <c r="GR90" s="110">
        <f>GR70/GL70-1</f>
        <v>0.21743391899848752</v>
      </c>
      <c r="GS90" s="110"/>
      <c r="GT90" s="110">
        <f>GT70/GN70-1</f>
        <v>0.1694717403081103</v>
      </c>
      <c r="GU90" s="110">
        <f>GU70/GO70-1</f>
        <v>0.17141414716529479</v>
      </c>
      <c r="GV90" s="110">
        <f>GV70/GP70-1</f>
        <v>0.17290446292038508</v>
      </c>
      <c r="GW90" s="110">
        <f>GW70/GQ70-1</f>
        <v>0.17382243552473176</v>
      </c>
      <c r="GX90" s="110">
        <f>GX70/GR70-1</f>
        <v>0.17197314170105193</v>
      </c>
      <c r="GY90" s="110"/>
      <c r="GZ90" s="110">
        <f>GZ70/GT70-1</f>
        <v>0.16444640123981391</v>
      </c>
      <c r="HA90" s="110">
        <f>HA70/GU70-1</f>
        <v>0.16572015178832955</v>
      </c>
      <c r="HB90" s="110">
        <f>HB70/GV70-1</f>
        <v>0.16668326124354915</v>
      </c>
      <c r="HC90" s="110">
        <f>HC70/GW70-1</f>
        <v>0.16723029515308574</v>
      </c>
      <c r="HD90" s="110">
        <f>HD70/GX70-1</f>
        <v>0.16606639753741792</v>
      </c>
      <c r="HE90" s="110"/>
      <c r="HF90" s="110">
        <f>HF70/GZ70-1</f>
        <v>-5.0983276265231581E-2</v>
      </c>
      <c r="HG90" s="110">
        <f>HG70/HA70-1</f>
        <v>-4.354153067818145E-2</v>
      </c>
      <c r="HH90" s="110">
        <f>HH70/HB70-1</f>
        <v>-3.8166785566722039E-2</v>
      </c>
      <c r="HI90" s="110">
        <f>HI70/HC70-1</f>
        <v>-3.6087927378786522E-2</v>
      </c>
      <c r="HJ90" s="110">
        <f>HJ70/HD70-1</f>
        <v>-4.1938239979978253E-2</v>
      </c>
      <c r="HK90" s="516"/>
      <c r="HL90" s="516"/>
      <c r="HM90" s="516"/>
      <c r="HN90" s="516"/>
      <c r="HO90" s="516"/>
    </row>
    <row r="91" spans="1:223" s="667" customFormat="1">
      <c r="B91" s="25" t="str">
        <f>B56</f>
        <v>Operating income</v>
      </c>
      <c r="C91" s="25"/>
      <c r="BS91" s="110"/>
      <c r="BT91" s="110"/>
      <c r="BU91" s="110"/>
      <c r="BV91" s="110"/>
      <c r="BW91" s="110"/>
      <c r="BX91" s="110"/>
      <c r="BY91" s="668"/>
      <c r="BZ91" s="110"/>
      <c r="CA91" s="110"/>
      <c r="CB91" s="110"/>
      <c r="CC91" s="110"/>
      <c r="CD91" s="110"/>
      <c r="CE91" s="110"/>
      <c r="CF91" s="110"/>
      <c r="CG91" s="110"/>
      <c r="CH91" s="110"/>
      <c r="CJ91" s="110"/>
      <c r="CK91" s="110"/>
      <c r="CL91" s="110"/>
      <c r="CM91" s="110"/>
      <c r="CN91" s="110"/>
      <c r="CP91" s="110"/>
      <c r="CQ91" s="110"/>
      <c r="CR91" s="110"/>
      <c r="CS91" s="110"/>
      <c r="CT91" s="110"/>
      <c r="CU91" s="110"/>
      <c r="CV91" s="110"/>
      <c r="CW91" s="110"/>
      <c r="CX91" s="110"/>
      <c r="CY91" s="110"/>
      <c r="CZ91" s="110"/>
      <c r="DA91" s="110"/>
      <c r="DB91" s="110"/>
      <c r="DC91" s="110"/>
      <c r="DD91" s="110"/>
      <c r="DE91" s="110"/>
      <c r="DF91" s="110"/>
      <c r="DH91" s="110"/>
      <c r="DI91" s="110"/>
      <c r="DJ91" s="110"/>
      <c r="DK91" s="110"/>
      <c r="DL91" s="110"/>
      <c r="DN91" s="110">
        <f>DN56/DH56-1</f>
        <v>1.4642728256946906</v>
      </c>
      <c r="DO91" s="110">
        <f>DO56/DI56-1</f>
        <v>0.70549450549450565</v>
      </c>
      <c r="DP91" s="110">
        <f>DP56/DJ56-1</f>
        <v>0.39016939738961276</v>
      </c>
      <c r="DQ91" s="110">
        <f>DQ56/DK56-1</f>
        <v>-7.7788082541154546E-2</v>
      </c>
      <c r="DR91" s="110">
        <f>DR56/DL56-1</f>
        <v>0.53165104542177199</v>
      </c>
      <c r="DT91" s="110">
        <f>DT56/DN56-1</f>
        <v>-0.95526103829537989</v>
      </c>
      <c r="DU91" s="110">
        <f>DU56/DO56-1</f>
        <v>-2.4414580265095731</v>
      </c>
      <c r="DV91" s="110">
        <f>DV56/DP56-1</f>
        <v>1.8078306032761171E-2</v>
      </c>
      <c r="DW91" s="110">
        <f>DW56/DQ56-1</f>
        <v>-0.14028912633563884</v>
      </c>
      <c r="DX91" s="110">
        <f>DX56/DR56-1</f>
        <v>-0.95332799849369088</v>
      </c>
      <c r="DY91" s="110"/>
      <c r="DZ91" s="110">
        <f>DZ56/DT56-1</f>
        <v>2.862520458265168</v>
      </c>
      <c r="EA91" s="110">
        <f>EA56/DU56-1</f>
        <v>-0.83588761174968151</v>
      </c>
      <c r="EB91" s="110">
        <f>EB56/DV56-1</f>
        <v>-2.1164524673795739</v>
      </c>
      <c r="EC91" s="110">
        <f>EC56/DW56-1</f>
        <v>-3.5208363795876636</v>
      </c>
      <c r="ED91" s="110">
        <f>ED56/DX56-1</f>
        <v>-15.538577912253734</v>
      </c>
      <c r="EE91" s="110"/>
      <c r="EF91" s="110">
        <f>EF56/DZ56-1</f>
        <v>-12.683898305084719</v>
      </c>
      <c r="EG91" s="110">
        <f>EG56/EA56-1</f>
        <v>8.4922178988327452</v>
      </c>
      <c r="EH91" s="110">
        <f>EH56/EB56-1</f>
        <v>0.80623901581722324</v>
      </c>
      <c r="EI91" s="110">
        <f>EI56/EC56-1</f>
        <v>-0.38259860788863276</v>
      </c>
      <c r="EJ91" s="110">
        <f>EJ56/ED56-1</f>
        <v>1.8847728061047482</v>
      </c>
      <c r="EK91" s="110"/>
      <c r="EL91" s="667">
        <f>EL56/EF56-1</f>
        <v>-0.4176035395662584</v>
      </c>
      <c r="EM91" s="667">
        <f>EM56/EG56-1</f>
        <v>-0.49760196761631537</v>
      </c>
      <c r="EN91" s="667">
        <f>EN56/EH56-1</f>
        <v>-0.71063001702748751</v>
      </c>
      <c r="EO91" s="667">
        <f>EO56/EI56-1</f>
        <v>-0.96674182638105977</v>
      </c>
      <c r="EP91" s="667">
        <f>EP56/EJ56-1</f>
        <v>-0.5837702000769518</v>
      </c>
      <c r="ER91" s="110">
        <f>ER56/EL56-1</f>
        <v>-0.61703717541565517</v>
      </c>
      <c r="ES91" s="110">
        <f>ES56/EM56-1</f>
        <v>-1.0917917754569202</v>
      </c>
      <c r="ET91" s="110">
        <f>ET56/EN56-1</f>
        <v>-1.5773369199731051</v>
      </c>
      <c r="EU91" s="110">
        <f>EU56/EO56-1</f>
        <v>-7.9971751412429644</v>
      </c>
      <c r="EV91" s="110">
        <f>EV56/EP56-1</f>
        <v>-1.0255943611520375</v>
      </c>
      <c r="EW91" s="110"/>
      <c r="EX91" s="110">
        <f>EX56/ER56-1</f>
        <v>-0.61609756097561086</v>
      </c>
      <c r="EY91" s="110">
        <f>EY56/ES56-1</f>
        <v>-6.3999999999988955E-2</v>
      </c>
      <c r="EZ91" s="110">
        <f>EZ56/ET56-1</f>
        <v>9.6097845078616073E-2</v>
      </c>
      <c r="FA91" s="110">
        <f>FA56/EU56-1</f>
        <v>0.83003633427532497</v>
      </c>
      <c r="FB91" s="110">
        <f>FB56/EV56-1</f>
        <v>6.8882618510150531</v>
      </c>
      <c r="FC91" s="110"/>
      <c r="FD91" s="829">
        <f>FD56/EX56-1</f>
        <v>-0.68325392087442571</v>
      </c>
      <c r="FE91" s="110">
        <f>FE56/EY56-1</f>
        <v>0.95616066970572677</v>
      </c>
      <c r="FF91" s="110">
        <f>FF56/EZ56-1</f>
        <v>0.82588896054318783</v>
      </c>
      <c r="FG91" s="110">
        <f>FG56/FA56-1</f>
        <v>0.99387340081744413</v>
      </c>
      <c r="FH91" s="110">
        <f>FH56/FB56-1</f>
        <v>1.4642829969630444</v>
      </c>
      <c r="FI91" s="110"/>
      <c r="FJ91" s="110">
        <f>FJ56/FD56-1</f>
        <v>-11.865314353648239</v>
      </c>
      <c r="FK91" s="110">
        <f>FK56/FE56-1</f>
        <v>3.1903552687851686</v>
      </c>
      <c r="FL91" s="110">
        <f>FL56/FF56-1</f>
        <v>0.3168419691596509</v>
      </c>
      <c r="FM91" s="110">
        <f>FM56/FG56-1</f>
        <v>2.8214569013824464E-2</v>
      </c>
      <c r="FN91" s="110">
        <f>FN56/FH56-1</f>
        <v>1.0380086338617662</v>
      </c>
      <c r="FO91" s="110"/>
      <c r="FP91" s="110">
        <f>FP56/FJ56-1</f>
        <v>0.64525138529044801</v>
      </c>
      <c r="FQ91" s="110">
        <f>FQ56/FK56-1</f>
        <v>0.64563418436165465</v>
      </c>
      <c r="FR91" s="110">
        <f>FR56/FL56-1</f>
        <v>0.64564641165138315</v>
      </c>
      <c r="FS91" s="110">
        <f>FS56/FM56-1</f>
        <v>0.6457356749162404</v>
      </c>
      <c r="FT91" s="110">
        <f>FT56/FN56-1</f>
        <v>0.64557559253124652</v>
      </c>
      <c r="FU91" s="110"/>
      <c r="FV91" s="110">
        <f>FV56/FP56-1</f>
        <v>0.49304817316391492</v>
      </c>
      <c r="FW91" s="110">
        <f>FW56/FQ56-1</f>
        <v>0.49304817316391492</v>
      </c>
      <c r="FX91" s="110">
        <f>FX56/FR56-1</f>
        <v>0.49304817316391691</v>
      </c>
      <c r="FY91" s="110">
        <f>FY56/FS56-1</f>
        <v>0.49304817316391647</v>
      </c>
      <c r="FZ91" s="110">
        <f>FZ56/FT56-1</f>
        <v>0.49304817316391647</v>
      </c>
      <c r="GA91" s="110"/>
      <c r="GB91" s="110">
        <f>GB56/FV56-1</f>
        <v>0.35299500006247642</v>
      </c>
      <c r="GC91" s="110">
        <f>GC56/FW56-1</f>
        <v>0.35299500006247397</v>
      </c>
      <c r="GD91" s="110">
        <f>GD56/FX56-1</f>
        <v>0.35299500006247508</v>
      </c>
      <c r="GE91" s="110">
        <f>GE56/FY56-1</f>
        <v>0.3529950000624742</v>
      </c>
      <c r="GF91" s="110">
        <f>GF56/FZ56-1</f>
        <v>0.35299500006247508</v>
      </c>
      <c r="GG91" s="110"/>
      <c r="GH91" s="110">
        <f>GH56/GB56-1</f>
        <v>0.29270716121434459</v>
      </c>
      <c r="GI91" s="110">
        <f>GI56/GC56-1</f>
        <v>0.29270716121434592</v>
      </c>
      <c r="GJ91" s="110">
        <f>GJ56/GD56-1</f>
        <v>0.29270716121434504</v>
      </c>
      <c r="GK91" s="110">
        <f>GK56/GE56-1</f>
        <v>0.29270716121434526</v>
      </c>
      <c r="GL91" s="110">
        <f>GL56/GF56-1</f>
        <v>0.29270716121434504</v>
      </c>
      <c r="GM91" s="110"/>
      <c r="GN91" s="110">
        <f>GN56/GH56-1</f>
        <v>0.25220406707720988</v>
      </c>
      <c r="GO91" s="110">
        <f>GO56/GI56-1</f>
        <v>0.25220406707720966</v>
      </c>
      <c r="GP91" s="110">
        <f>GP56/GJ56-1</f>
        <v>0.25220406707720988</v>
      </c>
      <c r="GQ91" s="110">
        <f>GQ56/GK56-1</f>
        <v>0.25220406707720988</v>
      </c>
      <c r="GR91" s="110">
        <f>GR56/GL56-1</f>
        <v>0.25220406707720899</v>
      </c>
      <c r="GS91" s="110"/>
      <c r="GT91" s="110">
        <f>GT56/GN56-1</f>
        <v>0.20285311239442128</v>
      </c>
      <c r="GU91" s="110">
        <f>GU56/GO56-1</f>
        <v>0.20285311239442083</v>
      </c>
      <c r="GV91" s="110">
        <f>GV56/GP56-1</f>
        <v>0.20285311239442061</v>
      </c>
      <c r="GW91" s="110">
        <f>GW56/GQ56-1</f>
        <v>0.20285311239442128</v>
      </c>
      <c r="GX91" s="110">
        <f>GX56/GR56-1</f>
        <v>0.20285311239442194</v>
      </c>
      <c r="GY91" s="110"/>
      <c r="GZ91" s="110">
        <f>GZ56/GT56-1</f>
        <v>0.18952197209816091</v>
      </c>
      <c r="HA91" s="110">
        <f>HA56/GU56-1</f>
        <v>0.18952197209816091</v>
      </c>
      <c r="HB91" s="110">
        <f>HB56/GV56-1</f>
        <v>0.18952197209816135</v>
      </c>
      <c r="HC91" s="110">
        <f>HC56/GW56-1</f>
        <v>0.18952197209816068</v>
      </c>
      <c r="HD91" s="110">
        <f>HD56/GX56-1</f>
        <v>0.18952197209816002</v>
      </c>
      <c r="HE91" s="110"/>
      <c r="HF91" s="110">
        <f>HF56/GZ56-1</f>
        <v>0.17116779986644048</v>
      </c>
      <c r="HG91" s="110">
        <f>HG56/HA56-1</f>
        <v>0.17116779986644115</v>
      </c>
      <c r="HH91" s="110">
        <f>HH56/HB56-1</f>
        <v>0.17116779986644093</v>
      </c>
      <c r="HI91" s="110">
        <f>HI56/HC56-1</f>
        <v>0.17116779986644093</v>
      </c>
      <c r="HJ91" s="110">
        <f>HJ56/HD56-1</f>
        <v>0.17116779986644071</v>
      </c>
      <c r="HK91" s="516"/>
      <c r="HL91" s="516"/>
      <c r="HM91" s="516"/>
      <c r="HN91" s="516"/>
      <c r="HO91" s="516"/>
    </row>
    <row r="92" spans="1:223" s="667" customFormat="1" collapsed="1">
      <c r="B92" s="25" t="str">
        <f>B62</f>
        <v>Net income</v>
      </c>
      <c r="C92" s="25"/>
      <c r="BS92" s="110"/>
      <c r="BT92" s="110"/>
      <c r="BU92" s="110"/>
      <c r="BV92" s="110"/>
      <c r="BW92" s="110"/>
      <c r="BX92" s="110"/>
      <c r="BY92" s="668"/>
      <c r="BZ92" s="110"/>
      <c r="CA92" s="110"/>
      <c r="CB92" s="110"/>
      <c r="CC92" s="110"/>
      <c r="CD92" s="110"/>
      <c r="CE92" s="110"/>
      <c r="CF92" s="110"/>
      <c r="CG92" s="110"/>
      <c r="CH92" s="110"/>
      <c r="CJ92" s="110"/>
      <c r="CK92" s="110"/>
      <c r="CL92" s="110"/>
      <c r="CM92" s="110"/>
      <c r="CN92" s="110"/>
      <c r="CP92" s="110"/>
      <c r="CQ92" s="110"/>
      <c r="CR92" s="110"/>
      <c r="CS92" s="110"/>
      <c r="CT92" s="110"/>
      <c r="CU92" s="110"/>
      <c r="CV92" s="110"/>
      <c r="CW92" s="110"/>
      <c r="CX92" s="110"/>
      <c r="CY92" s="110"/>
      <c r="CZ92" s="110"/>
      <c r="DA92" s="110"/>
      <c r="DB92" s="110"/>
      <c r="DC92" s="110"/>
      <c r="DD92" s="110"/>
      <c r="DE92" s="110"/>
      <c r="DF92" s="110"/>
      <c r="DH92" s="110"/>
      <c r="DI92" s="110"/>
      <c r="DJ92" s="110"/>
      <c r="DK92" s="110"/>
      <c r="DL92" s="110"/>
      <c r="DN92" s="110">
        <f>DN62/DH62-1</f>
        <v>0.9448519424069497</v>
      </c>
      <c r="DO92" s="110">
        <f>DO62/DI62-1</f>
        <v>0.61845051500223902</v>
      </c>
      <c r="DP92" s="110">
        <f>DP62/DJ62-1</f>
        <v>0.63201212908815041</v>
      </c>
      <c r="DQ92" s="110">
        <f>DQ62/DK62-1</f>
        <v>0.99124886052871553</v>
      </c>
      <c r="DR92" s="110">
        <f>DR62/DL62-1</f>
        <v>0.79976985040275972</v>
      </c>
      <c r="DT92" s="110">
        <f>DT62/DN62-1</f>
        <v>-1.3064673837128098</v>
      </c>
      <c r="DU92" s="110">
        <f>DU62/DO62-1</f>
        <v>-1.5726342003320413</v>
      </c>
      <c r="DV92" s="110">
        <f>DV62/DP62-1</f>
        <v>-7.6177836761777917E-2</v>
      </c>
      <c r="DW92" s="110">
        <f>DW62/DQ62-1</f>
        <v>0.51483244826954699</v>
      </c>
      <c r="DX92" s="110">
        <f>DX62/DR62-1</f>
        <v>-0.47713433199366473</v>
      </c>
      <c r="DY92" s="110"/>
      <c r="DZ92" s="110">
        <f>DZ62/DT62-1</f>
        <v>1.1180492251595204</v>
      </c>
      <c r="EA92" s="110">
        <f>EA62/DU62-1</f>
        <v>-0.79125392606910316</v>
      </c>
      <c r="EB92" s="110">
        <f>EB62/DV62-1</f>
        <v>-2.4028156874012354</v>
      </c>
      <c r="EC92" s="110">
        <f>EC62/DW62-1</f>
        <v>-2.0536113629495327</v>
      </c>
      <c r="ED92" s="110">
        <f>ED62/DX62-1</f>
        <v>-2.9046177138531362</v>
      </c>
      <c r="EE92" s="110"/>
      <c r="EF92" s="110">
        <f>EF62/DZ62-1</f>
        <v>4.3699160748870334</v>
      </c>
      <c r="EG92" s="110">
        <f>EG62/EA62-1</f>
        <v>22.142361111111676</v>
      </c>
      <c r="EH92" s="110">
        <f>EH62/EB62-1</f>
        <v>0.83287250384024603</v>
      </c>
      <c r="EI92" s="110">
        <f>EI62/EC62-1</f>
        <v>-0.60136530518586651</v>
      </c>
      <c r="EJ92" s="110">
        <f>EJ62/ED62-1</f>
        <v>1.1339121927357203</v>
      </c>
      <c r="EK92" s="110"/>
      <c r="EL92" s="667">
        <f>EL62/EF62-1</f>
        <v>-0.5282519836499161</v>
      </c>
      <c r="EM92" s="667">
        <f>EM62/EG62-1</f>
        <v>-0.66526631657914514</v>
      </c>
      <c r="EN92" s="667">
        <f>EN62/EH62-1</f>
        <v>-0.98497038775282153</v>
      </c>
      <c r="EO92" s="667">
        <f>EO62/EI62-1</f>
        <v>-1.5603683983306968</v>
      </c>
      <c r="EP92" s="667">
        <f>EP62/EJ62-1</f>
        <v>-0.78738036563699809</v>
      </c>
      <c r="ER92" s="110">
        <f>ER62/EL62-1</f>
        <v>-0.7753992524634733</v>
      </c>
      <c r="ES92" s="110">
        <f>ES62/EM62-1</f>
        <v>-1.6609890930823268</v>
      </c>
      <c r="ET92" s="110">
        <f>ET62/EN62-1</f>
        <v>-26.769516728624556</v>
      </c>
      <c r="EU92" s="110">
        <f>EU62/EO62-1</f>
        <v>0.42655367231638608</v>
      </c>
      <c r="EV92" s="110">
        <f>EV62/EP62-1</f>
        <v>-1.9613881401617248</v>
      </c>
      <c r="EW92" s="110"/>
      <c r="EX92" s="110">
        <f>EX62/ER62-1</f>
        <v>-0.82639939485628156</v>
      </c>
      <c r="EY92" s="110">
        <f>EY62/ES62-1</f>
        <v>-0.1887432188065068</v>
      </c>
      <c r="EZ92" s="110">
        <f>EZ62/ET62-1</f>
        <v>-0.47360069244085568</v>
      </c>
      <c r="FA92" s="110">
        <f>FA62/EU62-1</f>
        <v>0.45202520252024736</v>
      </c>
      <c r="FB92" s="110">
        <f>FB62/EV62-1</f>
        <v>4.0513072124475968E-2</v>
      </c>
      <c r="FC92" s="110"/>
      <c r="FD92" s="829">
        <f>FD62/EX62-1</f>
        <v>-0.81512343186166436</v>
      </c>
      <c r="FE92" s="110">
        <f>FE62/EY62-1</f>
        <v>-0.23905988347193852</v>
      </c>
      <c r="FF92" s="110">
        <f>FF62/EZ62-1</f>
        <v>1.0669067449519218</v>
      </c>
      <c r="FG92" s="110">
        <f>FG62/FA62-1</f>
        <v>0.20837433452125187</v>
      </c>
      <c r="FH92" s="110">
        <f>FH62/FB62-1</f>
        <v>0.34287947645818018</v>
      </c>
      <c r="FI92" s="110"/>
      <c r="FJ92" s="110">
        <f>FJ62/FD62-1</f>
        <v>-110.55374841293626</v>
      </c>
      <c r="FK92" s="110">
        <f>FK62/FE62-1</f>
        <v>2.6282911685660206</v>
      </c>
      <c r="FL92" s="110">
        <f>FL62/FF62-1</f>
        <v>0.3755387049447898</v>
      </c>
      <c r="FM92" s="110">
        <f>FM62/FG62-1</f>
        <v>-0.12653427820197416</v>
      </c>
      <c r="FN92" s="110">
        <f>FN62/FH62-1</f>
        <v>0.91087712065373561</v>
      </c>
      <c r="FO92" s="110"/>
      <c r="FP92" s="110">
        <f>FP62/FJ62-1</f>
        <v>0.40522511855452814</v>
      </c>
      <c r="FQ92" s="110">
        <f>FQ62/FK62-1</f>
        <v>0.41618119767645045</v>
      </c>
      <c r="FR92" s="110">
        <f>FR62/FL62-1</f>
        <v>0.42600080757204961</v>
      </c>
      <c r="FS92" s="110">
        <f>FS62/FM62-1</f>
        <v>0.79422476868703429</v>
      </c>
      <c r="FT92" s="110">
        <f>FT62/FN62-1</f>
        <v>0.50067018784787898</v>
      </c>
      <c r="FU92" s="110"/>
      <c r="FV92" s="110">
        <f>FV62/FP62-1</f>
        <v>6.7995505246356558E-2</v>
      </c>
      <c r="FW92" s="110">
        <f>FW62/FQ62-1</f>
        <v>8.6150126889100731E-2</v>
      </c>
      <c r="FX92" s="110">
        <f>FX62/FR62-1</f>
        <v>8.9933056175362847E-2</v>
      </c>
      <c r="FY92" s="110">
        <f>FY62/FS62-1</f>
        <v>9.1356706395038456E-2</v>
      </c>
      <c r="FZ92" s="110">
        <f>FZ62/FT62-1</f>
        <v>8.4371581088655612E-2</v>
      </c>
      <c r="GA92" s="110"/>
      <c r="GB92" s="110">
        <f>GB62/FV62-1</f>
        <v>0.43937151528026974</v>
      </c>
      <c r="GC92" s="110">
        <f>GC62/FW62-1</f>
        <v>0.4168020190618309</v>
      </c>
      <c r="GD92" s="110">
        <f>GD62/FX62-1</f>
        <v>0.41434973723112556</v>
      </c>
      <c r="GE92" s="110">
        <f>GE62/FY62-1</f>
        <v>0.41331235321865778</v>
      </c>
      <c r="GF92" s="110">
        <f>GF62/FZ62-1</f>
        <v>0.42030545144152121</v>
      </c>
      <c r="GG92" s="110"/>
      <c r="GH92" s="110">
        <f>GH62/GB62-1</f>
        <v>0.3389506107917768</v>
      </c>
      <c r="GI92" s="110">
        <f>GI62/GC62-1</f>
        <v>0.33559106899285296</v>
      </c>
      <c r="GJ92" s="110">
        <f>GJ62/GD62-1</f>
        <v>0.33385258875976942</v>
      </c>
      <c r="GK92" s="110">
        <f>GK62/GE62-1</f>
        <v>0.40626081879211484</v>
      </c>
      <c r="GL92" s="110">
        <f>GL62/GF62-1</f>
        <v>0.35481853365600013</v>
      </c>
      <c r="GM92" s="110"/>
      <c r="GN92" s="110">
        <f>GN62/GH62-1</f>
        <v>0.33810616777727498</v>
      </c>
      <c r="GO92" s="110">
        <f>GO62/GI62-1</f>
        <v>0.33262565736892813</v>
      </c>
      <c r="GP92" s="110">
        <f>GP62/GJ62-1</f>
        <v>0.32922218548452653</v>
      </c>
      <c r="GQ92" s="110">
        <f>GQ62/GK62-1</f>
        <v>0.25841121738468686</v>
      </c>
      <c r="GR92" s="110">
        <f>GR62/GL62-1</f>
        <v>0.3123789896965079</v>
      </c>
      <c r="GS92" s="110"/>
      <c r="GT92" s="110">
        <f>GT62/GN62-1</f>
        <v>0.22220507140932222</v>
      </c>
      <c r="GU92" s="110">
        <f>GU62/GO62-1</f>
        <v>0.22089029877264377</v>
      </c>
      <c r="GV92" s="110">
        <f>GV62/GP62-1</f>
        <v>0.22020458376083685</v>
      </c>
      <c r="GW92" s="110">
        <f>GW62/GQ62-1</f>
        <v>0.21987679117498748</v>
      </c>
      <c r="GX92" s="110">
        <f>GX62/GR62-1</f>
        <v>0.22074543303093619</v>
      </c>
      <c r="GY92" s="110"/>
      <c r="GZ92" s="110">
        <f>GZ62/GT62-1</f>
        <v>0.20641380569676682</v>
      </c>
      <c r="HA92" s="110">
        <f>HA62/GU62-1</f>
        <v>0.20530776763371095</v>
      </c>
      <c r="HB92" s="110">
        <f>HB62/GV62-1</f>
        <v>0.20472409315709261</v>
      </c>
      <c r="HC92" s="110">
        <f>HC62/GW62-1</f>
        <v>0.20444680659454284</v>
      </c>
      <c r="HD92" s="110">
        <f>HD62/GX62-1</f>
        <v>0.20518244585838596</v>
      </c>
      <c r="HE92" s="110"/>
      <c r="HF92" s="110">
        <f>HF62/GZ62-1</f>
        <v>0.18667685410324619</v>
      </c>
      <c r="HG92" s="110">
        <f>HG62/HA62-1</f>
        <v>0.18569810713104218</v>
      </c>
      <c r="HH92" s="110">
        <f>HH62/HB62-1</f>
        <v>0.18515985375220412</v>
      </c>
      <c r="HI92" s="110">
        <f>HI62/HC62-1</f>
        <v>0.18490019568838734</v>
      </c>
      <c r="HJ92" s="110">
        <f>HJ62/HD62-1</f>
        <v>0.18557241373106792</v>
      </c>
      <c r="HK92" s="516"/>
      <c r="HL92" s="516"/>
      <c r="HM92" s="516"/>
      <c r="HN92" s="516"/>
      <c r="HO92" s="516"/>
    </row>
    <row r="93" spans="1:223" s="667" customFormat="1" collapsed="1">
      <c r="B93" s="25" t="str">
        <f>B68</f>
        <v>Diluted E.P.S. (non GAAP)</v>
      </c>
      <c r="C93" s="25"/>
      <c r="BS93" s="110"/>
      <c r="BT93" s="110"/>
      <c r="BU93" s="110"/>
      <c r="BV93" s="110"/>
      <c r="BW93" s="110"/>
      <c r="BX93" s="110"/>
      <c r="BY93" s="668"/>
      <c r="BZ93" s="110"/>
      <c r="CA93" s="110"/>
      <c r="CB93" s="110"/>
      <c r="CC93" s="110"/>
      <c r="CD93" s="110"/>
      <c r="CE93" s="110"/>
      <c r="CF93" s="110"/>
      <c r="CG93" s="110"/>
      <c r="CH93" s="110"/>
      <c r="CJ93" s="110"/>
      <c r="CK93" s="110"/>
      <c r="CL93" s="110"/>
      <c r="CM93" s="110"/>
      <c r="CN93" s="110"/>
      <c r="CP93" s="110"/>
      <c r="CQ93" s="110"/>
      <c r="CR93" s="110"/>
      <c r="CS93" s="110"/>
      <c r="CT93" s="110"/>
      <c r="CU93" s="110"/>
      <c r="CV93" s="110"/>
      <c r="CW93" s="110"/>
      <c r="CX93" s="110"/>
      <c r="CY93" s="110"/>
      <c r="CZ93" s="110"/>
      <c r="DA93" s="110"/>
      <c r="DB93" s="110"/>
      <c r="DC93" s="110"/>
      <c r="DD93" s="110"/>
      <c r="DE93" s="110"/>
      <c r="DF93" s="110"/>
      <c r="DH93" s="110"/>
      <c r="DI93" s="110"/>
      <c r="DJ93" s="110"/>
      <c r="DK93" s="110"/>
      <c r="DL93" s="110"/>
      <c r="DN93" s="110">
        <f>DN68/DH68-1</f>
        <v>0.65267252826004141</v>
      </c>
      <c r="DO93" s="110">
        <f>DO68/DI68-1</f>
        <v>0.42601280132819253</v>
      </c>
      <c r="DP93" s="110">
        <f>DP68/DJ68-1</f>
        <v>0.37554659678900881</v>
      </c>
      <c r="DQ93" s="110">
        <f>DQ68/DK68-1</f>
        <v>0.78916155408157196</v>
      </c>
      <c r="DR93" s="110">
        <f>DR68/DL68-1</f>
        <v>0.59051609961569174</v>
      </c>
      <c r="DT93" s="110">
        <f>DT68/DN68-1</f>
        <v>-1.2778867571393859</v>
      </c>
      <c r="DU93" s="110">
        <f>DU68/DO68-1</f>
        <v>-1.5431710356686141</v>
      </c>
      <c r="DV93" s="110">
        <f>DV68/DP68-1</f>
        <v>-0.16384680915388417</v>
      </c>
      <c r="DW93" s="110">
        <f>DW68/DQ68-1</f>
        <v>0.42969970274370128</v>
      </c>
      <c r="DX93" s="110">
        <f>DX68/DR68-1</f>
        <v>-0.47713433199366473</v>
      </c>
      <c r="DY93" s="110"/>
      <c r="DZ93" s="110">
        <f>DZ68/DT68-1</f>
        <v>0.90451084124275849</v>
      </c>
      <c r="EA93" s="110">
        <f>EA68/DU68-1</f>
        <v>-0.82839452533826075</v>
      </c>
      <c r="EB93" s="110">
        <f>EB68/DV68-1</f>
        <v>-2.3642654117367199</v>
      </c>
      <c r="EC93" s="110">
        <f>EC68/DW68-1</f>
        <v>-1.9778874868616274</v>
      </c>
      <c r="ED93" s="110">
        <f>ED68/DX68-1</f>
        <v>-2.645078978517303</v>
      </c>
      <c r="EE93" s="110"/>
      <c r="EF93" s="110">
        <f>EF68/DZ68-1</f>
        <v>4.0471477633729549</v>
      </c>
      <c r="EG93" s="110">
        <f>EG68/EA68-1</f>
        <v>23.479592200559075</v>
      </c>
      <c r="EH93" s="110">
        <f>EH68/EB68-1</f>
        <v>0.80538494031068253</v>
      </c>
      <c r="EI93" s="110">
        <f>EI68/EC68-1</f>
        <v>-0.60658181513612597</v>
      </c>
      <c r="EJ93" s="110">
        <f>EJ68/ED68-1</f>
        <v>1.0608159468105214</v>
      </c>
      <c r="EK93" s="110"/>
      <c r="EL93" s="667">
        <f>EL68/EF68-1</f>
        <v>-0.53351936988017801</v>
      </c>
      <c r="EM93" s="667">
        <f>EM68/EG68-1</f>
        <v>-0.66870561732459066</v>
      </c>
      <c r="EN93" s="667">
        <f>EN68/EH68-1</f>
        <v>-0.98512129731909281</v>
      </c>
      <c r="EO93" s="667">
        <f>EO68/EI68-1</f>
        <v>-1.5549617993426019</v>
      </c>
      <c r="EP93" s="667">
        <f>EP68/EJ68-1</f>
        <v>-0.78738036563699809</v>
      </c>
      <c r="ER93" s="110">
        <f>ER68/EL68-1</f>
        <v>-0.77733161213929169</v>
      </c>
      <c r="ES93" s="110">
        <f>ES68/EM68-1</f>
        <v>-1.6555037281154079</v>
      </c>
      <c r="ET93" s="110">
        <f>ET68/EN68-1</f>
        <v>-26.512538097332349</v>
      </c>
      <c r="EU93" s="110">
        <f>EU68/EO68-1</f>
        <v>0.41274360963455647</v>
      </c>
      <c r="EV93" s="110">
        <f>EV68/EP68-1</f>
        <v>-1.9428654941305687</v>
      </c>
      <c r="EW93" s="110"/>
      <c r="EX93" s="110">
        <f>EX68/ER68-1</f>
        <v>-0.82812346191370834</v>
      </c>
      <c r="EY93" s="110">
        <f>EY68/ES68-1</f>
        <v>-0.19853290430747006</v>
      </c>
      <c r="EZ93" s="110">
        <f>EZ68/ET68-1</f>
        <v>-0.47959372898371644</v>
      </c>
      <c r="FA93" s="110">
        <f>FA68/EU68-1</f>
        <v>0.43263572405920736</v>
      </c>
      <c r="FB93" s="110">
        <f>FB68/EV68-1</f>
        <v>2.8350569362845413E-2</v>
      </c>
      <c r="FC93" s="110"/>
      <c r="FD93" s="829">
        <f>FD68/EX68-1</f>
        <v>-0.81778123001272962</v>
      </c>
      <c r="FE93" s="110">
        <f>FE68/EY68-1</f>
        <v>-0.24867683640766514</v>
      </c>
      <c r="FF93" s="110">
        <f>FF68/EZ68-1</f>
        <v>1.0426550380840425</v>
      </c>
      <c r="FG93" s="110">
        <f>FG68/FA68-1</f>
        <v>0.19528363188543896</v>
      </c>
      <c r="FH93" s="110">
        <f>FH68/FB68-1</f>
        <v>0.32623942383788385</v>
      </c>
      <c r="FI93" s="110"/>
      <c r="FJ93" s="110">
        <f>FJ68/FD68-1</f>
        <v>-109.41161433304096</v>
      </c>
      <c r="FK93" s="110">
        <f>FK68/FE68-1</f>
        <v>2.5919384757869026</v>
      </c>
      <c r="FL93" s="110">
        <f>FL68/FF68-1</f>
        <v>0.36231288789262783</v>
      </c>
      <c r="FM93" s="110">
        <f>FM68/FG68-1</f>
        <v>-0.1345812100212217</v>
      </c>
      <c r="FN93" s="110">
        <f>FN68/FH68-1</f>
        <v>0.89211825550404966</v>
      </c>
      <c r="FO93" s="110"/>
      <c r="FP93" s="110">
        <f>FP68/FJ68-1</f>
        <v>0.39283738565481374</v>
      </c>
      <c r="FQ93" s="110">
        <f>FQ68/FK68-1</f>
        <v>0.40425718902392793</v>
      </c>
      <c r="FR93" s="110">
        <f>FR68/FL68-1</f>
        <v>0.41455615450216188</v>
      </c>
      <c r="FS93" s="110">
        <f>FS68/FM68-1</f>
        <v>0.7805293266177904</v>
      </c>
      <c r="FT93" s="110">
        <f>FT68/FN68-1</f>
        <v>0.4883308114064584</v>
      </c>
      <c r="FU93" s="110"/>
      <c r="FV93" s="110">
        <f>FV68/FP68-1</f>
        <v>6.0258236926921782E-2</v>
      </c>
      <c r="FW93" s="110">
        <f>FW68/FQ68-1</f>
        <v>7.8701913449493288E-2</v>
      </c>
      <c r="FX93" s="110">
        <f>FX68/FR68-1</f>
        <v>8.2879658995136607E-2</v>
      </c>
      <c r="FY93" s="110">
        <f>FY68/FS68-1</f>
        <v>8.4714121117940744E-2</v>
      </c>
      <c r="FZ93" s="110">
        <f>FZ68/FT68-1</f>
        <v>7.7145028801211435E-2</v>
      </c>
      <c r="GA93" s="110"/>
      <c r="GB93" s="110">
        <f>GB68/FV68-1</f>
        <v>0.4311599297593367</v>
      </c>
      <c r="GC93" s="110">
        <f>GC68/FW68-1</f>
        <v>0.40925854909236237</v>
      </c>
      <c r="GD93" s="110">
        <f>GD68/FX68-1</f>
        <v>0.40735651691183961</v>
      </c>
      <c r="GE93" s="110">
        <f>GE68/FY68-1</f>
        <v>0.40685983580213314</v>
      </c>
      <c r="GF93" s="110">
        <f>GF68/FZ68-1</f>
        <v>0.41301320989368739</v>
      </c>
      <c r="GG93" s="110"/>
      <c r="GH93" s="110">
        <f>GH68/GB68-1</f>
        <v>0.33334173988934412</v>
      </c>
      <c r="GI93" s="110">
        <f>GI68/GC68-1</f>
        <v>0.330498380847146</v>
      </c>
      <c r="GJ93" s="110">
        <f>GJ68/GD68-1</f>
        <v>0.32926721704538409</v>
      </c>
      <c r="GK93" s="110">
        <f>GK68/GE68-1</f>
        <v>0.40195358896753097</v>
      </c>
      <c r="GL93" s="110">
        <f>GL68/GF68-1</f>
        <v>0.34990690624901988</v>
      </c>
      <c r="GM93" s="110"/>
      <c r="GN93" s="110">
        <f>GN68/GH68-1</f>
        <v>0.33450709759628805</v>
      </c>
      <c r="GO93" s="110">
        <f>GO68/GI68-1</f>
        <v>0.32953830043350218</v>
      </c>
      <c r="GP93" s="110">
        <f>GP68/GJ68-1</f>
        <v>0.32663802702253797</v>
      </c>
      <c r="GQ93" s="110">
        <f>GQ68/GK68-1</f>
        <v>0.25643328184980607</v>
      </c>
      <c r="GR93" s="110">
        <f>GR68/GL68-1</f>
        <v>0.30958310581375903</v>
      </c>
      <c r="GS93" s="110"/>
      <c r="GT93" s="110">
        <f>GT68/GN68-1</f>
        <v>0.22076430061342345</v>
      </c>
      <c r="GU93" s="110">
        <f>GU68/GO68-1</f>
        <v>0.2199308181701296</v>
      </c>
      <c r="GV93" s="110">
        <f>GV68/GP68-1</f>
        <v>0.21972511290649632</v>
      </c>
      <c r="GW93" s="110">
        <f>GW68/GQ68-1</f>
        <v>0.21987679117498748</v>
      </c>
      <c r="GX93" s="110">
        <f>GX68/GR68-1</f>
        <v>0.2200259079650202</v>
      </c>
      <c r="GY93" s="110"/>
      <c r="GZ93" s="110">
        <f>GZ68/GT68-1</f>
        <v>0.20641380569676682</v>
      </c>
      <c r="HA93" s="110">
        <f>HA68/GU68-1</f>
        <v>0.20530776763371072</v>
      </c>
      <c r="HB93" s="110">
        <f>HB68/GV68-1</f>
        <v>0.20472409315709261</v>
      </c>
      <c r="HC93" s="110">
        <f>HC68/GW68-1</f>
        <v>0.20444680659454284</v>
      </c>
      <c r="HD93" s="110">
        <f>HD68/GX68-1</f>
        <v>0.20518244585838596</v>
      </c>
      <c r="HE93" s="110"/>
      <c r="HF93" s="110">
        <f>HF68/GZ68-1</f>
        <v>0.18667685410324641</v>
      </c>
      <c r="HG93" s="110">
        <f>HG68/HA68-1</f>
        <v>0.1856981071310424</v>
      </c>
      <c r="HH93" s="110">
        <f>HH68/HB68-1</f>
        <v>0.18515985375220412</v>
      </c>
      <c r="HI93" s="110">
        <f>HI68/HC68-1</f>
        <v>0.18490019568838711</v>
      </c>
      <c r="HJ93" s="110">
        <f>HJ68/HD68-1</f>
        <v>0.18557241373106814</v>
      </c>
      <c r="HK93" s="516"/>
      <c r="HL93" s="516"/>
      <c r="HM93" s="516"/>
      <c r="HN93" s="516"/>
      <c r="HO93" s="516"/>
    </row>
    <row r="94" spans="1:223" s="25" customFormat="1">
      <c r="HH94" s="491"/>
      <c r="HI94" s="491"/>
      <c r="HJ94" s="491"/>
      <c r="HK94" s="491"/>
      <c r="HL94" s="491"/>
      <c r="HM94" s="491"/>
      <c r="HN94" s="491"/>
      <c r="HO94" s="491"/>
    </row>
    <row r="95" spans="1:223">
      <c r="A95" s="8" t="s">
        <v>561</v>
      </c>
      <c r="ET95" s="8"/>
    </row>
    <row r="96" spans="1:223" s="23" customFormat="1">
      <c r="FI96" s="414"/>
      <c r="FO96" s="414"/>
      <c r="HH96" s="515"/>
      <c r="HI96" s="515"/>
      <c r="HJ96" s="515"/>
      <c r="HK96" s="515"/>
      <c r="HL96" s="515"/>
      <c r="HM96" s="515"/>
      <c r="HN96" s="515"/>
      <c r="HO96" s="515"/>
    </row>
    <row r="97" spans="2:223">
      <c r="ET97" s="8"/>
      <c r="FI97" s="413"/>
      <c r="FO97" s="413"/>
    </row>
    <row r="98" spans="2:223">
      <c r="B98" s="8" t="s">
        <v>36</v>
      </c>
      <c r="BF98" s="20"/>
      <c r="BG98" s="20"/>
      <c r="BH98" s="20"/>
      <c r="BI98" s="20"/>
      <c r="BJ98" s="20"/>
      <c r="BL98" s="20"/>
      <c r="BM98" s="20"/>
      <c r="BN98" s="20"/>
      <c r="BO98" s="20"/>
      <c r="BP98" s="20"/>
      <c r="BR98" s="20"/>
      <c r="BS98" s="20"/>
      <c r="BT98" s="20"/>
      <c r="BU98" s="20"/>
      <c r="BV98" s="20"/>
      <c r="CB98" s="20"/>
      <c r="CH98" s="20"/>
      <c r="CN98" s="20"/>
      <c r="CT98" s="20"/>
      <c r="CZ98" s="20"/>
      <c r="DF98" s="20"/>
      <c r="DH98" s="20"/>
      <c r="DI98" s="20"/>
      <c r="DJ98" s="20"/>
      <c r="DK98" s="20"/>
      <c r="DL98" s="20">
        <f>(DL56-DF56)/(DL49-DF49)</f>
        <v>0.10023849100238494</v>
      </c>
      <c r="DN98" s="20"/>
      <c r="DO98" s="20"/>
      <c r="DP98" s="20"/>
      <c r="DQ98" s="20"/>
      <c r="DR98" s="20">
        <f>(DR56-DL56)/(DR49-DL49)</f>
        <v>0.11165114694526433</v>
      </c>
      <c r="DT98" s="20"/>
      <c r="DU98" s="20"/>
      <c r="DV98" s="20"/>
      <c r="DW98" s="20"/>
      <c r="DX98" s="20">
        <f>(DX56-DR56)/(DX49-DR49)</f>
        <v>-1.1372059071256064</v>
      </c>
      <c r="DZ98" s="20"/>
      <c r="EA98" s="20"/>
      <c r="EB98" s="20"/>
      <c r="EC98" s="20"/>
      <c r="ED98" s="20">
        <f>(ED56-DX56)/(ED49-DX49)</f>
        <v>-0.77262355507635638</v>
      </c>
      <c r="EF98" s="20"/>
      <c r="EG98" s="20"/>
      <c r="EH98" s="20"/>
      <c r="EI98" s="20"/>
      <c r="EJ98" s="20">
        <f>(EJ56-ED56)/(EJ49-ED49)</f>
        <v>-2.1393755659671529</v>
      </c>
      <c r="EL98" s="20"/>
      <c r="EM98" s="20"/>
      <c r="EN98" s="20"/>
      <c r="EO98" s="20"/>
      <c r="EP98" s="20">
        <f>(EP56-EJ56)/(EP49-EJ49)</f>
        <v>0.59269974974058415</v>
      </c>
      <c r="ER98" s="20"/>
      <c r="ET98" s="8"/>
      <c r="EV98" s="20">
        <f>(EV56-EP56)/(EV49-EP49)</f>
        <v>0.51511106597217415</v>
      </c>
      <c r="FB98" s="20">
        <f>(FB56-EV56)/(FB49-EV49)</f>
        <v>9.1408800886677327E-2</v>
      </c>
      <c r="FH98" s="20">
        <f>(FH56-FB56)/(FH49-FB49)</f>
        <v>0.14613325698468282</v>
      </c>
      <c r="FI98" s="413"/>
      <c r="FN98" s="20">
        <f>(FN56-FH56)/(FN49-FH49)</f>
        <v>0.2293092547487027</v>
      </c>
      <c r="FO98" s="413"/>
      <c r="FT98" s="20">
        <f>(FT56-FN56)/(FT49-FN49)</f>
        <v>0.26426235972977591</v>
      </c>
      <c r="FZ98" s="20">
        <f>(FZ56-FT56)/(FZ49-FT49)</f>
        <v>0.31875779372841234</v>
      </c>
      <c r="GF98" s="20">
        <f>(GF56-FZ56)/(GF49-FZ49)</f>
        <v>0.32947289936914664</v>
      </c>
      <c r="GL98" s="20">
        <f>(GL56-GF56)/(GL49-GF49)</f>
        <v>0.36913185695965617</v>
      </c>
      <c r="GR98" s="20">
        <f>(GR56-GL56)/(GR49-GL49)</f>
        <v>0.40539227920599902</v>
      </c>
      <c r="GX98" s="20">
        <f>(GX56-GR56)/(GX49-GR49)</f>
        <v>0.40621360967456982</v>
      </c>
      <c r="HD98" s="20">
        <f>(HD56-GX56)/(HD49-GX49)</f>
        <v>0.45856791885889397</v>
      </c>
      <c r="HH98" s="8"/>
      <c r="HI98" s="8"/>
      <c r="HJ98" s="20">
        <f>(HJ56-HD56)/(HJ49-HD49)</f>
        <v>0.50007176137282183</v>
      </c>
    </row>
    <row r="99" spans="2:223">
      <c r="ET99" s="8"/>
      <c r="FI99" s="413"/>
      <c r="FO99" s="413"/>
      <c r="HH99" s="8"/>
      <c r="HI99" s="8"/>
      <c r="HJ99" s="8"/>
    </row>
    <row r="100" spans="2:223">
      <c r="B100" s="8" t="s">
        <v>37</v>
      </c>
      <c r="BX100" s="17"/>
      <c r="BY100" s="17"/>
      <c r="BZ100" s="17"/>
      <c r="CA100" s="17"/>
      <c r="CB100" s="17"/>
      <c r="CC100" s="17"/>
      <c r="CD100" s="17"/>
      <c r="CE100" s="17"/>
      <c r="CF100" s="17"/>
      <c r="CG100" s="17"/>
      <c r="CH100" s="17"/>
      <c r="CI100" s="17"/>
      <c r="CJ100" s="17"/>
      <c r="CK100" s="17"/>
      <c r="CL100" s="17"/>
      <c r="CM100" s="17"/>
      <c r="CN100" s="17"/>
      <c r="CP100" s="17"/>
      <c r="CQ100" s="17"/>
      <c r="CR100" s="17"/>
      <c r="CS100" s="17"/>
      <c r="CT100" s="17"/>
      <c r="CV100" s="17"/>
      <c r="CW100" s="17"/>
      <c r="CX100" s="17"/>
      <c r="CY100" s="17"/>
      <c r="CZ100" s="17"/>
      <c r="DB100" s="17"/>
      <c r="DC100" s="17"/>
      <c r="DD100" s="17"/>
      <c r="DE100" s="17"/>
      <c r="DF100" s="17"/>
      <c r="DH100" s="354">
        <f>SUM(DH52:DH54)</f>
        <v>21.760999999999999</v>
      </c>
      <c r="DI100" s="354">
        <f>SUM(DI52:DI54)</f>
        <v>24.16</v>
      </c>
      <c r="DJ100" s="354">
        <f>SUM(DJ52:DJ54)</f>
        <v>25.119000000000003</v>
      </c>
      <c r="DK100" s="354">
        <f>SUM(DK52:DK54)</f>
        <v>28.484999999999999</v>
      </c>
      <c r="DL100" s="354">
        <f>SUM(DL52:DL54)</f>
        <v>99.525000000000006</v>
      </c>
      <c r="DM100" s="354"/>
      <c r="DN100" s="354">
        <f>SUM(DN52:DN54)</f>
        <v>33.458000000000006</v>
      </c>
      <c r="DO100" s="354">
        <f>SUM(DO52:DO54)</f>
        <v>38.102000000000004</v>
      </c>
      <c r="DP100" s="354">
        <f>SUM(DP52:DP54)</f>
        <v>40.82</v>
      </c>
      <c r="DQ100" s="354">
        <f>SUM(DQ52:DQ54)</f>
        <v>41.967999999999996</v>
      </c>
      <c r="DR100" s="354">
        <f>SUM(DR52:DR54)</f>
        <v>154.34800000000001</v>
      </c>
      <c r="DS100" s="354"/>
      <c r="DT100" s="354">
        <f>SUM(DT52:DT54)</f>
        <v>45.758000000000003</v>
      </c>
      <c r="DU100" s="354">
        <f>SUM(DU52:DU54)</f>
        <v>43.665999999999997</v>
      </c>
      <c r="DV100" s="354">
        <f>SUM(DV52:DV54)</f>
        <v>43.872</v>
      </c>
      <c r="DW100" s="354">
        <f>SUM(DW52:DW54)</f>
        <v>50.614000000000011</v>
      </c>
      <c r="DX100" s="354">
        <f>SUM(DX52:DX54)</f>
        <v>183.90999999999997</v>
      </c>
      <c r="DY100" s="354"/>
      <c r="DZ100" s="354">
        <f>SUM(DZ52:DZ54)</f>
        <v>44.512999999999998</v>
      </c>
      <c r="EA100" s="354">
        <f>SUM(EA52:EA54)</f>
        <v>56.288999999999994</v>
      </c>
      <c r="EB100" s="354">
        <f>SUM(EB52:EB54)</f>
        <v>63.442999999999998</v>
      </c>
      <c r="EC100" s="354">
        <f>SUM(EC52:EC54)</f>
        <v>67.350000000000009</v>
      </c>
      <c r="ED100" s="354">
        <f>SUM(ED52:ED54)</f>
        <v>231.59499999999997</v>
      </c>
      <c r="EE100" s="354"/>
      <c r="EF100" s="354">
        <f>SUM(EF52:EF54)</f>
        <v>70.659000000000006</v>
      </c>
      <c r="EG100" s="354">
        <f>SUM(EG52:EG54)</f>
        <v>73.194000000000017</v>
      </c>
      <c r="EH100" s="354">
        <f>SUM(EH52:EH54)</f>
        <v>74.301000000000002</v>
      </c>
      <c r="EI100" s="354">
        <f>SUM(EI52:EI54)</f>
        <v>72.322999999999993</v>
      </c>
      <c r="EJ100" s="354">
        <f>SUM(EJ52:EJ54)</f>
        <v>290.47700000000003</v>
      </c>
      <c r="EK100" s="354"/>
      <c r="EL100" s="354">
        <f>SUM(EL52:EL54)</f>
        <v>75.725999999999985</v>
      </c>
      <c r="EM100" s="354">
        <f>SUM(EM52:EM54)</f>
        <v>77</v>
      </c>
      <c r="EN100" s="354">
        <f>SUM(EN52:EN54)</f>
        <v>73.111999999999995</v>
      </c>
      <c r="EO100" s="354">
        <f>SUM(EO52:EO54)</f>
        <v>73.020999999999987</v>
      </c>
      <c r="EP100" s="354">
        <f>SUM(EP52:EP54)</f>
        <v>298.85900000000004</v>
      </c>
      <c r="EQ100" s="354"/>
      <c r="ER100" s="354">
        <f>SUM(ER52:ER54)</f>
        <v>76.924000000000007</v>
      </c>
      <c r="ES100" s="354">
        <f>SUM(ES52:ES54)</f>
        <v>76.635999999999996</v>
      </c>
      <c r="ET100" s="354">
        <f>SUM(ET52:ET54)</f>
        <v>76.645999999999987</v>
      </c>
      <c r="EU100" s="354">
        <f>SUM(EU52:EU54)</f>
        <v>79.98</v>
      </c>
      <c r="EV100" s="354">
        <f>SUM(EV52:EV54)</f>
        <v>310.18599999999998</v>
      </c>
      <c r="EW100" s="354"/>
      <c r="EX100" s="354">
        <f>SUM(EX52:EX54)</f>
        <v>80.911999999999992</v>
      </c>
      <c r="EY100" s="354">
        <f>SUM(EY52:EY54)</f>
        <v>85.778999999999996</v>
      </c>
      <c r="EZ100" s="354">
        <f>SUM(EZ52:EZ54)</f>
        <v>74.865000000000009</v>
      </c>
      <c r="FA100" s="354">
        <f>SUM(FA52:FA54)</f>
        <v>83.498999999999995</v>
      </c>
      <c r="FB100" s="354">
        <f>SUM(FB52:FB54)</f>
        <v>325.05500000000001</v>
      </c>
      <c r="FC100" s="354"/>
      <c r="FD100" s="354">
        <f>SUM(FD52:FD54)</f>
        <v>88.898886679921148</v>
      </c>
      <c r="FE100" s="354">
        <f>SUM(FE52:FE54)</f>
        <v>89.165016442671742</v>
      </c>
      <c r="FF100" s="354">
        <f>SUM(FF52:FF54)</f>
        <v>88.665927168051198</v>
      </c>
      <c r="FG100" s="354">
        <f>SUM(FG52:FG54)</f>
        <v>91.094017442576842</v>
      </c>
      <c r="FH100" s="354">
        <f>SUM(FH52:FH54)</f>
        <v>357.82384773322099</v>
      </c>
      <c r="FI100" s="485"/>
      <c r="FJ100" s="354">
        <f>SUM(FJ52:FJ54)</f>
        <v>89.71701721145142</v>
      </c>
      <c r="FK100" s="354">
        <f>SUM(FK52:FK54)</f>
        <v>95.303540511751166</v>
      </c>
      <c r="FL100" s="354">
        <f>SUM(FL52:FL54)</f>
        <v>99.927019259888155</v>
      </c>
      <c r="FM100" s="354">
        <f>SUM(FM52:FM54)</f>
        <v>102.61062852140094</v>
      </c>
      <c r="FN100" s="354">
        <f>SUM(FN52:FN54)</f>
        <v>387.55820550449164</v>
      </c>
      <c r="FO100" s="485"/>
      <c r="FP100" s="354">
        <f>SUM(FP52:FP54)</f>
        <v>96.818107349183336</v>
      </c>
      <c r="FQ100" s="354">
        <f>SUM(FQ52:FQ54)</f>
        <v>102.87073250317378</v>
      </c>
      <c r="FR100" s="354">
        <f>SUM(FR52:FR54)</f>
        <v>107.86212129707246</v>
      </c>
      <c r="FS100" s="354">
        <f>SUM(FS52:FS54)</f>
        <v>110.76484100384425</v>
      </c>
      <c r="FT100" s="354">
        <f>SUM(FT52:FT54)</f>
        <v>418.31580215327386</v>
      </c>
      <c r="FU100" s="354"/>
      <c r="FV100" s="354">
        <f>SUM(FV52:FV54)</f>
        <v>103.50882757375494</v>
      </c>
      <c r="FW100" s="354">
        <f>SUM(FW52:FW54)</f>
        <v>109.97972594789314</v>
      </c>
      <c r="FX100" s="354">
        <f>SUM(FX52:FX54)</f>
        <v>115.31605007327471</v>
      </c>
      <c r="FY100" s="354">
        <f>SUM(FY52:FY54)</f>
        <v>118.41936537089313</v>
      </c>
      <c r="FZ100" s="354">
        <f>SUM(FZ52:FZ54)</f>
        <v>447.22396896581597</v>
      </c>
      <c r="GA100" s="354"/>
      <c r="GB100" s="354">
        <f>SUM(GB52:GB54)</f>
        <v>110.62982700683568</v>
      </c>
      <c r="GC100" s="354">
        <f>SUM(GC52:GC54)</f>
        <v>117.54589768882298</v>
      </c>
      <c r="GD100" s="354">
        <f>SUM(GD52:GD54)</f>
        <v>123.24933988482999</v>
      </c>
      <c r="GE100" s="354">
        <f>SUM(GE52:GE54)</f>
        <v>126.56615104548739</v>
      </c>
      <c r="GF100" s="354">
        <f>SUM(GF52:GF54)</f>
        <v>477.991215625976</v>
      </c>
      <c r="GG100" s="354"/>
      <c r="GH100" s="354">
        <f>SUM(GH52:GH54)</f>
        <v>117.44218178237506</v>
      </c>
      <c r="GI100" s="354">
        <f>SUM(GI52:GI54)</f>
        <v>124.78412972019039</v>
      </c>
      <c r="GJ100" s="354">
        <f>SUM(GJ52:GJ54)</f>
        <v>130.83877803060795</v>
      </c>
      <c r="GK100" s="354">
        <f>SUM(GK52:GK54)</f>
        <v>134.35983152772377</v>
      </c>
      <c r="GL100" s="354">
        <f>SUM(GL52:GL54)</f>
        <v>507.42492106089713</v>
      </c>
      <c r="GM100" s="354"/>
      <c r="GN100" s="354">
        <f>SUM(GN52:GN54)</f>
        <v>124.05597343409845</v>
      </c>
      <c r="GO100" s="354">
        <f>SUM(GO52:GO54)</f>
        <v>131.81138536961512</v>
      </c>
      <c r="GP100" s="354">
        <f>SUM(GP52:GP54)</f>
        <v>138.20700301355345</v>
      </c>
      <c r="GQ100" s="354">
        <f>SUM(GQ52:GQ54)</f>
        <v>141.92634569323613</v>
      </c>
      <c r="GR100" s="354">
        <f>SUM(GR52:GR54)</f>
        <v>536.00070751050316</v>
      </c>
      <c r="GS100" s="354"/>
      <c r="GT100" s="354">
        <f>SUM(GT52:GT54)</f>
        <v>131.21181007066497</v>
      </c>
      <c r="GU100" s="354">
        <f>SUM(GU52:GU54)</f>
        <v>139.41457217662162</v>
      </c>
      <c r="GV100" s="354">
        <f>SUM(GV52:GV54)</f>
        <v>146.17910389848038</v>
      </c>
      <c r="GW100" s="354">
        <f>SUM(GW52:GW54)</f>
        <v>150.11298690116777</v>
      </c>
      <c r="GX100" s="354">
        <f>SUM(GX52:GX54)</f>
        <v>566.91847304693465</v>
      </c>
      <c r="GY100" s="354"/>
      <c r="GZ100" s="354">
        <f>SUM(GZ52:GZ54)</f>
        <v>137.75951974250157</v>
      </c>
      <c r="HA100" s="354">
        <f>SUM(HA52:HA54)</f>
        <v>146.37161470308479</v>
      </c>
      <c r="HB100" s="354">
        <f>SUM(HB52:HB54)</f>
        <v>153.47370894890241</v>
      </c>
      <c r="HC100" s="354">
        <f>SUM(HC52:HC54)</f>
        <v>157.60389991937637</v>
      </c>
      <c r="HD100" s="354">
        <f>SUM(HD52:HD54)</f>
        <v>595.20874331386517</v>
      </c>
      <c r="HE100" s="354"/>
      <c r="HF100" s="354">
        <f>SUM(HF52:HF54)</f>
        <v>143.92187063997051</v>
      </c>
      <c r="HG100" s="354">
        <f>SUM(HG52:HG54)</f>
        <v>152.91920758752227</v>
      </c>
      <c r="HH100" s="354">
        <f>SUM(HH52:HH54)</f>
        <v>160.33899745924967</v>
      </c>
      <c r="HI100" s="354">
        <f>SUM(HI52:HI54)</f>
        <v>164.65394289229138</v>
      </c>
      <c r="HJ100" s="354">
        <f>SUM(HJ52:HJ54)</f>
        <v>621.83401857903391</v>
      </c>
    </row>
    <row r="101" spans="2:223" s="156" customFormat="1">
      <c r="C101" s="157" t="s">
        <v>38</v>
      </c>
      <c r="BX101" s="158"/>
      <c r="BY101" s="158"/>
      <c r="BZ101" s="158"/>
      <c r="CA101" s="158"/>
      <c r="CB101" s="158"/>
      <c r="CC101" s="158"/>
      <c r="CD101" s="158"/>
      <c r="CE101" s="158"/>
      <c r="CF101" s="158"/>
      <c r="CG101" s="158"/>
      <c r="CH101" s="158"/>
      <c r="CI101" s="158"/>
      <c r="CJ101" s="158"/>
      <c r="CK101" s="158"/>
      <c r="CL101" s="158"/>
      <c r="CM101" s="158"/>
      <c r="CN101" s="158"/>
      <c r="CP101" s="158"/>
      <c r="CQ101" s="158"/>
      <c r="CR101" s="158"/>
      <c r="CS101" s="158"/>
      <c r="CT101" s="158"/>
      <c r="CV101" s="110"/>
      <c r="CW101" s="110"/>
      <c r="CX101" s="110"/>
      <c r="CY101" s="110"/>
      <c r="CZ101" s="110"/>
      <c r="DB101" s="110"/>
      <c r="DC101" s="110"/>
      <c r="DD101" s="110"/>
      <c r="DE101" s="110"/>
      <c r="DF101" s="158"/>
      <c r="DH101" s="113"/>
      <c r="DI101" s="113">
        <f>DI100/DH100-1</f>
        <v>0.11024309544598143</v>
      </c>
      <c r="DJ101" s="113">
        <f>DJ100/DI100-1</f>
        <v>3.9693708609271683E-2</v>
      </c>
      <c r="DK101" s="113">
        <f>DK100/DJ100-1</f>
        <v>0.13400214976710845</v>
      </c>
      <c r="DL101" s="17"/>
      <c r="DM101" s="8"/>
      <c r="DN101" s="113">
        <f>DN100/DK100-1</f>
        <v>0.17458311391960701</v>
      </c>
      <c r="DO101" s="113">
        <f>DO100/DN100-1</f>
        <v>0.13880088469125473</v>
      </c>
      <c r="DP101" s="113">
        <f>DP100/DO100-1</f>
        <v>7.1334838066243078E-2</v>
      </c>
      <c r="DQ101" s="113">
        <f>DQ100/DP100-1</f>
        <v>2.8123468887800041E-2</v>
      </c>
      <c r="DR101" s="17"/>
      <c r="DS101" s="8"/>
      <c r="DT101" s="113">
        <f>DT100/DQ100-1</f>
        <v>9.0306900495615849E-2</v>
      </c>
      <c r="DU101" s="113">
        <f>DU100/DT100-1</f>
        <v>-4.5718781415271748E-2</v>
      </c>
      <c r="DV101" s="113">
        <f>DV100/DU100-1</f>
        <v>4.7176292767829864E-3</v>
      </c>
      <c r="DW101" s="113">
        <f>DW100/DV100-1</f>
        <v>0.15367432530999303</v>
      </c>
      <c r="DX101" s="17"/>
      <c r="DY101" s="8"/>
      <c r="DZ101" s="113">
        <f>DZ100/DW100-1</f>
        <v>-0.12053977160469453</v>
      </c>
      <c r="EA101" s="113">
        <f>EA100/DZ100-1</f>
        <v>0.26455192865005728</v>
      </c>
      <c r="EB101" s="113">
        <f>EB100/EA100-1</f>
        <v>0.12709410364369611</v>
      </c>
      <c r="EC101" s="113">
        <f>EC100/EB100-1</f>
        <v>6.1582838138171336E-2</v>
      </c>
      <c r="ED101" s="17"/>
      <c r="EE101" s="8"/>
      <c r="EF101" s="113">
        <f>EF100/EC100-1</f>
        <v>4.9131403118040096E-2</v>
      </c>
      <c r="EG101" s="113">
        <f>EG100/EF100-1</f>
        <v>3.5876533774890751E-2</v>
      </c>
      <c r="EH101" s="113">
        <f>EH100/EG100-1</f>
        <v>1.5124190507418422E-2</v>
      </c>
      <c r="EI101" s="113">
        <f>EI100/EH100-1</f>
        <v>-2.6621445202621885E-2</v>
      </c>
      <c r="EJ101" s="17"/>
      <c r="EK101" s="8"/>
      <c r="EL101" s="113">
        <f>EL100/EI100-1</f>
        <v>4.7052804778562773E-2</v>
      </c>
      <c r="EM101" s="113">
        <f>EM100/EL100-1</f>
        <v>1.6823812164910468E-2</v>
      </c>
      <c r="EN101" s="113">
        <f>EN100/EM100-1</f>
        <v>-5.049350649350659E-2</v>
      </c>
      <c r="EO101" s="113">
        <f>EO100/EN100-1</f>
        <v>-1.2446657183500243E-3</v>
      </c>
      <c r="EP101" s="158"/>
      <c r="ER101" s="110">
        <f>ER100/EO100-1</f>
        <v>5.345037728872537E-2</v>
      </c>
      <c r="ES101" s="110">
        <f>ES100/ER100-1</f>
        <v>-3.7439550725392179E-3</v>
      </c>
      <c r="ET101" s="110">
        <f>ET100/ES100-1</f>
        <v>1.304869773994799E-4</v>
      </c>
      <c r="EU101" s="110">
        <f>EU100/ET100-1</f>
        <v>4.3498682253477305E-2</v>
      </c>
      <c r="EV101" s="158"/>
      <c r="EX101" s="110">
        <f>EX100/EU100-1</f>
        <v>1.1652913228306971E-2</v>
      </c>
      <c r="EY101" s="110">
        <f>EY100/EX100-1</f>
        <v>6.0151769824006385E-2</v>
      </c>
      <c r="EZ101" s="110">
        <f>EZ100/EY100-1</f>
        <v>-0.12723393837652563</v>
      </c>
      <c r="FA101" s="110">
        <f>FA100/EZ100-1</f>
        <v>0.11532758966139034</v>
      </c>
      <c r="FB101" s="158"/>
      <c r="FD101" s="110">
        <f>FD100/FA100-1</f>
        <v>6.4670076047870673E-2</v>
      </c>
      <c r="FE101" s="110">
        <f>FE100/FD100-1</f>
        <v>2.9936231227369881E-3</v>
      </c>
      <c r="FF101" s="110">
        <f>FF100/FE100-1</f>
        <v>-5.5973664844376492E-3</v>
      </c>
      <c r="FG101" s="110">
        <f>FG100/FF100-1</f>
        <v>2.7384705174555046E-2</v>
      </c>
      <c r="FH101" s="158"/>
      <c r="FI101" s="457"/>
      <c r="FJ101" s="110">
        <f>FJ100/FG100-1</f>
        <v>-1.5116253183074746E-2</v>
      </c>
      <c r="FK101" s="110">
        <f>FK100/FJ100-1</f>
        <v>6.2268268316734598E-2</v>
      </c>
      <c r="FL101" s="110">
        <f>FL100/FK100-1</f>
        <v>4.8513189786132838E-2</v>
      </c>
      <c r="FM101" s="110">
        <f>FM100/FL100-1</f>
        <v>2.6855692097983219E-2</v>
      </c>
      <c r="FN101" s="158"/>
      <c r="FO101" s="457"/>
      <c r="FP101" s="110">
        <f>FP100/FM100-1</f>
        <v>-5.645147345539836E-2</v>
      </c>
      <c r="FQ101" s="110">
        <f>FQ100/FP100-1</f>
        <v>6.2515425261940871E-2</v>
      </c>
      <c r="FR101" s="110">
        <f>FR100/FQ100-1</f>
        <v>4.8520980384237911E-2</v>
      </c>
      <c r="FS101" s="110">
        <f>FS100/FR100-1</f>
        <v>2.6911390874440055E-2</v>
      </c>
      <c r="FT101" s="158"/>
      <c r="FV101" s="110">
        <f>FV100/FS100-1</f>
        <v>-6.5508272880899776E-2</v>
      </c>
      <c r="FW101" s="110">
        <f>FW100/FV100-1</f>
        <v>6.2515425261940871E-2</v>
      </c>
      <c r="FX101" s="110">
        <f>FX100/FW100-1</f>
        <v>4.8520980384237689E-2</v>
      </c>
      <c r="FY101" s="110">
        <f>FY100/FX100-1</f>
        <v>2.6911390874440277E-2</v>
      </c>
      <c r="FZ101" s="158"/>
      <c r="GB101" s="110">
        <f>GB100/FY100-1</f>
        <v>-6.5779261184692017E-2</v>
      </c>
      <c r="GC101" s="110">
        <f>GC100/GB100-1</f>
        <v>6.2515425261940871E-2</v>
      </c>
      <c r="GD101" s="110">
        <f>GD100/GC100-1</f>
        <v>4.8520980384237911E-2</v>
      </c>
      <c r="GE101" s="110">
        <f>GE100/GD100-1</f>
        <v>2.6911390874440277E-2</v>
      </c>
      <c r="GF101" s="158"/>
      <c r="GH101" s="110">
        <f>GH100/GE100-1</f>
        <v>-7.2088541744729229E-2</v>
      </c>
      <c r="GI101" s="110">
        <f>GI100/GH100-1</f>
        <v>6.2515425261940871E-2</v>
      </c>
      <c r="GJ101" s="110">
        <f>GJ100/GI100-1</f>
        <v>4.8520980384237911E-2</v>
      </c>
      <c r="GK101" s="110">
        <f>GK100/GJ100-1</f>
        <v>2.6911390874440277E-2</v>
      </c>
      <c r="GL101" s="158"/>
      <c r="GN101" s="110">
        <f>GN100/GK100-1</f>
        <v>-7.6688530913342379E-2</v>
      </c>
      <c r="GO101" s="110">
        <f>GO100/GN100-1</f>
        <v>6.2515425261940649E-2</v>
      </c>
      <c r="GP101" s="110">
        <f>GP100/GO100-1</f>
        <v>4.8520980384237911E-2</v>
      </c>
      <c r="GQ101" s="110">
        <f>GQ100/GP100-1</f>
        <v>2.6911390874440277E-2</v>
      </c>
      <c r="GR101" s="158"/>
      <c r="GT101" s="110">
        <f>GT100/GQ100-1</f>
        <v>-7.549363418212629E-2</v>
      </c>
      <c r="GU101" s="110">
        <f>GU100/GT100-1</f>
        <v>6.2515425261941093E-2</v>
      </c>
      <c r="GV101" s="110">
        <f>GV100/GU100-1</f>
        <v>4.8520980384237689E-2</v>
      </c>
      <c r="GW101" s="110">
        <f>GW100/GV100-1</f>
        <v>2.6911390874440055E-2</v>
      </c>
      <c r="GX101" s="158"/>
      <c r="GZ101" s="110">
        <f>GZ100/GW100-1</f>
        <v>-8.2294459751171001E-2</v>
      </c>
      <c r="HA101" s="110">
        <f>HA100/GZ100-1</f>
        <v>6.2515425261940871E-2</v>
      </c>
      <c r="HB101" s="110">
        <f>HB100/HA100-1</f>
        <v>4.8520980384238133E-2</v>
      </c>
      <c r="HC101" s="110">
        <f>HC100/HB100-1</f>
        <v>2.6911390874440055E-2</v>
      </c>
      <c r="HD101" s="158"/>
      <c r="HF101" s="110">
        <f>HF100/HC100-1</f>
        <v>-8.6812758354361974E-2</v>
      </c>
      <c r="HG101" s="110">
        <f>HG100/HF100-1</f>
        <v>6.2515425261940649E-2</v>
      </c>
      <c r="HH101" s="110">
        <f>HH100/HG100-1</f>
        <v>4.8520980384238133E-2</v>
      </c>
      <c r="HI101" s="110">
        <f>HI100/HH100-1</f>
        <v>2.6911390874440055E-2</v>
      </c>
      <c r="HJ101" s="158"/>
      <c r="HK101" s="516"/>
      <c r="HL101" s="516"/>
      <c r="HM101" s="516"/>
      <c r="HN101" s="516"/>
      <c r="HO101" s="516"/>
    </row>
    <row r="102" spans="2:223" s="156" customFormat="1">
      <c r="C102" s="157" t="s">
        <v>39</v>
      </c>
      <c r="CP102" s="159"/>
      <c r="CQ102" s="159"/>
      <c r="CR102" s="159"/>
      <c r="CS102" s="159"/>
      <c r="CT102" s="159"/>
      <c r="CV102" s="110"/>
      <c r="CW102" s="110"/>
      <c r="CX102" s="110"/>
      <c r="CY102" s="110"/>
      <c r="CZ102" s="110"/>
      <c r="DB102" s="159"/>
      <c r="DC102" s="159"/>
      <c r="DD102" s="159"/>
      <c r="DE102" s="159"/>
      <c r="DF102" s="159"/>
      <c r="DH102" s="20"/>
      <c r="DI102" s="20"/>
      <c r="DJ102" s="20"/>
      <c r="DK102" s="20"/>
      <c r="DL102" s="20"/>
      <c r="DM102" s="8"/>
      <c r="DN102" s="20">
        <f>DN100/DH100-1</f>
        <v>0.53752125361885983</v>
      </c>
      <c r="DO102" s="20">
        <f>DO100/DI100-1</f>
        <v>0.57706953642384118</v>
      </c>
      <c r="DP102" s="20">
        <f>DP100/DJ100-1</f>
        <v>0.62506469206576676</v>
      </c>
      <c r="DQ102" s="20">
        <f>DQ100/DK100-1</f>
        <v>0.4733368439529575</v>
      </c>
      <c r="DR102" s="20">
        <f>DR100/DL100-1</f>
        <v>0.55084652097462961</v>
      </c>
      <c r="DS102" s="8"/>
      <c r="DT102" s="20">
        <f>DT100/DN100-1</f>
        <v>0.36762508219259948</v>
      </c>
      <c r="DU102" s="20">
        <f>DU100/DO100-1</f>
        <v>0.14602907983832858</v>
      </c>
      <c r="DV102" s="20">
        <f>DV100/DP100-1</f>
        <v>7.4767270945614861E-2</v>
      </c>
      <c r="DW102" s="20">
        <f>DW100/DQ100-1</f>
        <v>0.20601410598551317</v>
      </c>
      <c r="DX102" s="20">
        <f>DX100/DR100-1</f>
        <v>0.19152823489776316</v>
      </c>
      <c r="DY102" s="8"/>
      <c r="DZ102" s="20">
        <f>DZ100/DT100-1</f>
        <v>-2.7208357008610573E-2</v>
      </c>
      <c r="EA102" s="20">
        <f>EA100/DU100-1</f>
        <v>0.28908074932441719</v>
      </c>
      <c r="EB102" s="20">
        <f>EB100/DV100-1</f>
        <v>0.44609318016046684</v>
      </c>
      <c r="EC102" s="20">
        <f>EC100/DW100-1</f>
        <v>0.33065950132374433</v>
      </c>
      <c r="ED102" s="20">
        <f>ED100/DX100-1</f>
        <v>0.25928443260290357</v>
      </c>
      <c r="EE102" s="8"/>
      <c r="EF102" s="20">
        <f>EF100/DZ100-1</f>
        <v>0.58737896794194966</v>
      </c>
      <c r="EG102" s="20">
        <f>EG100/EA100-1</f>
        <v>0.30032510792517231</v>
      </c>
      <c r="EH102" s="20">
        <f>EH100/EB100-1</f>
        <v>0.17114575288053846</v>
      </c>
      <c r="EI102" s="20">
        <f>EI100/EC100-1</f>
        <v>7.3838158871566195E-2</v>
      </c>
      <c r="EJ102" s="20">
        <f>EJ100/ED100-1</f>
        <v>0.25424555797836779</v>
      </c>
      <c r="EK102" s="8"/>
      <c r="EL102" s="20">
        <f t="shared" ref="EL102:ER102" si="106">EL100/EF100-1</f>
        <v>7.1710610113361106E-2</v>
      </c>
      <c r="EM102" s="20">
        <f t="shared" si="106"/>
        <v>5.1998797715659517E-2</v>
      </c>
      <c r="EN102" s="20">
        <f t="shared" si="106"/>
        <v>-1.6002476413507272E-2</v>
      </c>
      <c r="EO102" s="20">
        <f t="shared" si="106"/>
        <v>9.651148320727776E-3</v>
      </c>
      <c r="EP102" s="159">
        <f t="shared" si="106"/>
        <v>2.8855985155451291E-2</v>
      </c>
      <c r="ER102" s="159">
        <f t="shared" si="106"/>
        <v>1.5820193856799891E-2</v>
      </c>
      <c r="ES102" s="150">
        <f>ES100/EM100-1</f>
        <v>-4.7272727272728021E-3</v>
      </c>
      <c r="ET102" s="150">
        <f>ET100/EN100-1</f>
        <v>4.8336798336798159E-2</v>
      </c>
      <c r="EU102" s="159">
        <f>EU100/EO100-1</f>
        <v>9.5301351665959322E-2</v>
      </c>
      <c r="EV102" s="159">
        <f>EV100/EP100-1</f>
        <v>3.7900816103914936E-2</v>
      </c>
      <c r="EX102" s="110">
        <f>EX100/ER100-1</f>
        <v>5.1843377879465358E-2</v>
      </c>
      <c r="EY102" s="110">
        <f>EY100/ES100-1</f>
        <v>0.11930424343650503</v>
      </c>
      <c r="EZ102" s="110">
        <f>EZ100/ET100-1</f>
        <v>-2.3236698588314786E-2</v>
      </c>
      <c r="FA102" s="110">
        <f>FA100/EU100-1</f>
        <v>4.3998499624906096E-2</v>
      </c>
      <c r="FB102" s="110">
        <f>FB100/EV100-1</f>
        <v>4.7935754676226683E-2</v>
      </c>
      <c r="FD102" s="110">
        <f>FD100/EX100-1</f>
        <v>9.8710780600172576E-2</v>
      </c>
      <c r="FE102" s="110">
        <f>FE100/EY100-1</f>
        <v>3.9473722504013153E-2</v>
      </c>
      <c r="FF102" s="110">
        <f>FF100/EZ100-1</f>
        <v>0.1843441817678646</v>
      </c>
      <c r="FG102" s="110">
        <f>FG100/FA100-1</f>
        <v>9.0959382059388139E-2</v>
      </c>
      <c r="FH102" s="110">
        <f>FH100/FB100-1</f>
        <v>0.10081016361299167</v>
      </c>
      <c r="FI102" s="457"/>
      <c r="FJ102" s="159">
        <f>FJ100/FD100-1</f>
        <v>9.2029333784116041E-3</v>
      </c>
      <c r="FK102" s="159">
        <f>FK100/FE100-1</f>
        <v>6.8844534706345994E-2</v>
      </c>
      <c r="FL102" s="159">
        <f>FL100/FF100-1</f>
        <v>0.12700585728375091</v>
      </c>
      <c r="FM102" s="159">
        <f>FM100/FG100-1</f>
        <v>0.12642554804528028</v>
      </c>
      <c r="FN102" s="159">
        <f>FN100/FH100-1</f>
        <v>8.3097753153220211E-2</v>
      </c>
      <c r="FO102" s="457"/>
      <c r="FP102" s="159">
        <f>FP100/FJ100-1</f>
        <v>7.9149868758962016E-2</v>
      </c>
      <c r="FQ102" s="159">
        <f>FQ100/FK100-1</f>
        <v>7.9400953530048168E-2</v>
      </c>
      <c r="FR102" s="159">
        <f>FR100/FL100-1</f>
        <v>7.9408973628512403E-2</v>
      </c>
      <c r="FS102" s="159">
        <f>FS100/FM100-1</f>
        <v>7.946752300364901E-2</v>
      </c>
      <c r="FT102" s="159">
        <f>FT100/FN100-1</f>
        <v>7.9362522098440635E-2</v>
      </c>
      <c r="FV102" s="159">
        <f>FV100/FP100-1</f>
        <v>6.9106083642400895E-2</v>
      </c>
      <c r="FW102" s="159">
        <f>FW100/FQ100-1</f>
        <v>6.9106083642400673E-2</v>
      </c>
      <c r="FX102" s="159">
        <f>FX100/FR100-1</f>
        <v>6.9106083642400673E-2</v>
      </c>
      <c r="FY102" s="159">
        <f>FY100/FS100-1</f>
        <v>6.9106083642400673E-2</v>
      </c>
      <c r="FZ102" s="159">
        <f>FZ100/FT100-1</f>
        <v>6.9106083642400673E-2</v>
      </c>
      <c r="GB102" s="159">
        <f>GB100/FV100-1</f>
        <v>6.8796059234722762E-2</v>
      </c>
      <c r="GC102" s="159">
        <f>GC100/FW100-1</f>
        <v>6.8796059234722762E-2</v>
      </c>
      <c r="GD102" s="159">
        <f>GD100/FX100-1</f>
        <v>6.8796059234722984E-2</v>
      </c>
      <c r="GE102" s="159">
        <f>GE100/FY100-1</f>
        <v>6.8796059234722984E-2</v>
      </c>
      <c r="GF102" s="159">
        <f>GF100/FZ100-1</f>
        <v>6.879605923472254E-2</v>
      </c>
      <c r="GH102" s="159">
        <f>GH100/GB100-1</f>
        <v>6.1577921251910306E-2</v>
      </c>
      <c r="GI102" s="159">
        <f>GI100/GC100-1</f>
        <v>6.1577921251910084E-2</v>
      </c>
      <c r="GJ102" s="159">
        <f>GJ100/GD100-1</f>
        <v>6.1577921251910084E-2</v>
      </c>
      <c r="GK102" s="159">
        <f>GK100/GE100-1</f>
        <v>6.1577921251910084E-2</v>
      </c>
      <c r="GL102" s="159">
        <f>GL100/GF100-1</f>
        <v>6.1577921251910084E-2</v>
      </c>
      <c r="GN102" s="159">
        <f>GN100/GH100-1</f>
        <v>5.6315299591240597E-2</v>
      </c>
      <c r="GO102" s="159">
        <f>GO100/GI100-1</f>
        <v>5.6315299591240375E-2</v>
      </c>
      <c r="GP102" s="159">
        <f>GP100/GJ100-1</f>
        <v>5.6315299591240375E-2</v>
      </c>
      <c r="GQ102" s="159">
        <f>GQ100/GK100-1</f>
        <v>5.6315299591240375E-2</v>
      </c>
      <c r="GR102" s="159">
        <f>GR100/GL100-1</f>
        <v>5.6315299591240597E-2</v>
      </c>
      <c r="GT102" s="159">
        <f>GT100/GN100-1</f>
        <v>5.7682322249221318E-2</v>
      </c>
      <c r="GU102" s="159">
        <f>GU100/GO100-1</f>
        <v>5.7682322249221762E-2</v>
      </c>
      <c r="GV102" s="159">
        <f>GV100/GP100-1</f>
        <v>5.768232224922154E-2</v>
      </c>
      <c r="GW102" s="159">
        <f>GW100/GQ100-1</f>
        <v>5.7682322249221318E-2</v>
      </c>
      <c r="GX102" s="159">
        <f>GX100/GR100-1</f>
        <v>5.7682322249221318E-2</v>
      </c>
      <c r="GZ102" s="159">
        <f>GZ100/GT100-1</f>
        <v>4.9901831765831739E-2</v>
      </c>
      <c r="HA102" s="159">
        <f>HA100/GU100-1</f>
        <v>4.9901831765831739E-2</v>
      </c>
      <c r="HB102" s="159">
        <f>HB100/GV100-1</f>
        <v>4.9901831765831961E-2</v>
      </c>
      <c r="HC102" s="159">
        <f>HC100/GW100-1</f>
        <v>4.9901831765831961E-2</v>
      </c>
      <c r="HD102" s="159">
        <f>HD100/GX100-1</f>
        <v>4.9901831765831961E-2</v>
      </c>
      <c r="HF102" s="159">
        <f>HF100/GZ100-1</f>
        <v>4.4732668268498088E-2</v>
      </c>
      <c r="HG102" s="159">
        <f>HG100/HA100-1</f>
        <v>4.4732668268497866E-2</v>
      </c>
      <c r="HH102" s="159">
        <f>HH100/HB100-1</f>
        <v>4.4732668268497866E-2</v>
      </c>
      <c r="HI102" s="159">
        <f>HI100/HC100-1</f>
        <v>4.4732668268497866E-2</v>
      </c>
      <c r="HJ102" s="159">
        <f>HJ100/HD100-1</f>
        <v>4.4732668268498088E-2</v>
      </c>
      <c r="HK102" s="516"/>
      <c r="HL102" s="516"/>
      <c r="HM102" s="516"/>
      <c r="HN102" s="516"/>
      <c r="HO102" s="516"/>
    </row>
    <row r="103" spans="2:223" s="156" customFormat="1">
      <c r="C103" s="157"/>
      <c r="CP103" s="159"/>
      <c r="CQ103" s="159"/>
      <c r="CR103" s="159"/>
      <c r="CS103" s="159"/>
      <c r="CT103" s="159"/>
      <c r="CV103" s="110"/>
      <c r="CW103" s="110"/>
      <c r="CX103" s="110"/>
      <c r="CY103" s="110"/>
      <c r="CZ103" s="110"/>
      <c r="DB103" s="159"/>
      <c r="DC103" s="159"/>
      <c r="DD103" s="159"/>
      <c r="DE103" s="159"/>
      <c r="DF103" s="159"/>
      <c r="DH103" s="20"/>
      <c r="DI103" s="20"/>
      <c r="DJ103" s="20"/>
      <c r="DK103" s="20"/>
      <c r="DL103" s="20"/>
      <c r="DM103" s="8"/>
      <c r="DN103" s="20"/>
      <c r="DO103" s="20"/>
      <c r="DP103" s="20"/>
      <c r="DQ103" s="20"/>
      <c r="DR103" s="20"/>
      <c r="DS103" s="8"/>
      <c r="DT103" s="20"/>
      <c r="DU103" s="20"/>
      <c r="DV103" s="20"/>
      <c r="DW103" s="20"/>
      <c r="DX103" s="20"/>
      <c r="DY103" s="8"/>
      <c r="DZ103" s="20"/>
      <c r="EA103" s="20"/>
      <c r="EB103" s="20"/>
      <c r="EC103" s="20"/>
      <c r="ED103" s="20"/>
      <c r="EE103" s="8"/>
      <c r="EF103" s="20"/>
      <c r="EG103" s="20"/>
      <c r="EH103" s="20"/>
      <c r="EI103" s="20"/>
      <c r="EJ103" s="20"/>
      <c r="EK103" s="8"/>
      <c r="EL103" s="20"/>
      <c r="EM103" s="20"/>
      <c r="EN103" s="20"/>
      <c r="EO103" s="20"/>
      <c r="EP103" s="159"/>
      <c r="ER103" s="159"/>
      <c r="ES103" s="150"/>
      <c r="ET103" s="150"/>
      <c r="EU103" s="159"/>
      <c r="EV103" s="159"/>
      <c r="EX103" s="150"/>
      <c r="EY103" s="159"/>
      <c r="EZ103" s="150"/>
      <c r="FA103" s="150"/>
      <c r="FB103" s="159"/>
      <c r="FD103" s="159"/>
      <c r="FE103" s="159"/>
      <c r="FF103" s="159"/>
      <c r="FG103" s="159"/>
      <c r="FH103" s="159"/>
      <c r="FI103" s="457"/>
      <c r="FJ103" s="159"/>
      <c r="FK103" s="159"/>
      <c r="FL103" s="159"/>
      <c r="FM103" s="159"/>
      <c r="FN103" s="159"/>
      <c r="FO103" s="457"/>
      <c r="FP103" s="159"/>
      <c r="FQ103" s="159"/>
      <c r="FR103" s="159"/>
      <c r="FS103" s="159"/>
      <c r="FT103" s="159"/>
      <c r="FV103" s="159"/>
      <c r="FW103" s="159"/>
      <c r="FX103" s="159"/>
      <c r="FY103" s="159"/>
      <c r="FZ103" s="159"/>
      <c r="GB103" s="159"/>
      <c r="GC103" s="159"/>
      <c r="GD103" s="159"/>
      <c r="GE103" s="159"/>
      <c r="GF103" s="159"/>
      <c r="GH103" s="159"/>
      <c r="GI103" s="159"/>
      <c r="GJ103" s="159"/>
      <c r="GK103" s="159"/>
      <c r="GL103" s="159"/>
      <c r="GN103" s="159"/>
      <c r="GO103" s="159"/>
      <c r="GP103" s="159"/>
      <c r="GQ103" s="159"/>
      <c r="GR103" s="159"/>
      <c r="GT103" s="159"/>
      <c r="GU103" s="159"/>
      <c r="GV103" s="159"/>
      <c r="GW103" s="159"/>
      <c r="GX103" s="159"/>
      <c r="GZ103" s="159"/>
      <c r="HA103" s="159"/>
      <c r="HB103" s="159"/>
      <c r="HC103" s="159"/>
      <c r="HD103" s="159"/>
      <c r="HH103" s="516"/>
      <c r="HI103" s="516"/>
      <c r="HJ103" s="516"/>
      <c r="HK103" s="516"/>
      <c r="HL103" s="516"/>
      <c r="HM103" s="516"/>
      <c r="HN103" s="516"/>
      <c r="HO103" s="516"/>
    </row>
    <row r="104" spans="2:223" s="156" customFormat="1">
      <c r="B104" s="8" t="s">
        <v>689</v>
      </c>
      <c r="C104" s="157"/>
      <c r="CP104" s="159"/>
      <c r="CQ104" s="159"/>
      <c r="CR104" s="159"/>
      <c r="CS104" s="159"/>
      <c r="CT104" s="159"/>
      <c r="CV104" s="110"/>
      <c r="CW104" s="110"/>
      <c r="CX104" s="110"/>
      <c r="CY104" s="110"/>
      <c r="CZ104" s="110"/>
      <c r="DB104" s="159"/>
      <c r="DC104" s="159"/>
      <c r="DD104" s="159"/>
      <c r="DE104" s="159"/>
      <c r="DF104" s="159"/>
      <c r="DH104" s="20"/>
      <c r="DI104" s="20"/>
      <c r="DJ104" s="20"/>
      <c r="DK104" s="20"/>
      <c r="DL104" s="20"/>
      <c r="DM104" s="8"/>
      <c r="DN104" s="20"/>
      <c r="DO104" s="20"/>
      <c r="DP104" s="20"/>
      <c r="DQ104" s="20"/>
      <c r="DR104" s="20"/>
      <c r="DS104" s="8"/>
      <c r="DT104" s="20"/>
      <c r="DU104" s="20"/>
      <c r="DV104" s="20"/>
      <c r="DW104" s="20"/>
      <c r="DX104" s="20"/>
      <c r="DY104" s="8"/>
      <c r="DZ104" s="20"/>
      <c r="EA104" s="20"/>
      <c r="EB104" s="20"/>
      <c r="EC104" s="20"/>
      <c r="ED104" s="20"/>
      <c r="EE104" s="8"/>
      <c r="EF104" s="20"/>
      <c r="EG104" s="20"/>
      <c r="EH104" s="20"/>
      <c r="EI104" s="20"/>
      <c r="EJ104" s="20"/>
      <c r="EK104" s="8"/>
      <c r="EL104" s="20"/>
      <c r="EM104" s="20"/>
      <c r="EN104" s="20"/>
      <c r="EO104" s="20"/>
      <c r="EP104" s="159"/>
      <c r="ER104" s="159">
        <f>ER70/EV70</f>
        <v>8.8164007271258407E-2</v>
      </c>
      <c r="ES104" s="150">
        <f>ES70/EV70</f>
        <v>0.27441425974550593</v>
      </c>
      <c r="ET104" s="150">
        <f>ET70/EV70</f>
        <v>0.33765905877600505</v>
      </c>
      <c r="EU104" s="159">
        <f>EU70/EV70</f>
        <v>0.29976267420723057</v>
      </c>
      <c r="EV104" s="159"/>
      <c r="EX104" s="150">
        <f>EX70/FB70</f>
        <v>0.16306478769287558</v>
      </c>
      <c r="EY104" s="150">
        <f>EY70/FB70</f>
        <v>0.24621168438775792</v>
      </c>
      <c r="EZ104" s="150">
        <f>EZ70/FB70</f>
        <v>0.28212284060243997</v>
      </c>
      <c r="FA104" s="150">
        <f>FA70/FB70</f>
        <v>0.30860068731692647</v>
      </c>
      <c r="FB104" s="159"/>
      <c r="FD104" s="159"/>
      <c r="FE104" s="159"/>
      <c r="FF104" s="159"/>
      <c r="FG104" s="159"/>
      <c r="FH104" s="159"/>
      <c r="FI104" s="457"/>
      <c r="FJ104" s="159"/>
      <c r="FK104" s="159"/>
      <c r="FL104" s="159"/>
      <c r="FM104" s="159"/>
      <c r="FN104" s="159"/>
      <c r="FO104" s="457"/>
      <c r="FP104" s="159"/>
      <c r="FQ104" s="159"/>
      <c r="FR104" s="159"/>
      <c r="FS104" s="159"/>
      <c r="FT104" s="159"/>
      <c r="FV104" s="159"/>
      <c r="FW104" s="159"/>
      <c r="FX104" s="159"/>
      <c r="FY104" s="159"/>
      <c r="FZ104" s="159"/>
      <c r="GB104" s="159"/>
      <c r="GC104" s="159"/>
      <c r="GD104" s="159"/>
      <c r="GE104" s="159"/>
      <c r="GF104" s="159"/>
      <c r="GH104" s="159"/>
      <c r="GI104" s="159"/>
      <c r="GJ104" s="159"/>
      <c r="GK104" s="159"/>
      <c r="GL104" s="159"/>
      <c r="GN104" s="159"/>
      <c r="GO104" s="159"/>
      <c r="GP104" s="159"/>
      <c r="GQ104" s="159"/>
      <c r="GR104" s="159"/>
      <c r="GT104" s="159"/>
      <c r="GU104" s="159"/>
      <c r="GV104" s="159"/>
      <c r="GW104" s="159"/>
      <c r="GX104" s="159"/>
      <c r="GZ104" s="159"/>
      <c r="HA104" s="159"/>
      <c r="HB104" s="159"/>
      <c r="HC104" s="159"/>
      <c r="HD104" s="159"/>
      <c r="HH104" s="516"/>
      <c r="HI104" s="516"/>
      <c r="HJ104" s="516"/>
      <c r="HK104" s="516"/>
      <c r="HL104" s="516"/>
      <c r="HM104" s="516"/>
      <c r="HN104" s="516"/>
      <c r="HO104" s="516"/>
    </row>
    <row r="105" spans="2:223" s="156" customFormat="1">
      <c r="C105" s="157"/>
      <c r="CP105" s="159"/>
      <c r="CQ105" s="159"/>
      <c r="CR105" s="159"/>
      <c r="CS105" s="159"/>
      <c r="CT105" s="159"/>
      <c r="CV105" s="110"/>
      <c r="CW105" s="110"/>
      <c r="CX105" s="110"/>
      <c r="CY105" s="110"/>
      <c r="CZ105" s="110"/>
      <c r="DB105" s="159"/>
      <c r="DC105" s="159"/>
      <c r="DD105" s="159"/>
      <c r="DE105" s="159"/>
      <c r="DF105" s="159"/>
      <c r="DH105" s="20"/>
      <c r="DI105" s="20"/>
      <c r="DJ105" s="20"/>
      <c r="DK105" s="20"/>
      <c r="DL105" s="20"/>
      <c r="DM105" s="8"/>
      <c r="DN105" s="20"/>
      <c r="DO105" s="20"/>
      <c r="DP105" s="20"/>
      <c r="DQ105" s="20"/>
      <c r="DR105" s="20"/>
      <c r="DS105" s="8"/>
      <c r="DT105" s="20"/>
      <c r="DU105" s="20"/>
      <c r="DV105" s="20"/>
      <c r="DW105" s="20"/>
      <c r="DX105" s="20"/>
      <c r="DY105" s="8"/>
      <c r="DZ105" s="20"/>
      <c r="EA105" s="20"/>
      <c r="EB105" s="20"/>
      <c r="EC105" s="20"/>
      <c r="ED105" s="20"/>
      <c r="EE105" s="8"/>
      <c r="EF105" s="20"/>
      <c r="EG105" s="20"/>
      <c r="EH105" s="20"/>
      <c r="EI105" s="20"/>
      <c r="EJ105" s="20"/>
      <c r="EK105" s="8"/>
      <c r="EL105" s="20"/>
      <c r="EM105" s="20"/>
      <c r="EN105" s="20"/>
      <c r="EO105" s="20"/>
      <c r="EP105" s="159"/>
      <c r="ER105" s="159"/>
      <c r="ES105" s="150"/>
      <c r="ET105" s="150"/>
      <c r="EU105" s="159"/>
      <c r="EV105" s="159"/>
      <c r="EX105" s="150"/>
      <c r="EY105" s="159"/>
      <c r="EZ105" s="150"/>
      <c r="FA105" s="150"/>
      <c r="FB105" s="159"/>
      <c r="FD105" s="159"/>
      <c r="FE105" s="159"/>
      <c r="FF105" s="159"/>
      <c r="FG105" s="159"/>
      <c r="FH105" s="159"/>
      <c r="FI105" s="457"/>
      <c r="FJ105" s="159"/>
      <c r="FK105" s="159"/>
      <c r="FL105" s="159"/>
      <c r="FM105" s="159"/>
      <c r="FN105" s="159"/>
      <c r="FO105" s="457"/>
      <c r="FP105" s="159"/>
      <c r="FQ105" s="159"/>
      <c r="FR105" s="159"/>
      <c r="FS105" s="159"/>
      <c r="FT105" s="159"/>
      <c r="FV105" s="159"/>
      <c r="FW105" s="159"/>
      <c r="FX105" s="159"/>
      <c r="FY105" s="159"/>
      <c r="FZ105" s="159"/>
      <c r="GB105" s="159"/>
      <c r="GC105" s="159"/>
      <c r="GD105" s="159"/>
      <c r="GE105" s="159"/>
      <c r="GF105" s="159"/>
      <c r="GH105" s="159"/>
      <c r="GI105" s="159"/>
      <c r="GJ105" s="159"/>
      <c r="GK105" s="159"/>
      <c r="GL105" s="159"/>
      <c r="GN105" s="159"/>
      <c r="GO105" s="159"/>
      <c r="GP105" s="159"/>
      <c r="GQ105" s="159"/>
      <c r="GR105" s="159"/>
      <c r="GT105" s="159"/>
      <c r="GU105" s="159"/>
      <c r="GV105" s="159"/>
      <c r="GW105" s="159"/>
      <c r="GX105" s="159"/>
      <c r="GZ105" s="159"/>
      <c r="HA105" s="159"/>
      <c r="HB105" s="159"/>
      <c r="HC105" s="159"/>
      <c r="HD105" s="159"/>
      <c r="HH105" s="516"/>
      <c r="HI105" s="516"/>
      <c r="HJ105" s="516"/>
      <c r="HK105" s="516"/>
      <c r="HL105" s="516"/>
      <c r="HM105" s="516"/>
      <c r="HN105" s="516"/>
      <c r="HO105" s="516"/>
    </row>
    <row r="106" spans="2:223" s="23" customFormat="1">
      <c r="FI106" s="414"/>
      <c r="FO106" s="414"/>
      <c r="HH106" s="515"/>
      <c r="HI106" s="515"/>
      <c r="HJ106" s="515"/>
      <c r="HK106" s="515"/>
      <c r="HL106" s="515"/>
      <c r="HM106" s="515"/>
      <c r="HN106" s="515"/>
      <c r="HO106" s="515"/>
    </row>
    <row r="107" spans="2:223">
      <c r="DG107" s="413"/>
      <c r="DL107" s="68"/>
      <c r="DQ107" s="68"/>
      <c r="DR107" s="28"/>
      <c r="DW107" s="28"/>
      <c r="EB107" s="68"/>
      <c r="ET107" s="8"/>
      <c r="FI107" s="413"/>
      <c r="FO107" s="413"/>
    </row>
    <row r="108" spans="2:223">
      <c r="ET108" s="8"/>
    </row>
    <row r="109" spans="2:223">
      <c r="ET109" s="8"/>
    </row>
    <row r="110" spans="2:223">
      <c r="ET110" s="8"/>
    </row>
    <row r="111" spans="2:223">
      <c r="ET111" s="8"/>
    </row>
    <row r="112" spans="2:223">
      <c r="ET112" s="8"/>
    </row>
    <row r="113" spans="112:223">
      <c r="ET113" s="8"/>
    </row>
    <row r="114" spans="112:223">
      <c r="ET114" s="8"/>
    </row>
    <row r="115" spans="112:223">
      <c r="ET115" s="8"/>
    </row>
    <row r="116" spans="112:223">
      <c r="ET116" s="8"/>
    </row>
    <row r="117" spans="112:223">
      <c r="ET117" s="8"/>
    </row>
    <row r="118" spans="112:223">
      <c r="ET118" s="8"/>
    </row>
    <row r="119" spans="112:223">
      <c r="ET119" s="8"/>
    </row>
    <row r="120" spans="112:223">
      <c r="DH120" s="354"/>
      <c r="DI120" s="354"/>
      <c r="DJ120" s="354"/>
      <c r="DK120" s="354"/>
      <c r="DL120" s="354"/>
      <c r="DM120" s="354"/>
      <c r="DN120" s="354"/>
      <c r="DO120" s="354"/>
      <c r="DP120" s="354"/>
      <c r="DQ120" s="354"/>
      <c r="DR120" s="354"/>
      <c r="DS120" s="354"/>
      <c r="DT120" s="354"/>
      <c r="DU120" s="354"/>
      <c r="DV120" s="354"/>
      <c r="DW120" s="354"/>
      <c r="DX120" s="354"/>
      <c r="DY120" s="354"/>
      <c r="DZ120" s="354"/>
      <c r="EA120" s="354"/>
      <c r="EB120" s="354"/>
      <c r="EC120" s="354"/>
      <c r="ED120" s="354"/>
      <c r="EE120" s="354"/>
      <c r="EF120" s="354"/>
      <c r="EG120" s="354"/>
      <c r="EH120" s="354"/>
      <c r="EI120" s="354"/>
      <c r="EJ120" s="354"/>
      <c r="EK120" s="354"/>
      <c r="EL120" s="354"/>
      <c r="EM120" s="354"/>
      <c r="EN120" s="354"/>
      <c r="EO120" s="354"/>
      <c r="EP120" s="485"/>
      <c r="EQ120" s="485"/>
      <c r="ER120" s="485"/>
      <c r="ES120" s="485"/>
      <c r="ET120" s="485"/>
      <c r="EU120" s="485"/>
      <c r="EV120" s="485"/>
      <c r="EW120" s="485"/>
      <c r="EX120" s="485"/>
      <c r="EY120" s="485"/>
      <c r="EZ120" s="485"/>
      <c r="FA120" s="485"/>
      <c r="FB120" s="485"/>
      <c r="FC120" s="485"/>
      <c r="FD120" s="485"/>
      <c r="FE120" s="485"/>
      <c r="FF120" s="485"/>
      <c r="FG120" s="485"/>
      <c r="FH120" s="485"/>
      <c r="FI120" s="485"/>
      <c r="FJ120" s="485"/>
      <c r="FK120" s="485"/>
      <c r="FL120" s="485"/>
      <c r="FM120" s="485"/>
      <c r="FN120" s="485"/>
      <c r="FO120" s="485"/>
      <c r="FP120" s="485"/>
      <c r="FQ120" s="485"/>
      <c r="FR120" s="485"/>
      <c r="FS120" s="485"/>
      <c r="FT120" s="485"/>
      <c r="FU120" s="485"/>
      <c r="FV120" s="485"/>
      <c r="FW120" s="485"/>
      <c r="FX120" s="485"/>
      <c r="FY120" s="485"/>
      <c r="FZ120" s="485"/>
      <c r="GA120" s="485"/>
      <c r="GB120" s="485"/>
      <c r="GC120" s="485"/>
      <c r="GD120" s="485"/>
      <c r="GE120" s="485"/>
      <c r="GF120" s="485"/>
      <c r="GG120" s="485"/>
      <c r="GH120" s="485"/>
      <c r="GI120" s="485"/>
      <c r="GJ120" s="485"/>
      <c r="GK120" s="485"/>
      <c r="GL120" s="485"/>
      <c r="GM120" s="485"/>
      <c r="GN120" s="485"/>
      <c r="GO120" s="485"/>
      <c r="GP120" s="485"/>
      <c r="GQ120" s="485"/>
      <c r="GR120" s="485"/>
      <c r="GS120" s="490"/>
      <c r="GT120" s="485"/>
      <c r="GU120" s="485"/>
      <c r="GV120" s="485"/>
      <c r="GW120" s="485"/>
      <c r="GX120" s="485"/>
      <c r="GY120" s="490"/>
      <c r="GZ120" s="485"/>
      <c r="HA120" s="485"/>
      <c r="HB120" s="485"/>
      <c r="HC120" s="485"/>
      <c r="HD120" s="485"/>
      <c r="HE120" s="490"/>
      <c r="HH120" s="513"/>
      <c r="HI120" s="513"/>
      <c r="HJ120" s="513"/>
      <c r="HK120" s="513"/>
      <c r="HL120" s="513"/>
      <c r="HM120" s="513"/>
      <c r="HN120" s="513"/>
      <c r="HO120" s="513"/>
    </row>
    <row r="121" spans="112:223">
      <c r="ET121" s="8"/>
    </row>
    <row r="122" spans="112:223">
      <c r="ET122" s="8"/>
    </row>
    <row r="123" spans="112:223">
      <c r="ET123" s="8"/>
    </row>
    <row r="124" spans="112:223">
      <c r="ET124" s="8"/>
    </row>
    <row r="125" spans="112:223">
      <c r="ET125" s="8"/>
    </row>
    <row r="126" spans="112:223">
      <c r="ET126" s="8"/>
    </row>
    <row r="127" spans="112:223">
      <c r="ET127" s="8"/>
    </row>
    <row r="128" spans="112:223">
      <c r="ET128" s="8"/>
    </row>
    <row r="129" spans="2:227">
      <c r="ET129" s="8"/>
    </row>
    <row r="130" spans="2:227">
      <c r="ET130" s="8"/>
    </row>
    <row r="131" spans="2:227">
      <c r="ET131" s="8"/>
    </row>
    <row r="132" spans="2:227">
      <c r="ET132" s="8"/>
    </row>
    <row r="133" spans="2:227">
      <c r="ET133" s="8"/>
    </row>
    <row r="134" spans="2:227">
      <c r="ET134" s="8"/>
    </row>
    <row r="135" spans="2:227">
      <c r="ET135" s="8"/>
    </row>
    <row r="136" spans="2:227">
      <c r="ET136" s="8"/>
    </row>
    <row r="137" spans="2:227" ht="9" customHeight="1">
      <c r="BY137" s="130"/>
      <c r="CY137" s="109"/>
      <c r="CZ137" s="109"/>
      <c r="DA137" s="109"/>
      <c r="DB137" s="109"/>
      <c r="DC137" s="109"/>
      <c r="DD137" s="109"/>
      <c r="DE137" s="109"/>
      <c r="DF137" s="109"/>
      <c r="DH137" s="106"/>
      <c r="DI137" s="106"/>
      <c r="DJ137" s="106"/>
      <c r="DK137" s="106"/>
      <c r="DL137" s="106"/>
      <c r="DM137" s="106"/>
      <c r="DN137" s="106"/>
      <c r="DO137" s="106"/>
      <c r="DP137" s="106"/>
      <c r="DQ137" s="106"/>
      <c r="DR137" s="106"/>
      <c r="DS137" s="106"/>
      <c r="DT137" s="106"/>
      <c r="DU137" s="106"/>
      <c r="DV137" s="106"/>
      <c r="DW137" s="106"/>
      <c r="DX137" s="106"/>
      <c r="DY137" s="106"/>
      <c r="DZ137" s="106"/>
      <c r="EA137" s="106"/>
      <c r="EB137" s="106"/>
      <c r="EC137" s="106"/>
      <c r="ED137" s="106"/>
      <c r="EE137" s="106"/>
      <c r="EF137" s="106"/>
      <c r="EG137" s="106"/>
      <c r="EH137" s="106"/>
      <c r="EI137" s="106"/>
      <c r="EJ137" s="106"/>
      <c r="EK137" s="106"/>
      <c r="EL137" s="106"/>
      <c r="EM137" s="106"/>
      <c r="EN137" s="106"/>
      <c r="EO137" s="106"/>
      <c r="EP137" s="106"/>
      <c r="EQ137" s="106"/>
      <c r="ER137" s="106"/>
      <c r="ET137" s="8"/>
      <c r="EX137" s="413"/>
      <c r="FD137" s="413"/>
      <c r="FI137" s="413"/>
      <c r="FJ137" s="413"/>
      <c r="FO137" s="413"/>
      <c r="FP137" s="413"/>
      <c r="FV137" s="413"/>
      <c r="GB137" s="413"/>
      <c r="GH137" s="413"/>
      <c r="GN137" s="413"/>
      <c r="GT137" s="413"/>
      <c r="GZ137" s="413"/>
    </row>
    <row r="138" spans="2:227">
      <c r="DH138" s="106"/>
      <c r="DI138" s="106"/>
      <c r="DJ138" s="106"/>
      <c r="DK138" s="106"/>
      <c r="DL138" s="106"/>
      <c r="DM138" s="106"/>
      <c r="DN138" s="106"/>
      <c r="DO138" s="106"/>
      <c r="DP138" s="106"/>
      <c r="DQ138" s="106"/>
      <c r="DR138" s="106"/>
      <c r="DS138" s="106"/>
      <c r="DT138" s="106"/>
      <c r="DU138" s="106"/>
      <c r="DV138" s="106"/>
      <c r="DW138" s="106"/>
      <c r="DX138" s="106"/>
      <c r="DY138" s="354"/>
      <c r="DZ138" s="106"/>
      <c r="EA138" s="106"/>
      <c r="EB138" s="106"/>
      <c r="EC138" s="106"/>
      <c r="ED138" s="106"/>
      <c r="EE138" s="354"/>
      <c r="EF138" s="106"/>
      <c r="EG138" s="106"/>
      <c r="EH138" s="106"/>
      <c r="EI138" s="106"/>
      <c r="EJ138" s="106"/>
      <c r="EK138" s="354"/>
      <c r="EL138" s="106"/>
      <c r="EM138" s="106"/>
      <c r="EN138" s="106"/>
      <c r="EO138" s="106"/>
      <c r="EP138" s="534"/>
      <c r="EQ138" s="485"/>
      <c r="ER138" s="534"/>
      <c r="ES138" s="490"/>
      <c r="ET138" s="490"/>
      <c r="EU138" s="490"/>
      <c r="EV138" s="490"/>
      <c r="EW138" s="490"/>
      <c r="EX138" s="490"/>
      <c r="EY138" s="490"/>
      <c r="EZ138" s="490"/>
      <c r="FA138" s="490"/>
      <c r="FB138" s="490"/>
      <c r="FC138" s="490"/>
      <c r="FD138" s="490"/>
      <c r="FE138" s="490"/>
      <c r="FF138" s="490"/>
      <c r="FG138" s="490"/>
      <c r="FH138" s="490"/>
      <c r="FI138" s="490"/>
      <c r="FJ138" s="490"/>
      <c r="FK138" s="490"/>
      <c r="FL138" s="490"/>
      <c r="FM138" s="490"/>
      <c r="FN138" s="490"/>
      <c r="FO138" s="490"/>
      <c r="FP138" s="490"/>
      <c r="FQ138" s="490"/>
      <c r="FR138" s="490"/>
      <c r="FS138" s="490"/>
      <c r="FT138" s="490"/>
      <c r="FU138" s="490"/>
      <c r="FV138" s="490"/>
      <c r="FW138" s="490"/>
      <c r="FX138" s="490"/>
      <c r="FY138" s="490"/>
      <c r="FZ138" s="490"/>
      <c r="GA138" s="490"/>
      <c r="GB138" s="490"/>
      <c r="GC138" s="490"/>
      <c r="GD138" s="490"/>
      <c r="GE138" s="490"/>
      <c r="GF138" s="490"/>
      <c r="GG138" s="490"/>
      <c r="GH138" s="490"/>
      <c r="GI138" s="490"/>
      <c r="GJ138" s="490"/>
      <c r="GK138" s="490"/>
      <c r="GL138" s="490"/>
      <c r="GM138" s="490"/>
      <c r="GN138" s="490"/>
      <c r="GO138" s="490"/>
      <c r="GP138" s="490"/>
      <c r="GQ138" s="490"/>
      <c r="GR138" s="490"/>
      <c r="GS138" s="490"/>
      <c r="GT138" s="490"/>
      <c r="GU138" s="490"/>
      <c r="GV138" s="490"/>
      <c r="GW138" s="490"/>
      <c r="GX138" s="490"/>
      <c r="GY138" s="490"/>
      <c r="GZ138" s="490"/>
      <c r="HA138" s="490"/>
      <c r="HB138" s="490"/>
      <c r="HC138" s="490"/>
      <c r="HD138" s="490"/>
      <c r="HE138" s="490"/>
      <c r="HH138" s="513"/>
      <c r="HI138" s="513"/>
      <c r="HJ138" s="513"/>
      <c r="HK138" s="513"/>
      <c r="HL138" s="513"/>
      <c r="HM138" s="513"/>
      <c r="HN138" s="513"/>
      <c r="HO138" s="513"/>
    </row>
    <row r="139" spans="2:227" s="22" customFormat="1" ht="12.95" customHeight="1">
      <c r="BY139" s="132"/>
      <c r="CY139" s="109"/>
      <c r="CZ139" s="109"/>
      <c r="DA139" s="109"/>
      <c r="DB139" s="109"/>
      <c r="DC139" s="109"/>
      <c r="DD139" s="109"/>
      <c r="DE139" s="109"/>
      <c r="DF139" s="109"/>
      <c r="ES139" s="354"/>
      <c r="ET139" s="354"/>
      <c r="EU139" s="354"/>
      <c r="EV139" s="354"/>
      <c r="EW139" s="354"/>
      <c r="EX139" s="354"/>
      <c r="EY139" s="354"/>
      <c r="EZ139" s="354"/>
      <c r="FA139" s="354"/>
      <c r="FB139" s="354"/>
      <c r="FC139" s="354"/>
      <c r="FD139" s="354"/>
      <c r="FE139" s="354"/>
      <c r="FF139" s="354"/>
      <c r="FG139" s="354"/>
      <c r="FH139" s="354"/>
      <c r="FI139" s="485"/>
      <c r="FJ139" s="354"/>
      <c r="FK139" s="354"/>
      <c r="FL139" s="354"/>
      <c r="FM139" s="354"/>
      <c r="FN139" s="354"/>
      <c r="FO139" s="485"/>
      <c r="FP139" s="354"/>
      <c r="FQ139" s="354"/>
      <c r="FR139" s="354"/>
      <c r="FS139" s="354"/>
      <c r="FT139" s="354"/>
      <c r="FU139" s="354"/>
      <c r="FV139" s="354"/>
      <c r="FW139" s="354"/>
      <c r="FX139" s="354"/>
      <c r="FY139" s="354"/>
      <c r="FZ139" s="354"/>
      <c r="GA139" s="354"/>
      <c r="GB139" s="354"/>
      <c r="GC139" s="354"/>
      <c r="GD139" s="354"/>
      <c r="GE139" s="354"/>
      <c r="GF139" s="354"/>
      <c r="GG139" s="354"/>
      <c r="GH139" s="354"/>
      <c r="GI139" s="354"/>
      <c r="GJ139" s="354"/>
      <c r="GK139" s="354"/>
      <c r="GL139" s="354"/>
      <c r="GM139" s="354"/>
      <c r="GN139" s="354"/>
      <c r="GO139" s="354"/>
      <c r="GP139" s="354"/>
      <c r="GQ139" s="354"/>
      <c r="GR139" s="354"/>
      <c r="GS139" s="354"/>
      <c r="GT139" s="354"/>
      <c r="GU139" s="354"/>
      <c r="GV139" s="354"/>
      <c r="GW139" s="354"/>
      <c r="GX139" s="354"/>
      <c r="GY139" s="354"/>
      <c r="GZ139" s="354"/>
      <c r="HA139" s="354"/>
      <c r="HB139" s="354"/>
      <c r="HC139" s="354"/>
      <c r="HD139" s="354"/>
      <c r="HE139" s="354"/>
      <c r="HH139" s="491"/>
      <c r="HI139" s="491"/>
      <c r="HJ139" s="491"/>
      <c r="HK139" s="491"/>
      <c r="HL139" s="491"/>
      <c r="HM139" s="491"/>
      <c r="HN139" s="491"/>
      <c r="HO139" s="491"/>
    </row>
    <row r="140" spans="2:227">
      <c r="B140" s="24" t="s">
        <v>481</v>
      </c>
      <c r="EA140" s="480"/>
      <c r="EB140" s="480"/>
      <c r="EC140" s="480"/>
      <c r="ET140" s="8"/>
      <c r="FI140" s="413"/>
      <c r="FO140" s="413"/>
      <c r="HH140" s="513"/>
      <c r="HI140" s="513"/>
      <c r="HJ140" s="513"/>
      <c r="HK140" s="513"/>
      <c r="HL140" s="513"/>
      <c r="HM140" s="513"/>
      <c r="HN140" s="513"/>
      <c r="HO140" s="513"/>
    </row>
    <row r="141" spans="2:227">
      <c r="C141" s="8" t="s">
        <v>535</v>
      </c>
      <c r="DH141" s="480"/>
      <c r="DI141" s="480"/>
      <c r="DJ141" s="480"/>
      <c r="DK141" s="480"/>
      <c r="DL141" s="480">
        <f>SUM(DH141:DK141)</f>
        <v>0</v>
      </c>
      <c r="DM141" s="480"/>
      <c r="DN141" s="480"/>
      <c r="DO141" s="480"/>
      <c r="DP141" s="480"/>
      <c r="DQ141" s="480"/>
      <c r="DR141" s="480">
        <f>SUM(DN141:DQ141)</f>
        <v>0</v>
      </c>
      <c r="DS141" s="480"/>
      <c r="DT141" s="480"/>
      <c r="DU141" s="480"/>
      <c r="DV141" s="480"/>
      <c r="DW141" s="480"/>
      <c r="DX141" s="480">
        <f>SUM(DT141:DW141)</f>
        <v>0</v>
      </c>
      <c r="DY141" s="480"/>
      <c r="DZ141" s="480"/>
      <c r="EA141" s="480"/>
      <c r="EB141" s="480"/>
      <c r="EC141" s="480"/>
      <c r="ED141" s="480">
        <f>SUM(DZ141:EC141)</f>
        <v>0</v>
      </c>
      <c r="EE141" s="480"/>
      <c r="EF141" s="480"/>
      <c r="EG141" s="480"/>
      <c r="EH141" s="480"/>
      <c r="EI141" s="480"/>
      <c r="EJ141" s="480">
        <f>SUM(EF141:EI141)</f>
        <v>0</v>
      </c>
      <c r="EK141" s="480"/>
      <c r="EL141" s="480"/>
      <c r="EM141" s="480"/>
      <c r="EN141" s="480"/>
      <c r="EO141" s="480"/>
      <c r="EP141" s="480">
        <f>SUM(EL141:EO141)</f>
        <v>0</v>
      </c>
      <c r="EQ141" s="480"/>
      <c r="ER141" s="480">
        <v>0.39500000000000002</v>
      </c>
      <c r="ES141" s="480"/>
      <c r="ET141" s="480"/>
      <c r="EU141" s="480"/>
      <c r="EV141" s="480"/>
      <c r="EW141" s="480"/>
      <c r="EX141" s="480"/>
      <c r="EY141" s="480"/>
      <c r="EZ141" s="480"/>
      <c r="FA141" s="480"/>
      <c r="FB141" s="480"/>
      <c r="FC141" s="480"/>
      <c r="FD141" s="480"/>
      <c r="FE141" s="480"/>
      <c r="FF141" s="480"/>
      <c r="FG141" s="480"/>
      <c r="FH141" s="480"/>
      <c r="FI141" s="455"/>
      <c r="FJ141" s="480"/>
      <c r="FK141" s="480"/>
      <c r="FL141" s="480"/>
      <c r="FM141" s="480"/>
      <c r="FN141" s="480"/>
      <c r="FO141" s="455"/>
      <c r="FP141" s="480"/>
      <c r="FQ141" s="480"/>
      <c r="FR141" s="480"/>
      <c r="FS141" s="480"/>
      <c r="FT141" s="480"/>
      <c r="FU141" s="480"/>
      <c r="FV141" s="480"/>
      <c r="FW141" s="480"/>
      <c r="FX141" s="480"/>
      <c r="FY141" s="480"/>
      <c r="FZ141" s="480"/>
      <c r="GA141" s="480"/>
      <c r="GB141" s="480"/>
      <c r="GC141" s="480"/>
      <c r="GD141" s="480"/>
      <c r="GE141" s="480"/>
      <c r="GF141" s="480"/>
      <c r="GG141" s="480"/>
      <c r="GH141" s="480"/>
      <c r="GI141" s="480"/>
      <c r="GJ141" s="480"/>
      <c r="GK141" s="480"/>
      <c r="GL141" s="480"/>
      <c r="GM141" s="480"/>
      <c r="GN141" s="480"/>
      <c r="GO141" s="480"/>
      <c r="GP141" s="480"/>
      <c r="GQ141" s="480"/>
      <c r="GR141" s="480"/>
      <c r="GS141" s="480"/>
      <c r="GT141" s="480"/>
      <c r="GU141" s="480"/>
      <c r="GV141" s="480"/>
      <c r="GW141" s="480"/>
      <c r="GX141" s="480"/>
      <c r="GY141" s="480"/>
      <c r="GZ141" s="480"/>
      <c r="HA141" s="480"/>
      <c r="HB141" s="480"/>
      <c r="HC141" s="480"/>
      <c r="HD141" s="480"/>
      <c r="HE141" s="480"/>
      <c r="HF141" s="480"/>
      <c r="HG141" s="480"/>
      <c r="HH141" s="517"/>
      <c r="HI141" s="517"/>
      <c r="HJ141" s="517"/>
      <c r="HK141" s="517"/>
      <c r="HL141" s="517"/>
      <c r="HM141" s="517"/>
      <c r="HN141" s="517"/>
      <c r="HO141" s="517"/>
      <c r="HP141" s="480"/>
      <c r="HQ141" s="480"/>
      <c r="HR141" s="480"/>
      <c r="HS141" s="480"/>
    </row>
    <row r="142" spans="2:227">
      <c r="C142" s="8" t="s">
        <v>527</v>
      </c>
      <c r="DH142" s="480">
        <f>CF!DH13</f>
        <v>1.6240000000000001</v>
      </c>
      <c r="DI142" s="480">
        <f>CF!DI13</f>
        <v>2.3329999999999997</v>
      </c>
      <c r="DJ142" s="480">
        <f>CF!DJ13</f>
        <v>1.1909999999999998</v>
      </c>
      <c r="DK142" s="480">
        <f>CF!DK13</f>
        <v>1.8070000000000004</v>
      </c>
      <c r="DL142" s="480">
        <f>SUM(DH142:DK142)</f>
        <v>6.9550000000000001</v>
      </c>
      <c r="DM142" s="480"/>
      <c r="DN142" s="480">
        <f>CF!DN13</f>
        <v>2.1389999999999998</v>
      </c>
      <c r="DO142" s="480">
        <f>CF!DO13</f>
        <v>2.3130000000000002</v>
      </c>
      <c r="DP142" s="480">
        <f>CF!DP13</f>
        <v>3.2750000000000004</v>
      </c>
      <c r="DQ142" s="480">
        <f>CF!DQ13</f>
        <v>2.2729999999999997</v>
      </c>
      <c r="DR142" s="480">
        <f>SUM(DN142:DQ142)</f>
        <v>10</v>
      </c>
      <c r="DS142" s="480"/>
      <c r="DT142" s="480">
        <f>CF!DT13</f>
        <v>2.1859999999999999</v>
      </c>
      <c r="DU142" s="480">
        <f>CF!DU13</f>
        <v>2.6349999999999998</v>
      </c>
      <c r="DV142" s="480">
        <f>CF!DV13</f>
        <v>2.7149999999999999</v>
      </c>
      <c r="DW142" s="480">
        <f>CF!DW13</f>
        <v>2.6760000000000002</v>
      </c>
      <c r="DX142" s="480">
        <f>SUM(DT142:DW142)</f>
        <v>10.212</v>
      </c>
      <c r="DY142" s="480"/>
      <c r="DZ142" s="480">
        <f>CF!DZ13</f>
        <v>2.653</v>
      </c>
      <c r="EA142" s="480">
        <f>CF!EA13</f>
        <v>4.5060000000000002</v>
      </c>
      <c r="EB142" s="480">
        <f>CF!EB13</f>
        <v>5.237000000000001</v>
      </c>
      <c r="EC142" s="480">
        <f>CF!EC13</f>
        <v>10.061999999999998</v>
      </c>
      <c r="ED142" s="480">
        <f>SUM(DZ142:EC142)</f>
        <v>22.457999999999998</v>
      </c>
      <c r="EE142" s="480"/>
      <c r="EF142" s="480">
        <f>CF!EF13</f>
        <v>12.103</v>
      </c>
      <c r="EG142" s="480">
        <f>CF!EG13</f>
        <v>3.6259999999999994</v>
      </c>
      <c r="EH142" s="480">
        <f>CF!EH13</f>
        <v>4.2800000000000011</v>
      </c>
      <c r="EI142" s="480">
        <f>CF!EI13</f>
        <v>4.6630000000000003</v>
      </c>
      <c r="EJ142" s="480">
        <f>SUM(EF142:EI142)</f>
        <v>24.672000000000001</v>
      </c>
      <c r="EK142" s="480"/>
      <c r="EL142" s="480">
        <f>CF!EL13</f>
        <v>4.758</v>
      </c>
      <c r="EM142" s="480">
        <f>CF!EM13</f>
        <v>5.7049999999999992</v>
      </c>
      <c r="EN142" s="480">
        <f>CF!EN13</f>
        <v>7.1800000000000015</v>
      </c>
      <c r="EO142" s="480">
        <f>CF!EO13</f>
        <v>6.9899999999999984</v>
      </c>
      <c r="EP142" s="480">
        <f>SUM(EL142:EO142)</f>
        <v>24.632999999999999</v>
      </c>
      <c r="EQ142" s="480"/>
      <c r="ER142" s="480">
        <v>6.6630000000000003</v>
      </c>
      <c r="ES142" s="480"/>
      <c r="ET142" s="480"/>
      <c r="EU142" s="480"/>
      <c r="EV142" s="480"/>
      <c r="EW142" s="480"/>
      <c r="EX142" s="480"/>
      <c r="EY142" s="480"/>
      <c r="EZ142" s="480"/>
      <c r="FA142" s="480"/>
      <c r="FB142" s="480"/>
      <c r="FC142" s="480"/>
      <c r="FD142" s="480"/>
      <c r="FE142" s="480"/>
      <c r="FF142" s="480"/>
      <c r="FG142" s="480"/>
      <c r="FH142" s="480"/>
      <c r="FI142" s="455"/>
      <c r="FJ142" s="480"/>
      <c r="FK142" s="480"/>
      <c r="FL142" s="480"/>
      <c r="FM142" s="480"/>
      <c r="FN142" s="480"/>
      <c r="FO142" s="455"/>
      <c r="FP142" s="480"/>
      <c r="FQ142" s="480"/>
      <c r="FR142" s="480"/>
      <c r="FS142" s="480"/>
      <c r="FT142" s="480"/>
      <c r="FU142" s="480"/>
      <c r="FV142" s="480"/>
      <c r="FW142" s="480"/>
      <c r="FX142" s="480"/>
      <c r="FY142" s="480"/>
      <c r="FZ142" s="480"/>
      <c r="GA142" s="480"/>
      <c r="GB142" s="480"/>
      <c r="GC142" s="480"/>
      <c r="GD142" s="480"/>
      <c r="GE142" s="480"/>
      <c r="GF142" s="480"/>
      <c r="GG142" s="480"/>
      <c r="GH142" s="480"/>
      <c r="GI142" s="480"/>
      <c r="GJ142" s="480"/>
      <c r="GK142" s="480"/>
      <c r="GL142" s="480"/>
      <c r="GM142" s="480"/>
      <c r="GN142" s="480"/>
      <c r="GO142" s="480"/>
      <c r="GP142" s="480"/>
      <c r="GQ142" s="480"/>
      <c r="GR142" s="480"/>
      <c r="GS142" s="480"/>
      <c r="GT142" s="480"/>
      <c r="GU142" s="480"/>
      <c r="GV142" s="480"/>
      <c r="GW142" s="480"/>
      <c r="GX142" s="480"/>
      <c r="GY142" s="480"/>
      <c r="GZ142" s="480"/>
      <c r="HA142" s="480"/>
      <c r="HB142" s="480"/>
      <c r="HC142" s="480"/>
      <c r="HD142" s="480"/>
      <c r="HE142" s="480"/>
      <c r="HF142" s="480"/>
      <c r="HG142" s="480"/>
      <c r="HH142" s="517"/>
      <c r="HI142" s="517"/>
      <c r="HJ142" s="517"/>
      <c r="HK142" s="517"/>
      <c r="HL142" s="517"/>
      <c r="HM142" s="517"/>
      <c r="HN142" s="517"/>
      <c r="HO142" s="517"/>
      <c r="HP142" s="480"/>
      <c r="HQ142" s="480"/>
      <c r="HR142" s="480"/>
      <c r="HS142" s="480"/>
    </row>
    <row r="143" spans="2:227">
      <c r="C143" s="8" t="s">
        <v>40</v>
      </c>
      <c r="DH143" s="480"/>
      <c r="DI143" s="480"/>
      <c r="DJ143" s="480"/>
      <c r="DK143" s="480"/>
      <c r="DL143" s="480">
        <f>SUM(DH143:DK143)</f>
        <v>0</v>
      </c>
      <c r="DM143" s="480"/>
      <c r="DN143" s="480"/>
      <c r="DO143" s="480"/>
      <c r="DP143" s="480"/>
      <c r="DQ143" s="480"/>
      <c r="DR143" s="480">
        <f>SUM(DN143:DQ143)</f>
        <v>0</v>
      </c>
      <c r="DS143" s="480"/>
      <c r="DT143" s="480"/>
      <c r="DU143" s="480"/>
      <c r="DV143" s="480"/>
      <c r="DW143" s="480"/>
      <c r="DX143" s="480">
        <f>SUM(DT143:DW143)</f>
        <v>0</v>
      </c>
      <c r="DY143" s="480"/>
      <c r="DZ143" s="480"/>
      <c r="EA143" s="480"/>
      <c r="EB143" s="480"/>
      <c r="EC143" s="480"/>
      <c r="ED143" s="480">
        <f>SUM(DZ143:EC143)</f>
        <v>0</v>
      </c>
      <c r="EE143" s="480"/>
      <c r="EF143" s="480"/>
      <c r="EG143" s="480"/>
      <c r="EH143" s="480"/>
      <c r="EI143" s="480"/>
      <c r="EJ143" s="480">
        <f>SUM(EF143:EI143)</f>
        <v>0</v>
      </c>
      <c r="EK143" s="480"/>
      <c r="EL143" s="480"/>
      <c r="EM143" s="480"/>
      <c r="EN143" s="480"/>
      <c r="EO143" s="480"/>
      <c r="EP143" s="480">
        <f>SUM(EL143:EO143)</f>
        <v>0</v>
      </c>
      <c r="EQ143" s="480"/>
      <c r="ER143" s="480">
        <v>0.17100000000000001</v>
      </c>
      <c r="ES143" s="480"/>
      <c r="ET143" s="480"/>
      <c r="EU143" s="480"/>
      <c r="EV143" s="480"/>
      <c r="EW143" s="480"/>
      <c r="EX143" s="480"/>
      <c r="EY143" s="480"/>
      <c r="EZ143" s="480"/>
      <c r="FA143" s="480"/>
      <c r="FB143" s="480"/>
      <c r="FC143" s="480"/>
      <c r="FD143" s="480"/>
      <c r="FE143" s="480"/>
      <c r="FF143" s="480"/>
      <c r="FG143" s="480"/>
      <c r="FH143" s="480"/>
      <c r="FI143" s="455"/>
      <c r="FJ143" s="480"/>
      <c r="FK143" s="480"/>
      <c r="FL143" s="480"/>
      <c r="FM143" s="480"/>
      <c r="FN143" s="480"/>
      <c r="FO143" s="455"/>
      <c r="FP143" s="480"/>
      <c r="FQ143" s="480"/>
      <c r="FR143" s="480"/>
      <c r="FS143" s="480"/>
      <c r="FT143" s="480"/>
      <c r="FU143" s="480"/>
      <c r="FV143" s="480"/>
      <c r="FW143" s="480"/>
      <c r="FX143" s="480"/>
      <c r="FY143" s="480"/>
      <c r="FZ143" s="480"/>
      <c r="GA143" s="480"/>
      <c r="GB143" s="480"/>
      <c r="GC143" s="480"/>
      <c r="GD143" s="480"/>
      <c r="GE143" s="480"/>
      <c r="GF143" s="480"/>
      <c r="GG143" s="480"/>
      <c r="GH143" s="480"/>
      <c r="GI143" s="480"/>
      <c r="GJ143" s="480"/>
      <c r="GK143" s="480"/>
      <c r="GL143" s="480"/>
      <c r="GM143" s="480"/>
      <c r="GN143" s="480"/>
      <c r="GO143" s="480"/>
      <c r="GP143" s="480"/>
      <c r="GQ143" s="480"/>
      <c r="GR143" s="480"/>
      <c r="GS143" s="480"/>
      <c r="GT143" s="480"/>
      <c r="GU143" s="480"/>
      <c r="GV143" s="480"/>
      <c r="GW143" s="480"/>
      <c r="GX143" s="480"/>
      <c r="GY143" s="480"/>
      <c r="GZ143" s="480"/>
      <c r="HA143" s="480"/>
      <c r="HB143" s="480"/>
      <c r="HC143" s="480"/>
      <c r="HD143" s="480"/>
      <c r="HE143" s="480"/>
      <c r="HF143" s="480"/>
      <c r="HG143" s="480"/>
      <c r="HH143" s="517"/>
      <c r="HI143" s="517"/>
      <c r="HJ143" s="517"/>
      <c r="HK143" s="517"/>
      <c r="HL143" s="517"/>
      <c r="HM143" s="517"/>
      <c r="HN143" s="517"/>
      <c r="HO143" s="517"/>
      <c r="HP143" s="480"/>
      <c r="HQ143" s="480"/>
      <c r="HR143" s="480"/>
      <c r="HS143" s="480"/>
    </row>
    <row r="144" spans="2:227">
      <c r="C144" s="8" t="s">
        <v>524</v>
      </c>
      <c r="DH144" s="480"/>
      <c r="DI144" s="480"/>
      <c r="DJ144" s="480"/>
      <c r="DK144" s="480"/>
      <c r="DL144" s="480">
        <f>SUM(DH144:DK144)</f>
        <v>0</v>
      </c>
      <c r="DM144" s="480"/>
      <c r="DN144" s="480"/>
      <c r="DO144" s="480"/>
      <c r="DP144" s="480"/>
      <c r="DQ144" s="480"/>
      <c r="DR144" s="480">
        <f>SUM(DN144:DQ144)</f>
        <v>0</v>
      </c>
      <c r="DS144" s="480"/>
      <c r="DT144" s="480"/>
      <c r="DU144" s="480"/>
      <c r="DV144" s="480"/>
      <c r="DW144" s="480"/>
      <c r="DX144" s="480">
        <f>SUM(DT144:DW144)</f>
        <v>0</v>
      </c>
      <c r="DY144" s="480"/>
      <c r="DZ144" s="480"/>
      <c r="EA144" s="480"/>
      <c r="EB144" s="480"/>
      <c r="EC144" s="480"/>
      <c r="ED144" s="480">
        <f>SUM(DZ144:EC144)</f>
        <v>0</v>
      </c>
      <c r="EE144" s="480"/>
      <c r="EF144" s="480"/>
      <c r="EG144" s="480"/>
      <c r="EH144" s="480"/>
      <c r="EI144" s="480"/>
      <c r="EJ144" s="480">
        <f>SUM(EF144:EI144)</f>
        <v>0</v>
      </c>
      <c r="EK144" s="480"/>
      <c r="EL144" s="480"/>
      <c r="EM144" s="480"/>
      <c r="EN144" s="480"/>
      <c r="EO144" s="480"/>
      <c r="EP144" s="480">
        <f>SUM(EL144:EO144)</f>
        <v>0</v>
      </c>
      <c r="EQ144" s="480"/>
      <c r="ER144" s="480">
        <v>0.54500000000000004</v>
      </c>
      <c r="ES144" s="480"/>
      <c r="ET144" s="480"/>
      <c r="EU144" s="480"/>
      <c r="EV144" s="480"/>
      <c r="EW144" s="480"/>
      <c r="EX144" s="480"/>
      <c r="EY144" s="480"/>
      <c r="EZ144" s="480"/>
      <c r="FA144" s="480"/>
      <c r="FB144" s="480"/>
      <c r="FC144" s="480"/>
      <c r="FD144" s="480"/>
      <c r="FE144" s="480"/>
      <c r="FF144" s="480"/>
      <c r="FG144" s="480"/>
      <c r="FH144" s="480"/>
      <c r="FI144" s="455"/>
      <c r="FJ144" s="480"/>
      <c r="FK144" s="480"/>
      <c r="FL144" s="480"/>
      <c r="FM144" s="480"/>
      <c r="FN144" s="480"/>
      <c r="FO144" s="455"/>
      <c r="FP144" s="480"/>
      <c r="FQ144" s="480"/>
      <c r="FR144" s="480"/>
      <c r="FS144" s="480"/>
      <c r="FT144" s="480"/>
      <c r="FU144" s="480"/>
      <c r="FV144" s="480"/>
      <c r="FW144" s="480"/>
      <c r="FX144" s="480"/>
      <c r="FY144" s="480"/>
      <c r="FZ144" s="480"/>
      <c r="GA144" s="480"/>
      <c r="GB144" s="480"/>
      <c r="GC144" s="480"/>
      <c r="GD144" s="480"/>
      <c r="GE144" s="480"/>
      <c r="GF144" s="480"/>
      <c r="GG144" s="480"/>
      <c r="GH144" s="480"/>
      <c r="GI144" s="480"/>
      <c r="GJ144" s="480"/>
      <c r="GK144" s="480"/>
      <c r="GL144" s="480"/>
      <c r="GM144" s="480"/>
      <c r="GN144" s="480"/>
      <c r="GO144" s="480"/>
      <c r="GP144" s="480"/>
      <c r="GQ144" s="480"/>
      <c r="GR144" s="480"/>
      <c r="GS144" s="480"/>
      <c r="GT144" s="480"/>
      <c r="GU144" s="480"/>
      <c r="GV144" s="480"/>
      <c r="GW144" s="480"/>
      <c r="GX144" s="480"/>
      <c r="GY144" s="480"/>
      <c r="GZ144" s="480"/>
      <c r="HA144" s="480"/>
      <c r="HB144" s="480"/>
      <c r="HC144" s="480"/>
      <c r="HD144" s="480"/>
      <c r="HE144" s="480"/>
      <c r="HF144" s="480"/>
      <c r="HG144" s="480"/>
      <c r="HH144" s="517"/>
      <c r="HI144" s="517"/>
      <c r="HJ144" s="517"/>
      <c r="HK144" s="517"/>
      <c r="HL144" s="517"/>
      <c r="HM144" s="517"/>
      <c r="HN144" s="517"/>
      <c r="HO144" s="517"/>
      <c r="HP144" s="480"/>
      <c r="HQ144" s="480"/>
      <c r="HR144" s="480"/>
      <c r="HS144" s="480"/>
    </row>
    <row r="145" spans="1:227" s="24" customFormat="1">
      <c r="C145" s="417" t="s">
        <v>41</v>
      </c>
      <c r="DH145" s="481">
        <f>SUM(DH141:DH144)</f>
        <v>1.6240000000000001</v>
      </c>
      <c r="DI145" s="481">
        <f>SUM(DI141:DI144)</f>
        <v>2.3329999999999997</v>
      </c>
      <c r="DJ145" s="481">
        <f>SUM(DJ141:DJ144)</f>
        <v>1.1909999999999998</v>
      </c>
      <c r="DK145" s="481">
        <f>SUM(DK141:DK144)</f>
        <v>1.8070000000000004</v>
      </c>
      <c r="DL145" s="481">
        <f>SUM(DL141:DL144)</f>
        <v>6.9550000000000001</v>
      </c>
      <c r="DM145" s="481"/>
      <c r="DN145" s="481">
        <f>SUM(DN141:DN144)</f>
        <v>2.1389999999999998</v>
      </c>
      <c r="DO145" s="481">
        <f>SUM(DO141:DO144)</f>
        <v>2.3130000000000002</v>
      </c>
      <c r="DP145" s="481">
        <f>SUM(DP141:DP144)</f>
        <v>3.2750000000000004</v>
      </c>
      <c r="DQ145" s="481">
        <f>SUM(DQ141:DQ144)</f>
        <v>2.2729999999999997</v>
      </c>
      <c r="DR145" s="481">
        <f>SUM(DR141:DR144)</f>
        <v>10</v>
      </c>
      <c r="DS145" s="481"/>
      <c r="DT145" s="481">
        <f>SUM(DT141:DT144)</f>
        <v>2.1859999999999999</v>
      </c>
      <c r="DU145" s="481">
        <f>SUM(DU141:DU144)</f>
        <v>2.6349999999999998</v>
      </c>
      <c r="DV145" s="481">
        <f>SUM(DV141:DV144)</f>
        <v>2.7149999999999999</v>
      </c>
      <c r="DW145" s="481">
        <f>SUM(DW141:DW144)</f>
        <v>2.6760000000000002</v>
      </c>
      <c r="DX145" s="481">
        <f>SUM(DX141:DX144)</f>
        <v>10.212</v>
      </c>
      <c r="DY145" s="481"/>
      <c r="DZ145" s="481">
        <f>SUM(DZ141:DZ144)</f>
        <v>2.653</v>
      </c>
      <c r="EA145" s="481">
        <f>SUM(EA141:EA144)</f>
        <v>4.5060000000000002</v>
      </c>
      <c r="EB145" s="481">
        <f>SUM(EB141:EB144)</f>
        <v>5.237000000000001</v>
      </c>
      <c r="EC145" s="481">
        <f>SUM(EC141:EC144)</f>
        <v>10.061999999999998</v>
      </c>
      <c r="ED145" s="481">
        <f>SUM(ED141:ED144)</f>
        <v>22.457999999999998</v>
      </c>
      <c r="EE145" s="481"/>
      <c r="EF145" s="481">
        <f>SUM(EF141:EF144)</f>
        <v>12.103</v>
      </c>
      <c r="EG145" s="481">
        <f>SUM(EG141:EG144)</f>
        <v>3.6259999999999994</v>
      </c>
      <c r="EH145" s="481">
        <f>SUM(EH141:EH144)</f>
        <v>4.2800000000000011</v>
      </c>
      <c r="EI145" s="481">
        <f>SUM(EI141:EI144)</f>
        <v>4.6630000000000003</v>
      </c>
      <c r="EJ145" s="481">
        <f>SUM(EJ141:EJ144)</f>
        <v>24.672000000000001</v>
      </c>
      <c r="EK145" s="481"/>
      <c r="EL145" s="481">
        <f>SUM(EL141:EL144)</f>
        <v>4.758</v>
      </c>
      <c r="EM145" s="481">
        <f>SUM(EM141:EM144)</f>
        <v>5.7049999999999992</v>
      </c>
      <c r="EN145" s="481">
        <f>SUM(EN141:EN144)</f>
        <v>7.1800000000000015</v>
      </c>
      <c r="EO145" s="481">
        <f>SUM(EO141:EO144)</f>
        <v>6.9899999999999984</v>
      </c>
      <c r="EP145" s="481">
        <f>SUM(EP141:EP144)</f>
        <v>24.632999999999999</v>
      </c>
      <c r="EQ145" s="481"/>
      <c r="ER145" s="481">
        <f>SUM(ER141:ER144)</f>
        <v>7.774</v>
      </c>
      <c r="ES145" s="481">
        <f>ES147*ES49</f>
        <v>6.8490251148074091</v>
      </c>
      <c r="ET145" s="481">
        <f>ET147*ET49</f>
        <v>6.9873362686620144</v>
      </c>
      <c r="EU145" s="481">
        <f>EU147*EU49</f>
        <v>7.1612036312438407</v>
      </c>
      <c r="EV145" s="481">
        <f>SUM(ER145:EU145)</f>
        <v>28.771565014713264</v>
      </c>
      <c r="EW145" s="481"/>
      <c r="EX145" s="481">
        <f>EX147*EX49</f>
        <v>6.9961212335817367</v>
      </c>
      <c r="EY145" s="481">
        <f>EY147*EY49</f>
        <v>7.5496572933339872</v>
      </c>
      <c r="EZ145" s="481">
        <f>EZ147*EZ49</f>
        <v>7.818910222887788</v>
      </c>
      <c r="FA145" s="481">
        <f>FA147*FA49</f>
        <v>7.9177098520560527</v>
      </c>
      <c r="FB145" s="481">
        <f>SUM(EX145:FA145)</f>
        <v>30.282398601859565</v>
      </c>
      <c r="FC145" s="481"/>
      <c r="FD145" s="481">
        <f>FD147*FD49</f>
        <v>7.6867138217220328</v>
      </c>
      <c r="FE145" s="481">
        <f>FE147*FE49</f>
        <v>8.1633743285110292</v>
      </c>
      <c r="FF145" s="481">
        <f>FF147*FF49</f>
        <v>8.5593393631006567</v>
      </c>
      <c r="FG145" s="481">
        <f>FG147*FG49</f>
        <v>8.7887095950398173</v>
      </c>
      <c r="FH145" s="481">
        <f>SUM(FD145:FG145)</f>
        <v>33.198137108373537</v>
      </c>
      <c r="FI145" s="482"/>
      <c r="FJ145" s="481">
        <f>FJ147*FJ49</f>
        <v>8.436552883830327</v>
      </c>
      <c r="FK145" s="481">
        <f>FK147*FK49</f>
        <v>8.9618824224689941</v>
      </c>
      <c r="FL145" s="481">
        <f>FL147*FL49</f>
        <v>9.3966519252712413</v>
      </c>
      <c r="FM145" s="481">
        <f>FM147*FM49</f>
        <v>9.6490055161282449</v>
      </c>
      <c r="FN145" s="481">
        <f>SUM(FJ145:FM145)</f>
        <v>36.444092747698804</v>
      </c>
      <c r="FO145" s="482"/>
      <c r="FP145" s="481">
        <f>FP147*FP49</f>
        <v>9.2611823174577932</v>
      </c>
      <c r="FQ145" s="481">
        <f>FQ147*FQ49</f>
        <v>9.8401490684620345</v>
      </c>
      <c r="FR145" s="481">
        <f>FR147*FR49</f>
        <v>10.317602748390858</v>
      </c>
      <c r="FS145" s="481">
        <f>FS147*FS49</f>
        <v>10.595263788840002</v>
      </c>
      <c r="FT145" s="481">
        <f>SUM(FP145:FS145)</f>
        <v>40.014197923150689</v>
      </c>
      <c r="FU145" s="481"/>
      <c r="FV145" s="481">
        <f>FV147*FV49</f>
        <v>10.122112460592904</v>
      </c>
      <c r="FW145" s="481">
        <f>FW147*FW49</f>
        <v>10.754900625616061</v>
      </c>
      <c r="FX145" s="481">
        <f>FX147*FX49</f>
        <v>11.276738947906006</v>
      </c>
      <c r="FY145" s="481">
        <f>FY147*FY49</f>
        <v>11.580211677522128</v>
      </c>
      <c r="FZ145" s="481">
        <f>SUM(FV145:FY145)</f>
        <v>43.733963711637102</v>
      </c>
      <c r="GA145" s="481"/>
      <c r="GB145" s="481">
        <f>GB147*GB49</f>
        <v>11.012465096163803</v>
      </c>
      <c r="GC145" s="481">
        <f>GC147*GC49</f>
        <v>11.700914034832763</v>
      </c>
      <c r="GD145" s="481">
        <f>GD147*GD49</f>
        <v>12.268653855194538</v>
      </c>
      <c r="GE145" s="481">
        <f>GE147*GE49</f>
        <v>12.598820394594885</v>
      </c>
      <c r="GF145" s="481">
        <f>SUM(GB145:GE145)</f>
        <v>47.580853380785982</v>
      </c>
      <c r="GG145" s="481"/>
      <c r="GH145" s="481">
        <f>GH147*GH49</f>
        <v>11.904046916306044</v>
      </c>
      <c r="GI145" s="481">
        <f>GI147*GI49</f>
        <v>12.648233471617012</v>
      </c>
      <c r="GJ145" s="481">
        <f>GJ147*GJ49</f>
        <v>13.261938159788601</v>
      </c>
      <c r="GK145" s="481">
        <f>GK147*GK49</f>
        <v>13.618835361359327</v>
      </c>
      <c r="GL145" s="481">
        <f>SUM(GH145:GK145)</f>
        <v>51.433053909070978</v>
      </c>
      <c r="GM145" s="481"/>
      <c r="GN145" s="481">
        <f>GN147*GN49</f>
        <v>12.808291989856658</v>
      </c>
      <c r="GO145" s="481">
        <f>GO147*GO49</f>
        <v>13.609007810481657</v>
      </c>
      <c r="GP145" s="481">
        <f>GP147*GP49</f>
        <v>14.269330211502977</v>
      </c>
      <c r="GQ145" s="481">
        <f>GQ147*GQ49</f>
        <v>14.653337734341193</v>
      </c>
      <c r="GR145" s="481">
        <f>SUM(GN145:GQ145)</f>
        <v>55.339967746182481</v>
      </c>
      <c r="GS145" s="481"/>
      <c r="GT145" s="481">
        <f>GT147*GT49</f>
        <v>13.717183097617689</v>
      </c>
      <c r="GU145" s="481">
        <f>GU147*GU49</f>
        <v>14.574718632361165</v>
      </c>
      <c r="GV145" s="481">
        <f>GV147*GV49</f>
        <v>15.281898269227748</v>
      </c>
      <c r="GW145" s="481">
        <f>GW147*GW49</f>
        <v>15.693155406854366</v>
      </c>
      <c r="GX145" s="481">
        <f>SUM(GT145:GW145)</f>
        <v>59.266955406060966</v>
      </c>
      <c r="GY145" s="481"/>
      <c r="GZ145" s="481">
        <f>GZ147*GZ49</f>
        <v>14.621984246605331</v>
      </c>
      <c r="HA145" s="481">
        <f>HA147*HA49</f>
        <v>15.536083809955263</v>
      </c>
      <c r="HB145" s="481">
        <f>HB147*HB49</f>
        <v>16.28990982774598</v>
      </c>
      <c r="HC145" s="481">
        <f>HC147*HC49</f>
        <v>16.728293958429834</v>
      </c>
      <c r="HD145" s="481">
        <f>SUM(GZ145:HC145)</f>
        <v>63.176271842736412</v>
      </c>
      <c r="HE145" s="481"/>
      <c r="HF145" s="481"/>
      <c r="HG145" s="481"/>
      <c r="HH145" s="517"/>
      <c r="HI145" s="517"/>
      <c r="HJ145" s="517"/>
      <c r="HK145" s="517"/>
      <c r="HL145" s="517"/>
      <c r="HM145" s="517"/>
      <c r="HN145" s="517"/>
      <c r="HO145" s="517"/>
      <c r="HP145" s="481"/>
      <c r="HQ145" s="481"/>
      <c r="HR145" s="481"/>
      <c r="HS145" s="481"/>
    </row>
    <row r="146" spans="1:227" s="24" customFormat="1">
      <c r="C146" s="418"/>
      <c r="DH146" s="481"/>
      <c r="DI146" s="481"/>
      <c r="DJ146" s="481"/>
      <c r="DK146" s="481"/>
      <c r="DL146" s="481"/>
      <c r="DM146" s="481"/>
      <c r="DN146" s="481"/>
      <c r="DO146" s="481"/>
      <c r="DP146" s="481"/>
      <c r="DQ146" s="481"/>
      <c r="DR146" s="481"/>
      <c r="DS146" s="481"/>
      <c r="DT146" s="481"/>
      <c r="DU146" s="481"/>
      <c r="DV146" s="481"/>
      <c r="DW146" s="481"/>
      <c r="DX146" s="481"/>
      <c r="DY146" s="481"/>
      <c r="DZ146" s="481"/>
      <c r="EA146" s="481"/>
      <c r="EB146" s="481"/>
      <c r="EC146" s="481"/>
      <c r="ED146" s="481"/>
      <c r="EE146" s="481"/>
      <c r="EF146" s="481"/>
      <c r="EG146" s="481"/>
      <c r="EH146" s="481"/>
      <c r="EI146" s="481"/>
      <c r="EJ146" s="481"/>
      <c r="EK146" s="481"/>
      <c r="EL146" s="481"/>
      <c r="EM146" s="481"/>
      <c r="EN146" s="481"/>
      <c r="EO146" s="481"/>
      <c r="EP146" s="481"/>
      <c r="EQ146" s="481"/>
      <c r="ER146" s="481"/>
      <c r="ES146" s="481"/>
      <c r="ET146" s="481"/>
      <c r="EU146" s="481"/>
      <c r="EV146" s="481"/>
      <c r="EW146" s="481"/>
      <c r="EX146" s="481"/>
      <c r="EY146" s="481"/>
      <c r="EZ146" s="481"/>
      <c r="FA146" s="481"/>
      <c r="FB146" s="481"/>
      <c r="FC146" s="481"/>
      <c r="FD146" s="481"/>
      <c r="FE146" s="481"/>
      <c r="FF146" s="481"/>
      <c r="FG146" s="481"/>
      <c r="FH146" s="481"/>
      <c r="FI146" s="482"/>
      <c r="FJ146" s="481"/>
      <c r="FK146" s="481"/>
      <c r="FL146" s="481"/>
      <c r="FM146" s="481"/>
      <c r="FN146" s="481"/>
      <c r="FO146" s="482"/>
      <c r="FP146" s="481"/>
      <c r="FQ146" s="481"/>
      <c r="FR146" s="481"/>
      <c r="FS146" s="481"/>
      <c r="FT146" s="481"/>
      <c r="FU146" s="481"/>
      <c r="FV146" s="481"/>
      <c r="FW146" s="481"/>
      <c r="FX146" s="481"/>
      <c r="FY146" s="481"/>
      <c r="FZ146" s="481"/>
      <c r="GA146" s="481"/>
      <c r="GB146" s="481"/>
      <c r="GC146" s="481"/>
      <c r="GD146" s="481"/>
      <c r="GE146" s="481"/>
      <c r="GF146" s="481"/>
      <c r="GG146" s="481"/>
      <c r="GH146" s="481"/>
      <c r="GI146" s="481"/>
      <c r="GJ146" s="481"/>
      <c r="GK146" s="481"/>
      <c r="GL146" s="481"/>
      <c r="GM146" s="481"/>
      <c r="GN146" s="481"/>
      <c r="GO146" s="481"/>
      <c r="GP146" s="481"/>
      <c r="GQ146" s="481"/>
      <c r="GR146" s="481"/>
      <c r="GS146" s="481"/>
      <c r="GT146" s="481"/>
      <c r="GU146" s="481"/>
      <c r="GV146" s="481"/>
      <c r="GW146" s="481"/>
      <c r="GX146" s="481"/>
      <c r="GY146" s="481"/>
      <c r="GZ146" s="481"/>
      <c r="HA146" s="481"/>
      <c r="HB146" s="481"/>
      <c r="HC146" s="481"/>
      <c r="HD146" s="481"/>
      <c r="HE146" s="481"/>
      <c r="HF146" s="481"/>
      <c r="HG146" s="481"/>
      <c r="HH146" s="518"/>
      <c r="HI146" s="518"/>
      <c r="HJ146" s="518"/>
      <c r="HK146" s="518"/>
      <c r="HL146" s="518"/>
      <c r="HM146" s="518"/>
      <c r="HN146" s="518"/>
      <c r="HO146" s="518"/>
      <c r="HP146" s="481"/>
      <c r="HQ146" s="481"/>
      <c r="HR146" s="481"/>
      <c r="HS146" s="481"/>
    </row>
    <row r="147" spans="1:227" s="20" customFormat="1">
      <c r="C147" s="20" t="s">
        <v>550</v>
      </c>
      <c r="DH147" s="20">
        <f>DH145/DH49</f>
        <v>2.5605852766346596E-2</v>
      </c>
      <c r="DI147" s="20">
        <f>DI145/DI49</f>
        <v>3.4437457562070083E-2</v>
      </c>
      <c r="DJ147" s="20">
        <f>DJ145/DJ49</f>
        <v>1.7236887808266755E-2</v>
      </c>
      <c r="DK147" s="20">
        <f>DK145/DK49</f>
        <v>2.3628636809414849E-2</v>
      </c>
      <c r="DL147" s="20">
        <f>DL145/DL49</f>
        <v>2.5131892751318927E-2</v>
      </c>
      <c r="DM147" s="352"/>
      <c r="DN147" s="20">
        <f>DN145/DN49</f>
        <v>2.2379861263693145E-2</v>
      </c>
      <c r="DO147" s="20">
        <f>DO145/DO49</f>
        <v>2.2740455988909974E-2</v>
      </c>
      <c r="DP147" s="20">
        <f>DP145/DP49</f>
        <v>3.1288214613268119E-2</v>
      </c>
      <c r="DQ147" s="20">
        <f>DQ145/DQ49</f>
        <v>2.1269229329640302E-2</v>
      </c>
      <c r="DR147" s="20">
        <f>DR145/DR49</f>
        <v>2.4460044517281024E-2</v>
      </c>
      <c r="DT147" s="20">
        <f>DT145/DT49</f>
        <v>2.0616806564179947E-2</v>
      </c>
      <c r="DU147" s="20">
        <f>DU145/DU49</f>
        <v>3.0295365441438536E-2</v>
      </c>
      <c r="DV147" s="20">
        <f>DV145/DV49</f>
        <v>2.1643123624884408E-2</v>
      </c>
      <c r="DW147" s="20">
        <f>DW145/DW49</f>
        <v>2.1238600919069504E-2</v>
      </c>
      <c r="DX147" s="20">
        <f>DX145/DX49</f>
        <v>2.2976816185470515E-2</v>
      </c>
      <c r="DZ147" s="20">
        <f>DZ145/DZ49</f>
        <v>2.2963136073675918E-2</v>
      </c>
      <c r="EA147" s="20">
        <f>EA145/EA49</f>
        <v>3.7018172258552133E-2</v>
      </c>
      <c r="EB147" s="20">
        <f>EB145/EB49</f>
        <v>4.3159716499093462E-2</v>
      </c>
      <c r="EC147" s="20">
        <f>EC145/EC49</f>
        <v>8.0027359781121729E-2</v>
      </c>
      <c r="ED147" s="20">
        <f>ED145/ED49</f>
        <v>4.636930681416971E-2</v>
      </c>
      <c r="EF147" s="20">
        <f>EF145/EF49</f>
        <v>0.1032952402085876</v>
      </c>
      <c r="EG147" s="20">
        <f>EG145/EG49</f>
        <v>2.8991301010617879E-2</v>
      </c>
      <c r="EH147" s="20">
        <f>EH145/EH49</f>
        <v>3.3234458231740469E-2</v>
      </c>
      <c r="EI147" s="20">
        <f>EI145/EI49</f>
        <v>3.3618110378140657E-2</v>
      </c>
      <c r="EJ147" s="20">
        <f>EJ145/EJ49</f>
        <v>4.8402285140310121E-2</v>
      </c>
      <c r="EL147" s="20">
        <f>EL145/EL49</f>
        <v>3.4674245736773066E-2</v>
      </c>
      <c r="EM147" s="20">
        <f>EM145/EM49</f>
        <v>3.8831449049463299E-2</v>
      </c>
      <c r="EN147" s="420">
        <f>EN145/EN49</f>
        <v>4.7251141792911018E-2</v>
      </c>
      <c r="EO147" s="20">
        <f>EO145/EO49</f>
        <v>4.4936741411232252E-2</v>
      </c>
      <c r="EP147" s="20">
        <f>EP145/EP49</f>
        <v>4.1634904832813027E-2</v>
      </c>
      <c r="ER147" s="419">
        <f>ER145/ER49</f>
        <v>4.9756784434203789E-2</v>
      </c>
      <c r="ES147" s="20">
        <f>ET147</f>
        <v>4.1634904832813027E-2</v>
      </c>
      <c r="ET147" s="20">
        <f>EU147</f>
        <v>4.1634904832813027E-2</v>
      </c>
      <c r="EU147" s="20">
        <f>EV147</f>
        <v>4.1634904832813027E-2</v>
      </c>
      <c r="EV147" s="20">
        <f>EP147</f>
        <v>4.1634904832813027E-2</v>
      </c>
      <c r="EX147" s="352">
        <f>EY147</f>
        <v>4.1634904832813027E-2</v>
      </c>
      <c r="EY147" s="20">
        <f>EZ147</f>
        <v>4.1634904832813027E-2</v>
      </c>
      <c r="EZ147" s="20">
        <f>FA147</f>
        <v>4.1634904832813027E-2</v>
      </c>
      <c r="FA147" s="352">
        <f>FB147</f>
        <v>4.1634904832813027E-2</v>
      </c>
      <c r="FB147" s="20">
        <f>EV147</f>
        <v>4.1634904832813027E-2</v>
      </c>
      <c r="FD147" s="20">
        <f>FE147</f>
        <v>4.1634904832813027E-2</v>
      </c>
      <c r="FE147" s="20">
        <f>FF147</f>
        <v>4.1634904832813027E-2</v>
      </c>
      <c r="FF147" s="20">
        <f>FG147</f>
        <v>4.1634904832813027E-2</v>
      </c>
      <c r="FG147" s="20">
        <f>FH147</f>
        <v>4.1634904832813027E-2</v>
      </c>
      <c r="FH147" s="20">
        <f>FB147</f>
        <v>4.1634904832813027E-2</v>
      </c>
      <c r="FI147" s="419"/>
      <c r="FJ147" s="20">
        <f>FK147</f>
        <v>4.1634904832813027E-2</v>
      </c>
      <c r="FK147" s="20">
        <f>FL147</f>
        <v>4.1634904832813027E-2</v>
      </c>
      <c r="FL147" s="20">
        <f>FM147</f>
        <v>4.1634904832813027E-2</v>
      </c>
      <c r="FM147" s="20">
        <f>FN147</f>
        <v>4.1634904832813027E-2</v>
      </c>
      <c r="FN147" s="20">
        <f>FH147</f>
        <v>4.1634904832813027E-2</v>
      </c>
      <c r="FO147" s="419"/>
      <c r="FP147" s="20">
        <f>FQ147</f>
        <v>4.1634904832813027E-2</v>
      </c>
      <c r="FQ147" s="20">
        <f>FR147</f>
        <v>4.1634904832813027E-2</v>
      </c>
      <c r="FR147" s="20">
        <f>FS147</f>
        <v>4.1634904832813027E-2</v>
      </c>
      <c r="FS147" s="20">
        <f>FT147</f>
        <v>4.1634904832813027E-2</v>
      </c>
      <c r="FT147" s="20">
        <f>FN147</f>
        <v>4.1634904832813027E-2</v>
      </c>
      <c r="FV147" s="20">
        <f>FW147</f>
        <v>4.1634904832813027E-2</v>
      </c>
      <c r="FW147" s="20">
        <f>FX147</f>
        <v>4.1634904832813027E-2</v>
      </c>
      <c r="FX147" s="20">
        <f>FY147</f>
        <v>4.1634904832813027E-2</v>
      </c>
      <c r="FY147" s="20">
        <f>FZ147</f>
        <v>4.1634904832813027E-2</v>
      </c>
      <c r="FZ147" s="20">
        <f>FT147</f>
        <v>4.1634904832813027E-2</v>
      </c>
      <c r="GB147" s="20">
        <f>GC147</f>
        <v>4.1634904832813027E-2</v>
      </c>
      <c r="GC147" s="20">
        <f>GD147</f>
        <v>4.1634904832813027E-2</v>
      </c>
      <c r="GD147" s="20">
        <f>GE147</f>
        <v>4.1634904832813027E-2</v>
      </c>
      <c r="GE147" s="20">
        <f>GF147</f>
        <v>4.1634904832813027E-2</v>
      </c>
      <c r="GF147" s="20">
        <f>FZ147</f>
        <v>4.1634904832813027E-2</v>
      </c>
      <c r="GH147" s="20">
        <f>GI147</f>
        <v>4.1634904832813027E-2</v>
      </c>
      <c r="GI147" s="20">
        <f>GJ147</f>
        <v>4.1634904832813027E-2</v>
      </c>
      <c r="GJ147" s="20">
        <f>GK147</f>
        <v>4.1634904832813027E-2</v>
      </c>
      <c r="GK147" s="20">
        <f>GL147</f>
        <v>4.1634904832813027E-2</v>
      </c>
      <c r="GL147" s="20">
        <f>GF147</f>
        <v>4.1634904832813027E-2</v>
      </c>
      <c r="GN147" s="20">
        <f>GO147</f>
        <v>4.1634904832813027E-2</v>
      </c>
      <c r="GO147" s="20">
        <f>GP147</f>
        <v>4.1634904832813027E-2</v>
      </c>
      <c r="GP147" s="20">
        <f>GQ147</f>
        <v>4.1634904832813027E-2</v>
      </c>
      <c r="GQ147" s="20">
        <f>GR147</f>
        <v>4.1634904832813027E-2</v>
      </c>
      <c r="GR147" s="20">
        <f>GL147</f>
        <v>4.1634904832813027E-2</v>
      </c>
      <c r="GT147" s="20">
        <f>GU147</f>
        <v>4.1634904832813027E-2</v>
      </c>
      <c r="GU147" s="20">
        <f>GV147</f>
        <v>4.1634904832813027E-2</v>
      </c>
      <c r="GV147" s="20">
        <f>GW147</f>
        <v>4.1634904832813027E-2</v>
      </c>
      <c r="GW147" s="20">
        <f>GX147</f>
        <v>4.1634904832813027E-2</v>
      </c>
      <c r="GX147" s="20">
        <f>GR147</f>
        <v>4.1634904832813027E-2</v>
      </c>
      <c r="GZ147" s="20">
        <f>HA147</f>
        <v>4.1634904832813027E-2</v>
      </c>
      <c r="HA147" s="20">
        <f>HB147</f>
        <v>4.1634904832813027E-2</v>
      </c>
      <c r="HB147" s="20">
        <f>HC147</f>
        <v>4.1634904832813027E-2</v>
      </c>
      <c r="HC147" s="20">
        <f>HD147</f>
        <v>4.1634904832813027E-2</v>
      </c>
      <c r="HD147" s="20">
        <f>GX147</f>
        <v>4.1634904832813027E-2</v>
      </c>
      <c r="HH147" s="513"/>
      <c r="HI147" s="513"/>
      <c r="HJ147" s="513"/>
      <c r="HK147" s="513"/>
      <c r="HL147" s="513"/>
      <c r="HM147" s="513"/>
      <c r="HN147" s="513"/>
      <c r="HO147" s="513"/>
    </row>
    <row r="148" spans="1:227">
      <c r="ET148" s="8"/>
      <c r="FI148" s="413"/>
      <c r="FO148" s="413"/>
      <c r="HH148" s="513"/>
      <c r="HI148" s="513"/>
      <c r="HJ148" s="513"/>
      <c r="HK148" s="513"/>
      <c r="HL148" s="513"/>
      <c r="HM148" s="513"/>
      <c r="HN148" s="513"/>
      <c r="HO148" s="513"/>
    </row>
    <row r="149" spans="1:227">
      <c r="ET149" s="8"/>
      <c r="FI149" s="413"/>
      <c r="FO149" s="413"/>
      <c r="HH149" s="513"/>
      <c r="HI149" s="513"/>
      <c r="HJ149" s="513"/>
      <c r="HK149" s="513"/>
      <c r="HL149" s="513"/>
      <c r="HM149" s="513"/>
      <c r="HN149" s="513"/>
      <c r="HO149" s="513"/>
    </row>
    <row r="150" spans="1:227" s="498" customFormat="1" hidden="1" outlineLevel="1">
      <c r="B150" s="494" t="s">
        <v>80</v>
      </c>
      <c r="HH150" s="496"/>
      <c r="HI150" s="496"/>
      <c r="HJ150" s="496"/>
      <c r="HK150" s="496"/>
      <c r="HL150" s="496"/>
      <c r="HM150" s="496"/>
      <c r="HN150" s="496"/>
      <c r="HO150" s="496"/>
    </row>
    <row r="151" spans="1:227" s="499" customFormat="1" hidden="1" outlineLevel="1">
      <c r="A151" s="494"/>
      <c r="B151" s="494"/>
      <c r="C151" s="494" t="s">
        <v>29</v>
      </c>
      <c r="E151" s="494"/>
      <c r="F151" s="494"/>
      <c r="G151" s="494"/>
      <c r="H151" s="494"/>
      <c r="I151" s="494"/>
      <c r="J151" s="494"/>
      <c r="K151" s="494"/>
      <c r="L151" s="494"/>
      <c r="M151" s="494"/>
      <c r="N151" s="494"/>
      <c r="O151" s="494"/>
      <c r="P151" s="494"/>
      <c r="Q151" s="494"/>
      <c r="R151" s="494"/>
      <c r="S151" s="494"/>
      <c r="T151" s="494"/>
      <c r="U151" s="494"/>
      <c r="V151" s="494"/>
      <c r="W151" s="494"/>
      <c r="X151" s="494"/>
      <c r="Y151" s="494"/>
      <c r="Z151" s="494"/>
      <c r="AA151" s="494"/>
      <c r="AB151" s="494"/>
      <c r="AC151" s="494"/>
      <c r="AD151" s="494"/>
      <c r="AE151" s="494"/>
      <c r="AF151" s="494"/>
      <c r="AG151" s="494"/>
      <c r="AH151" s="494"/>
      <c r="AI151" s="494"/>
      <c r="AJ151" s="494"/>
      <c r="AK151" s="494"/>
      <c r="AL151" s="494"/>
      <c r="AM151" s="494"/>
      <c r="AN151" s="494"/>
      <c r="AO151" s="494"/>
      <c r="AP151" s="494"/>
      <c r="AQ151" s="494"/>
      <c r="AR151" s="494"/>
      <c r="AS151" s="494"/>
      <c r="AT151" s="494"/>
      <c r="AU151" s="494"/>
      <c r="AV151" s="494"/>
      <c r="AW151" s="494"/>
      <c r="AX151" s="494"/>
      <c r="AY151" s="494"/>
      <c r="AZ151" s="494"/>
      <c r="BA151" s="494"/>
      <c r="BB151" s="494"/>
      <c r="BC151" s="494"/>
      <c r="BD151" s="494"/>
      <c r="BE151" s="494"/>
      <c r="BF151" s="494"/>
      <c r="BG151" s="494"/>
      <c r="BH151" s="494"/>
      <c r="BI151" s="494"/>
      <c r="BJ151" s="494"/>
      <c r="BK151" s="494"/>
      <c r="BL151" s="494"/>
      <c r="BM151" s="494"/>
      <c r="BN151" s="494"/>
      <c r="BO151" s="494"/>
      <c r="BP151" s="494"/>
      <c r="BQ151" s="494"/>
      <c r="BR151" s="494"/>
      <c r="BS151" s="494"/>
      <c r="BT151" s="494"/>
      <c r="BU151" s="494"/>
      <c r="BV151" s="494"/>
      <c r="BW151" s="494"/>
      <c r="BX151" s="494"/>
      <c r="BY151" s="494"/>
      <c r="BZ151" s="494"/>
      <c r="CA151" s="494"/>
      <c r="CB151" s="494"/>
      <c r="CC151" s="494"/>
      <c r="CD151" s="494"/>
      <c r="CE151" s="494"/>
      <c r="CF151" s="494"/>
      <c r="CG151" s="494"/>
      <c r="CH151" s="494"/>
      <c r="CI151" s="494"/>
      <c r="CJ151" s="494"/>
      <c r="CK151" s="494"/>
      <c r="CL151" s="494"/>
      <c r="CM151" s="494"/>
      <c r="CN151" s="494"/>
      <c r="CO151" s="494"/>
      <c r="CP151" s="494"/>
      <c r="CQ151" s="494"/>
      <c r="CR151" s="494"/>
      <c r="CS151" s="494"/>
      <c r="CT151" s="494"/>
      <c r="CU151" s="494"/>
      <c r="CV151" s="494"/>
      <c r="CW151" s="494"/>
      <c r="CX151" s="494"/>
      <c r="CY151" s="494"/>
      <c r="CZ151" s="494"/>
      <c r="DA151" s="494"/>
      <c r="DB151" s="494"/>
      <c r="DC151" s="494"/>
      <c r="DD151" s="494"/>
      <c r="DE151" s="494"/>
      <c r="DF151" s="494"/>
      <c r="DG151" s="494"/>
      <c r="DH151" s="494">
        <v>2.5369999999999999</v>
      </c>
      <c r="DI151" s="494">
        <v>4.4660000000000002</v>
      </c>
      <c r="DJ151" s="494">
        <v>4.617</v>
      </c>
      <c r="DK151" s="494">
        <v>5.4850000000000003</v>
      </c>
      <c r="DL151" s="494">
        <v>17.937000000000001</v>
      </c>
      <c r="DM151" s="494"/>
      <c r="DN151" s="494">
        <v>6.6219999999999999</v>
      </c>
      <c r="DO151" s="494">
        <v>7.2279999999999998</v>
      </c>
      <c r="DP151" s="494">
        <v>7.5350000000000001</v>
      </c>
      <c r="DQ151" s="494">
        <v>10.922000000000001</v>
      </c>
      <c r="DR151" s="494">
        <v>32.308</v>
      </c>
      <c r="DS151" s="494"/>
      <c r="DT151" s="494">
        <v>-2.194</v>
      </c>
      <c r="DU151" s="494">
        <v>-4.1390000000000002</v>
      </c>
      <c r="DV151" s="494">
        <v>6.9610000000000003</v>
      </c>
      <c r="DW151" s="494">
        <v>16.545000000000002</v>
      </c>
      <c r="DX151" s="494">
        <v>17.172999999999998</v>
      </c>
      <c r="DY151" s="494"/>
      <c r="DZ151" s="498">
        <v>-4.6470000000000002</v>
      </c>
      <c r="EA151" s="498">
        <v>-0.86399999999999999</v>
      </c>
      <c r="EB151" s="498">
        <v>-9.7650000000000006</v>
      </c>
      <c r="EC151" s="498">
        <v>-17.431999999999999</v>
      </c>
      <c r="ED151" s="498">
        <v>-32.707000000000001</v>
      </c>
      <c r="EF151" s="498">
        <v>-24.954000000000001</v>
      </c>
      <c r="EG151" s="498">
        <v>-19.995000000000001</v>
      </c>
      <c r="EH151" s="498">
        <v>-17.898</v>
      </c>
      <c r="EI151" s="498">
        <v>-6.9489999999999998</v>
      </c>
      <c r="EJ151" s="498">
        <v>-69.796000000000006</v>
      </c>
      <c r="EL151" s="498">
        <v>-11.772</v>
      </c>
      <c r="EM151" s="498">
        <v>-6.6929999999999996</v>
      </c>
      <c r="EN151" s="498">
        <v>-0.26900000000000002</v>
      </c>
      <c r="EO151" s="498">
        <v>3.8940000000000001</v>
      </c>
      <c r="EP151" s="498">
        <v>-14.84</v>
      </c>
      <c r="EQ151" s="494"/>
      <c r="ER151" s="498">
        <v>-2.6440000000000001</v>
      </c>
      <c r="ES151" s="494"/>
      <c r="ET151" s="494"/>
      <c r="EU151" s="494"/>
      <c r="EV151" s="494"/>
      <c r="EW151" s="494"/>
      <c r="EX151" s="494"/>
      <c r="EY151" s="494"/>
      <c r="EZ151" s="494"/>
      <c r="FA151" s="494"/>
      <c r="FB151" s="494"/>
      <c r="FC151" s="494"/>
      <c r="FD151" s="494"/>
      <c r="FE151" s="494"/>
      <c r="FF151" s="494"/>
      <c r="FG151" s="494"/>
      <c r="FH151" s="494"/>
      <c r="FI151" s="494"/>
      <c r="FJ151" s="494"/>
      <c r="FK151" s="494"/>
      <c r="FL151" s="494"/>
      <c r="FM151" s="494"/>
      <c r="FN151" s="494"/>
      <c r="FO151" s="494"/>
      <c r="FP151" s="494"/>
      <c r="FQ151" s="494"/>
      <c r="FR151" s="494"/>
      <c r="FS151" s="494"/>
      <c r="FT151" s="494"/>
      <c r="FU151" s="494"/>
      <c r="FV151" s="494"/>
      <c r="FW151" s="494"/>
      <c r="FX151" s="494"/>
      <c r="FY151" s="494"/>
      <c r="FZ151" s="494"/>
      <c r="GA151" s="494"/>
      <c r="GB151" s="494"/>
      <c r="GC151" s="494"/>
      <c r="GD151" s="494"/>
      <c r="GE151" s="494"/>
      <c r="GF151" s="494"/>
      <c r="GG151" s="494"/>
      <c r="GH151" s="494"/>
      <c r="GI151" s="494"/>
      <c r="GJ151" s="494"/>
      <c r="GK151" s="494"/>
      <c r="GL151" s="494"/>
      <c r="GM151" s="494"/>
      <c r="GN151" s="494"/>
      <c r="GO151" s="494"/>
      <c r="GP151" s="494"/>
      <c r="GQ151" s="494"/>
      <c r="GR151" s="494"/>
      <c r="GS151" s="494"/>
      <c r="GT151" s="494"/>
      <c r="GU151" s="494"/>
      <c r="GV151" s="494"/>
      <c r="GW151" s="494"/>
      <c r="GX151" s="494"/>
      <c r="GY151" s="494"/>
      <c r="GZ151" s="494"/>
      <c r="HA151" s="494"/>
      <c r="HB151" s="494"/>
      <c r="HC151" s="494"/>
      <c r="HD151" s="494"/>
      <c r="HE151" s="494"/>
      <c r="HH151" s="525"/>
      <c r="HI151" s="525"/>
      <c r="HJ151" s="525"/>
      <c r="HK151" s="525"/>
      <c r="HL151" s="525"/>
      <c r="HM151" s="525"/>
      <c r="HN151" s="525"/>
      <c r="HO151" s="525"/>
    </row>
    <row r="152" spans="1:227" s="499" customFormat="1" hidden="1" outlineLevel="1">
      <c r="A152" s="494"/>
      <c r="B152" s="494"/>
      <c r="C152" s="494" t="s">
        <v>536</v>
      </c>
      <c r="E152" s="494"/>
      <c r="F152" s="494"/>
      <c r="G152" s="494"/>
      <c r="H152" s="494"/>
      <c r="I152" s="494"/>
      <c r="J152" s="494"/>
      <c r="K152" s="494"/>
      <c r="L152" s="494"/>
      <c r="M152" s="494"/>
      <c r="N152" s="494"/>
      <c r="O152" s="494"/>
      <c r="P152" s="494"/>
      <c r="Q152" s="494"/>
      <c r="R152" s="494"/>
      <c r="S152" s="494"/>
      <c r="T152" s="494"/>
      <c r="U152" s="494"/>
      <c r="V152" s="494"/>
      <c r="W152" s="494"/>
      <c r="X152" s="494"/>
      <c r="Y152" s="494"/>
      <c r="Z152" s="494"/>
      <c r="AA152" s="494"/>
      <c r="AB152" s="494"/>
      <c r="AC152" s="494"/>
      <c r="AD152" s="494"/>
      <c r="AE152" s="494"/>
      <c r="AF152" s="494"/>
      <c r="AG152" s="494"/>
      <c r="AH152" s="494"/>
      <c r="AI152" s="494"/>
      <c r="AJ152" s="494"/>
      <c r="AK152" s="494"/>
      <c r="AL152" s="494"/>
      <c r="AM152" s="494"/>
      <c r="AN152" s="494"/>
      <c r="AO152" s="494"/>
      <c r="AP152" s="494"/>
      <c r="AQ152" s="494"/>
      <c r="AR152" s="494"/>
      <c r="AS152" s="494"/>
      <c r="AT152" s="494"/>
      <c r="AU152" s="494"/>
      <c r="AV152" s="494"/>
      <c r="AW152" s="494"/>
      <c r="AX152" s="494"/>
      <c r="AY152" s="494"/>
      <c r="AZ152" s="494"/>
      <c r="BA152" s="494"/>
      <c r="BB152" s="494"/>
      <c r="BC152" s="494"/>
      <c r="BD152" s="494"/>
      <c r="BE152" s="494"/>
      <c r="BF152" s="494"/>
      <c r="BG152" s="494"/>
      <c r="BH152" s="494"/>
      <c r="BI152" s="494"/>
      <c r="BJ152" s="494"/>
      <c r="BK152" s="494"/>
      <c r="BL152" s="494"/>
      <c r="BM152" s="494"/>
      <c r="BN152" s="494"/>
      <c r="BO152" s="494"/>
      <c r="BP152" s="494"/>
      <c r="BQ152" s="494"/>
      <c r="BR152" s="494"/>
      <c r="BS152" s="494"/>
      <c r="BT152" s="494"/>
      <c r="BU152" s="494"/>
      <c r="BV152" s="494"/>
      <c r="BW152" s="494"/>
      <c r="BX152" s="494"/>
      <c r="BY152" s="494"/>
      <c r="BZ152" s="494"/>
      <c r="CA152" s="494"/>
      <c r="CB152" s="494"/>
      <c r="CC152" s="494"/>
      <c r="CD152" s="494"/>
      <c r="CE152" s="494"/>
      <c r="CF152" s="494"/>
      <c r="CG152" s="494"/>
      <c r="CH152" s="494"/>
      <c r="CI152" s="494"/>
      <c r="CJ152" s="494"/>
      <c r="CK152" s="494"/>
      <c r="CL152" s="494"/>
      <c r="CM152" s="494"/>
      <c r="CN152" s="494"/>
      <c r="CO152" s="494"/>
      <c r="CP152" s="494"/>
      <c r="CQ152" s="494"/>
      <c r="CR152" s="494"/>
      <c r="CS152" s="494"/>
      <c r="CT152" s="494"/>
      <c r="CU152" s="494"/>
      <c r="CV152" s="494"/>
      <c r="CW152" s="494"/>
      <c r="CX152" s="494"/>
      <c r="CY152" s="494"/>
      <c r="CZ152" s="494"/>
      <c r="DA152" s="494"/>
      <c r="DB152" s="494"/>
      <c r="DC152" s="494"/>
      <c r="DD152" s="494"/>
      <c r="DE152" s="494"/>
      <c r="DF152" s="494"/>
      <c r="DG152" s="494"/>
      <c r="DH152" s="494">
        <v>-2.2120000000000002</v>
      </c>
      <c r="DI152" s="494">
        <v>5.9240000000000004</v>
      </c>
      <c r="DJ152" s="494">
        <v>2.0230000000000001</v>
      </c>
      <c r="DK152" s="494">
        <v>0.35299999999999998</v>
      </c>
      <c r="DL152" s="494">
        <v>6.0880000000000001</v>
      </c>
      <c r="DM152" s="494"/>
      <c r="DN152" s="494">
        <v>-2.4239999999999999</v>
      </c>
      <c r="DO152" s="494">
        <v>1.9910000000000001</v>
      </c>
      <c r="DP152" s="494">
        <v>2.1429999999999998</v>
      </c>
      <c r="DQ152" s="494">
        <v>6.2960000000000003</v>
      </c>
      <c r="DR152" s="494">
        <v>8.0060000000000002</v>
      </c>
      <c r="DS152" s="494"/>
      <c r="DT152" s="494">
        <v>-6.9779999999999998</v>
      </c>
      <c r="DU152" s="494">
        <v>-6.8239999999999998</v>
      </c>
      <c r="DV152" s="494">
        <v>2.5569999999999999</v>
      </c>
      <c r="DW152" s="494">
        <v>15.417</v>
      </c>
      <c r="DX152" s="494">
        <v>4.1719999999999997</v>
      </c>
      <c r="DY152" s="494"/>
      <c r="DZ152" s="498">
        <v>-22.114000000000001</v>
      </c>
      <c r="EA152" s="498">
        <v>75.873000000000019</v>
      </c>
      <c r="EB152" s="498">
        <v>-20.347999999999999</v>
      </c>
      <c r="EC152" s="498">
        <v>-41.759</v>
      </c>
      <c r="ED152" s="498">
        <v>-8.3469999999999995</v>
      </c>
      <c r="EF152" s="498">
        <v>-49.408000000000001</v>
      </c>
      <c r="EG152" s="498">
        <v>-35.302999999999997</v>
      </c>
      <c r="EH152" s="498">
        <v>-36.851999999999997</v>
      </c>
      <c r="EI152" s="498">
        <v>-22.687000000000001</v>
      </c>
      <c r="EJ152" s="498">
        <v>-144.25</v>
      </c>
      <c r="EL152" s="498">
        <v>-30.795000000000002</v>
      </c>
      <c r="EM152" s="498">
        <v>-24.331</v>
      </c>
      <c r="EN152" s="498">
        <v>-18.515999999999998</v>
      </c>
      <c r="EO152" s="498">
        <v>-14.326000000000001</v>
      </c>
      <c r="EP152" s="498">
        <v>-87.968000000000004</v>
      </c>
      <c r="EQ152" s="494"/>
      <c r="ER152" s="498">
        <v>-27.061</v>
      </c>
      <c r="ES152" s="494"/>
      <c r="ET152" s="494"/>
      <c r="EU152" s="494"/>
      <c r="EV152" s="494"/>
      <c r="EW152" s="494"/>
      <c r="EX152" s="494"/>
      <c r="EY152" s="494"/>
      <c r="EZ152" s="494"/>
      <c r="FA152" s="494"/>
      <c r="FB152" s="494"/>
      <c r="FC152" s="494"/>
      <c r="FD152" s="494"/>
      <c r="FE152" s="494"/>
      <c r="FF152" s="494"/>
      <c r="FG152" s="494"/>
      <c r="FH152" s="494"/>
      <c r="FI152" s="494"/>
      <c r="FJ152" s="494"/>
      <c r="FK152" s="494"/>
      <c r="FL152" s="494"/>
      <c r="FM152" s="494"/>
      <c r="FN152" s="494"/>
      <c r="FO152" s="494"/>
      <c r="FP152" s="494"/>
      <c r="FQ152" s="494"/>
      <c r="FR152" s="494"/>
      <c r="FS152" s="494"/>
      <c r="FT152" s="494"/>
      <c r="FU152" s="494"/>
      <c r="FV152" s="494"/>
      <c r="FW152" s="494"/>
      <c r="FX152" s="494"/>
      <c r="FY152" s="494"/>
      <c r="FZ152" s="494"/>
      <c r="GA152" s="494"/>
      <c r="GB152" s="494"/>
      <c r="GC152" s="494"/>
      <c r="GD152" s="494"/>
      <c r="GE152" s="494"/>
      <c r="GF152" s="494"/>
      <c r="GG152" s="494"/>
      <c r="GH152" s="494"/>
      <c r="GI152" s="494"/>
      <c r="GJ152" s="494"/>
      <c r="GK152" s="494"/>
      <c r="GL152" s="494"/>
      <c r="GM152" s="494"/>
      <c r="GN152" s="494"/>
      <c r="GO152" s="494"/>
      <c r="GP152" s="494"/>
      <c r="GQ152" s="494"/>
      <c r="GR152" s="494"/>
      <c r="GS152" s="494"/>
      <c r="GT152" s="494"/>
      <c r="GU152" s="494"/>
      <c r="GV152" s="494"/>
      <c r="GW152" s="494"/>
      <c r="GX152" s="494"/>
      <c r="GY152" s="494"/>
      <c r="GZ152" s="494"/>
      <c r="HA152" s="494"/>
      <c r="HB152" s="494"/>
      <c r="HC152" s="494"/>
      <c r="HD152" s="494"/>
      <c r="HE152" s="494"/>
      <c r="HH152" s="519"/>
      <c r="HI152" s="519"/>
      <c r="HJ152" s="519"/>
      <c r="HK152" s="519"/>
      <c r="HL152" s="519"/>
      <c r="HM152" s="519"/>
      <c r="HN152" s="519"/>
      <c r="HO152" s="519"/>
    </row>
    <row r="153" spans="1:227" s="499" customFormat="1" hidden="1" outlineLevel="1">
      <c r="A153" s="494"/>
      <c r="B153" s="494"/>
      <c r="C153" s="494" t="s">
        <v>537</v>
      </c>
      <c r="E153" s="494"/>
      <c r="F153" s="494"/>
      <c r="G153" s="494"/>
      <c r="H153" s="494"/>
      <c r="I153" s="494"/>
      <c r="J153" s="494"/>
      <c r="K153" s="494"/>
      <c r="L153" s="494"/>
      <c r="M153" s="494"/>
      <c r="N153" s="494"/>
      <c r="O153" s="494"/>
      <c r="P153" s="494"/>
      <c r="Q153" s="494"/>
      <c r="R153" s="494"/>
      <c r="S153" s="494"/>
      <c r="T153" s="494"/>
      <c r="U153" s="494"/>
      <c r="V153" s="494"/>
      <c r="W153" s="494"/>
      <c r="X153" s="494"/>
      <c r="Y153" s="494"/>
      <c r="Z153" s="494"/>
      <c r="AA153" s="494"/>
      <c r="AB153" s="494"/>
      <c r="AC153" s="494"/>
      <c r="AD153" s="494"/>
      <c r="AE153" s="494"/>
      <c r="AF153" s="494"/>
      <c r="AG153" s="494"/>
      <c r="AH153" s="494"/>
      <c r="AI153" s="494"/>
      <c r="AJ153" s="494"/>
      <c r="AK153" s="494"/>
      <c r="AL153" s="494"/>
      <c r="AM153" s="494"/>
      <c r="AN153" s="494"/>
      <c r="AO153" s="494"/>
      <c r="AP153" s="494"/>
      <c r="AQ153" s="494"/>
      <c r="AR153" s="494"/>
      <c r="AS153" s="494"/>
      <c r="AT153" s="494"/>
      <c r="AU153" s="494"/>
      <c r="AV153" s="494"/>
      <c r="AW153" s="494"/>
      <c r="AX153" s="494"/>
      <c r="AY153" s="494"/>
      <c r="AZ153" s="494"/>
      <c r="BA153" s="494"/>
      <c r="BB153" s="494"/>
      <c r="BC153" s="494"/>
      <c r="BD153" s="494"/>
      <c r="BE153" s="494"/>
      <c r="BF153" s="494"/>
      <c r="BG153" s="494"/>
      <c r="BH153" s="494"/>
      <c r="BI153" s="494"/>
      <c r="BJ153" s="494"/>
      <c r="BK153" s="494"/>
      <c r="BL153" s="494"/>
      <c r="BM153" s="494"/>
      <c r="BN153" s="494"/>
      <c r="BO153" s="494"/>
      <c r="BP153" s="494"/>
      <c r="BQ153" s="494"/>
      <c r="BR153" s="494"/>
      <c r="BS153" s="494"/>
      <c r="BT153" s="494"/>
      <c r="BU153" s="494"/>
      <c r="BV153" s="494"/>
      <c r="BW153" s="494"/>
      <c r="BX153" s="494"/>
      <c r="BY153" s="494"/>
      <c r="BZ153" s="494"/>
      <c r="CA153" s="494"/>
      <c r="CB153" s="494"/>
      <c r="CC153" s="494"/>
      <c r="CD153" s="494"/>
      <c r="CE153" s="494"/>
      <c r="CF153" s="494"/>
      <c r="CG153" s="494"/>
      <c r="CH153" s="494"/>
      <c r="CI153" s="494"/>
      <c r="CJ153" s="494"/>
      <c r="CK153" s="494"/>
      <c r="CL153" s="494"/>
      <c r="CM153" s="494"/>
      <c r="CN153" s="494"/>
      <c r="CO153" s="494"/>
      <c r="CP153" s="494"/>
      <c r="CQ153" s="494"/>
      <c r="CR153" s="494"/>
      <c r="CS153" s="494"/>
      <c r="CT153" s="494"/>
      <c r="CU153" s="494"/>
      <c r="CV153" s="494"/>
      <c r="CW153" s="494"/>
      <c r="CX153" s="494"/>
      <c r="CY153" s="494"/>
      <c r="CZ153" s="494"/>
      <c r="DA153" s="494"/>
      <c r="DB153" s="494"/>
      <c r="DC153" s="494"/>
      <c r="DD153" s="494"/>
      <c r="DE153" s="494"/>
      <c r="DF153" s="494"/>
      <c r="DG153" s="494"/>
      <c r="DH153" s="494" t="e">
        <f>9.238-#REF!</f>
        <v>#REF!</v>
      </c>
      <c r="DI153" s="494" t="e">
        <f>10.056-#REF!</f>
        <v>#REF!</v>
      </c>
      <c r="DJ153" s="494">
        <v>11.266</v>
      </c>
      <c r="DK153" s="494">
        <v>12.997999999999999</v>
      </c>
      <c r="DL153" s="494">
        <v>43.552</v>
      </c>
      <c r="DM153" s="494"/>
      <c r="DN153" s="494">
        <v>13.759</v>
      </c>
      <c r="DO153" s="494">
        <v>14.936999999999999</v>
      </c>
      <c r="DP153" s="494">
        <v>14.895</v>
      </c>
      <c r="DQ153" s="494">
        <v>13.595000000000001</v>
      </c>
      <c r="DR153" s="494">
        <v>57.216999999999999</v>
      </c>
      <c r="DS153" s="494"/>
      <c r="DT153" s="494">
        <v>7.0739999999999998</v>
      </c>
      <c r="DU153" s="494">
        <v>-7.2240000000000002</v>
      </c>
      <c r="DV153" s="494">
        <v>16.731999999999999</v>
      </c>
      <c r="DW153" s="494">
        <v>18.259</v>
      </c>
      <c r="DX153" s="494">
        <v>34.841999999999999</v>
      </c>
      <c r="DY153" s="494"/>
      <c r="DZ153" s="498">
        <v>4.1859999999999999</v>
      </c>
      <c r="EA153" s="498">
        <v>4.55</v>
      </c>
      <c r="EB153" s="498">
        <v>-3.113</v>
      </c>
      <c r="EC153" s="498">
        <v>-9.7850000000000001</v>
      </c>
      <c r="ED153" s="498">
        <v>-4.1609999999999996</v>
      </c>
      <c r="EF153" s="498">
        <v>-19.010999999999999</v>
      </c>
      <c r="EG153" s="498">
        <v>-16.273</v>
      </c>
      <c r="EH153" s="498">
        <v>-11.558</v>
      </c>
      <c r="EI153" s="498">
        <v>-1.1679999999999999</v>
      </c>
      <c r="EJ153" s="498">
        <v>-48.01</v>
      </c>
      <c r="EL153" s="498">
        <v>-7.1159999999999997</v>
      </c>
      <c r="EM153" s="498">
        <v>-2.0510000000000002</v>
      </c>
      <c r="EN153" s="498">
        <v>3.3050000000000002</v>
      </c>
      <c r="EO153" s="498">
        <v>9.3480000000000008</v>
      </c>
      <c r="EP153" s="498">
        <v>3.4860000000000002</v>
      </c>
      <c r="EQ153" s="494"/>
      <c r="ER153" s="498">
        <v>3.492</v>
      </c>
      <c r="ES153" s="494"/>
      <c r="ET153" s="494"/>
      <c r="EU153" s="494"/>
      <c r="EV153" s="494"/>
      <c r="EW153" s="494"/>
      <c r="EX153" s="494"/>
      <c r="EY153" s="494"/>
      <c r="EZ153" s="494"/>
      <c r="FA153" s="494"/>
      <c r="FB153" s="494"/>
      <c r="FC153" s="494"/>
      <c r="FD153" s="494"/>
      <c r="FE153" s="494"/>
      <c r="FF153" s="494"/>
      <c r="FG153" s="494"/>
      <c r="FH153" s="494"/>
      <c r="FI153" s="494"/>
      <c r="FJ153" s="494"/>
      <c r="FK153" s="494"/>
      <c r="FL153" s="494"/>
      <c r="FM153" s="494"/>
      <c r="FN153" s="494"/>
      <c r="FO153" s="494"/>
      <c r="FP153" s="494"/>
      <c r="FQ153" s="494"/>
      <c r="FR153" s="494"/>
      <c r="FS153" s="494"/>
      <c r="FT153" s="494"/>
      <c r="FU153" s="494"/>
      <c r="FV153" s="494"/>
      <c r="FW153" s="494"/>
      <c r="FX153" s="494"/>
      <c r="FY153" s="494"/>
      <c r="FZ153" s="494"/>
      <c r="GA153" s="494"/>
      <c r="GB153" s="494"/>
      <c r="GC153" s="494"/>
      <c r="GD153" s="494"/>
      <c r="GE153" s="494"/>
      <c r="GF153" s="494"/>
      <c r="GG153" s="494"/>
      <c r="GH153" s="494"/>
      <c r="GI153" s="494"/>
      <c r="GJ153" s="494"/>
      <c r="GK153" s="494"/>
      <c r="GL153" s="494"/>
      <c r="GM153" s="494"/>
      <c r="GN153" s="494"/>
      <c r="GO153" s="494"/>
      <c r="GP153" s="494"/>
      <c r="GQ153" s="494"/>
      <c r="GR153" s="494"/>
      <c r="GS153" s="494"/>
      <c r="GT153" s="494"/>
      <c r="GU153" s="494"/>
      <c r="GV153" s="494"/>
      <c r="GW153" s="494"/>
      <c r="GX153" s="494"/>
      <c r="GY153" s="494"/>
      <c r="GZ153" s="494"/>
      <c r="HA153" s="494"/>
      <c r="HB153" s="494"/>
      <c r="HC153" s="494"/>
      <c r="HD153" s="494"/>
      <c r="HE153" s="494"/>
      <c r="HH153" s="519"/>
      <c r="HI153" s="519"/>
      <c r="HJ153" s="519"/>
      <c r="HK153" s="519"/>
      <c r="HL153" s="519"/>
      <c r="HM153" s="519"/>
      <c r="HN153" s="519"/>
      <c r="HO153" s="519"/>
    </row>
    <row r="154" spans="1:227" s="499" customFormat="1" hidden="1" outlineLevel="1">
      <c r="A154" s="494"/>
      <c r="B154" s="494"/>
      <c r="C154" s="494" t="s">
        <v>482</v>
      </c>
      <c r="E154" s="494"/>
      <c r="F154" s="494"/>
      <c r="G154" s="494"/>
      <c r="H154" s="494"/>
      <c r="I154" s="494"/>
      <c r="J154" s="494"/>
      <c r="K154" s="494"/>
      <c r="L154" s="494"/>
      <c r="M154" s="494"/>
      <c r="N154" s="494"/>
      <c r="O154" s="494"/>
      <c r="P154" s="494"/>
      <c r="Q154" s="494"/>
      <c r="R154" s="494"/>
      <c r="S154" s="494"/>
      <c r="T154" s="494"/>
      <c r="U154" s="494"/>
      <c r="V154" s="494"/>
      <c r="W154" s="494"/>
      <c r="X154" s="494"/>
      <c r="Y154" s="494"/>
      <c r="Z154" s="494"/>
      <c r="AA154" s="494"/>
      <c r="AB154" s="494"/>
      <c r="AC154" s="494"/>
      <c r="AD154" s="494"/>
      <c r="AE154" s="494"/>
      <c r="AF154" s="494"/>
      <c r="AG154" s="494"/>
      <c r="AH154" s="494"/>
      <c r="AI154" s="494"/>
      <c r="AJ154" s="494"/>
      <c r="AK154" s="494"/>
      <c r="AL154" s="494"/>
      <c r="AM154" s="494"/>
      <c r="AN154" s="494"/>
      <c r="AO154" s="494"/>
      <c r="AP154" s="494"/>
      <c r="AQ154" s="494"/>
      <c r="AR154" s="494"/>
      <c r="AS154" s="494"/>
      <c r="AT154" s="494"/>
      <c r="AU154" s="494"/>
      <c r="AV154" s="494"/>
      <c r="AW154" s="494"/>
      <c r="AX154" s="494"/>
      <c r="AY154" s="494"/>
      <c r="AZ154" s="494"/>
      <c r="BA154" s="494"/>
      <c r="BB154" s="494"/>
      <c r="BC154" s="494"/>
      <c r="BD154" s="494"/>
      <c r="BE154" s="494"/>
      <c r="BF154" s="494"/>
      <c r="BG154" s="494"/>
      <c r="BH154" s="494"/>
      <c r="BI154" s="494"/>
      <c r="BJ154" s="494"/>
      <c r="BK154" s="494"/>
      <c r="BL154" s="494"/>
      <c r="BM154" s="494"/>
      <c r="BN154" s="494"/>
      <c r="BO154" s="494"/>
      <c r="BP154" s="494"/>
      <c r="BQ154" s="494"/>
      <c r="BR154" s="494"/>
      <c r="BS154" s="494"/>
      <c r="BT154" s="494"/>
      <c r="BU154" s="494"/>
      <c r="BV154" s="494"/>
      <c r="BW154" s="494"/>
      <c r="BX154" s="494"/>
      <c r="BY154" s="494"/>
      <c r="BZ154" s="494"/>
      <c r="CA154" s="494"/>
      <c r="CB154" s="494"/>
      <c r="CC154" s="494"/>
      <c r="CD154" s="494"/>
      <c r="CE154" s="494"/>
      <c r="CF154" s="494"/>
      <c r="CG154" s="494"/>
      <c r="CH154" s="494"/>
      <c r="CI154" s="494"/>
      <c r="CJ154" s="494"/>
      <c r="CK154" s="494"/>
      <c r="CL154" s="494"/>
      <c r="CM154" s="494"/>
      <c r="CN154" s="494"/>
      <c r="CO154" s="494"/>
      <c r="CP154" s="494"/>
      <c r="CQ154" s="494"/>
      <c r="CR154" s="494"/>
      <c r="CS154" s="494"/>
      <c r="CT154" s="494"/>
      <c r="CU154" s="494"/>
      <c r="CV154" s="494"/>
      <c r="CW154" s="494"/>
      <c r="CX154" s="494"/>
      <c r="CY154" s="494"/>
      <c r="CZ154" s="494"/>
      <c r="DA154" s="494"/>
      <c r="DB154" s="494"/>
      <c r="DC154" s="494"/>
      <c r="DD154" s="494"/>
      <c r="DE154" s="494"/>
      <c r="DF154" s="494"/>
      <c r="DG154" s="494"/>
      <c r="DH154" s="494">
        <v>0.03</v>
      </c>
      <c r="DI154" s="494">
        <v>0.05</v>
      </c>
      <c r="DJ154" s="494">
        <v>0.05</v>
      </c>
      <c r="DK154" s="494">
        <v>0.06</v>
      </c>
      <c r="DL154" s="494">
        <v>0.2</v>
      </c>
      <c r="DM154" s="494"/>
      <c r="DN154" s="494">
        <v>7.0000000000000007E-2</v>
      </c>
      <c r="DO154" s="494">
        <v>7.0000000000000007E-2</v>
      </c>
      <c r="DP154" s="494">
        <v>7.0000000000000007E-2</v>
      </c>
      <c r="DQ154" s="494">
        <v>0.1</v>
      </c>
      <c r="DR154" s="494">
        <v>0.31</v>
      </c>
      <c r="DS154" s="494"/>
      <c r="DT154" s="494">
        <v>-0.02</v>
      </c>
      <c r="DU154" s="494">
        <v>-0.04</v>
      </c>
      <c r="DV154" s="494">
        <v>0.06</v>
      </c>
      <c r="DW154" s="494">
        <v>0.14000000000000001</v>
      </c>
      <c r="DX154" s="494">
        <v>0.15</v>
      </c>
      <c r="DY154" s="494"/>
      <c r="DZ154" s="498">
        <v>-0.04</v>
      </c>
      <c r="EA154" s="498">
        <v>-0.01</v>
      </c>
      <c r="EB154" s="498">
        <v>-0.08</v>
      </c>
      <c r="EC154" s="498">
        <v>-0.14000000000000001</v>
      </c>
      <c r="ED154" s="498">
        <v>-0.27</v>
      </c>
      <c r="EF154" s="498">
        <v>-0.2</v>
      </c>
      <c r="EG154" s="498">
        <v>-0.16</v>
      </c>
      <c r="EH154" s="498">
        <v>-0.14000000000000001</v>
      </c>
      <c r="EI154" s="498">
        <v>-0.06</v>
      </c>
      <c r="EJ154" s="498">
        <v>-0.56000000000000005</v>
      </c>
      <c r="EL154" s="498">
        <v>-0.09</v>
      </c>
      <c r="EM154" s="498">
        <v>-0.05</v>
      </c>
      <c r="EN154" s="498">
        <v>0</v>
      </c>
      <c r="EO154" s="498">
        <v>0.03</v>
      </c>
      <c r="EP154" s="498">
        <v>-0.12</v>
      </c>
      <c r="EQ154" s="494"/>
      <c r="ER154" s="498">
        <v>-0.02</v>
      </c>
      <c r="ES154" s="494"/>
      <c r="ET154" s="494"/>
      <c r="EU154" s="494"/>
      <c r="EV154" s="494"/>
      <c r="EW154" s="494"/>
      <c r="EX154" s="494"/>
      <c r="EY154" s="494"/>
      <c r="EZ154" s="494"/>
      <c r="FA154" s="494"/>
      <c r="FB154" s="494"/>
      <c r="FC154" s="494"/>
      <c r="FD154" s="494"/>
      <c r="FE154" s="494"/>
      <c r="FF154" s="494"/>
      <c r="FG154" s="494"/>
      <c r="FH154" s="494"/>
      <c r="FI154" s="494"/>
      <c r="FJ154" s="494"/>
      <c r="FK154" s="494"/>
      <c r="FL154" s="494"/>
      <c r="FM154" s="494"/>
      <c r="FN154" s="494"/>
      <c r="FO154" s="494"/>
      <c r="FP154" s="494"/>
      <c r="FQ154" s="494"/>
      <c r="FR154" s="494"/>
      <c r="FS154" s="494"/>
      <c r="FT154" s="494"/>
      <c r="FU154" s="494"/>
      <c r="FV154" s="494"/>
      <c r="FW154" s="494"/>
      <c r="FX154" s="494"/>
      <c r="FY154" s="494"/>
      <c r="FZ154" s="494"/>
      <c r="GA154" s="494"/>
      <c r="GB154" s="494"/>
      <c r="GC154" s="494"/>
      <c r="GD154" s="494"/>
      <c r="GE154" s="494"/>
      <c r="GF154" s="494"/>
      <c r="GG154" s="494"/>
      <c r="GH154" s="494"/>
      <c r="GI154" s="494"/>
      <c r="GJ154" s="494"/>
      <c r="GK154" s="494"/>
      <c r="GL154" s="494"/>
      <c r="GM154" s="494"/>
      <c r="GN154" s="494"/>
      <c r="GO154" s="494"/>
      <c r="GP154" s="494"/>
      <c r="GQ154" s="494"/>
      <c r="GR154" s="494"/>
      <c r="GS154" s="494"/>
      <c r="GT154" s="494"/>
      <c r="GU154" s="494"/>
      <c r="GV154" s="494"/>
      <c r="GW154" s="494"/>
      <c r="GX154" s="494"/>
      <c r="GY154" s="494"/>
      <c r="GZ154" s="494"/>
      <c r="HA154" s="494"/>
      <c r="HB154" s="494"/>
      <c r="HC154" s="494"/>
      <c r="HD154" s="494"/>
      <c r="HE154" s="494"/>
      <c r="HH154" s="519"/>
      <c r="HI154" s="519"/>
      <c r="HJ154" s="519"/>
      <c r="HK154" s="519"/>
      <c r="HL154" s="519"/>
      <c r="HM154" s="519"/>
      <c r="HN154" s="519"/>
      <c r="HO154" s="519"/>
    </row>
    <row r="155" spans="1:227" s="499" customFormat="1" hidden="1" outlineLevel="1">
      <c r="A155" s="494"/>
      <c r="B155" s="494"/>
      <c r="C155" s="494"/>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c r="AA155" s="494"/>
      <c r="AB155" s="494"/>
      <c r="AC155" s="494"/>
      <c r="AD155" s="494"/>
      <c r="AE155" s="494"/>
      <c r="AF155" s="494"/>
      <c r="AG155" s="494"/>
      <c r="AH155" s="494"/>
      <c r="AI155" s="494"/>
      <c r="AJ155" s="494"/>
      <c r="AK155" s="494"/>
      <c r="AL155" s="494"/>
      <c r="AM155" s="494"/>
      <c r="AN155" s="494"/>
      <c r="AO155" s="494"/>
      <c r="AP155" s="494"/>
      <c r="AQ155" s="494"/>
      <c r="AR155" s="494"/>
      <c r="AS155" s="494"/>
      <c r="AT155" s="494"/>
      <c r="AU155" s="494"/>
      <c r="AV155" s="494"/>
      <c r="AW155" s="494"/>
      <c r="AX155" s="494"/>
      <c r="AY155" s="494"/>
      <c r="AZ155" s="494"/>
      <c r="BA155" s="494"/>
      <c r="BB155" s="494"/>
      <c r="BC155" s="494"/>
      <c r="BD155" s="494"/>
      <c r="BE155" s="494"/>
      <c r="BF155" s="494"/>
      <c r="BG155" s="494"/>
      <c r="BH155" s="494"/>
      <c r="BI155" s="494"/>
      <c r="BJ155" s="494"/>
      <c r="BK155" s="494"/>
      <c r="BL155" s="494"/>
      <c r="BM155" s="494"/>
      <c r="BN155" s="494"/>
      <c r="BO155" s="494"/>
      <c r="BP155" s="494"/>
      <c r="BQ155" s="494"/>
      <c r="BR155" s="494"/>
      <c r="BS155" s="494"/>
      <c r="BT155" s="494"/>
      <c r="BU155" s="494"/>
      <c r="BV155" s="494"/>
      <c r="BW155" s="494"/>
      <c r="BX155" s="494"/>
      <c r="BY155" s="494"/>
      <c r="BZ155" s="494"/>
      <c r="CA155" s="494"/>
      <c r="CB155" s="494"/>
      <c r="CC155" s="494"/>
      <c r="CD155" s="494"/>
      <c r="CE155" s="494"/>
      <c r="CF155" s="494"/>
      <c r="CG155" s="494"/>
      <c r="CH155" s="494"/>
      <c r="CI155" s="494"/>
      <c r="CJ155" s="494"/>
      <c r="CK155" s="494"/>
      <c r="CL155" s="494"/>
      <c r="CM155" s="494"/>
      <c r="CN155" s="494"/>
      <c r="CO155" s="494"/>
      <c r="CP155" s="494"/>
      <c r="CQ155" s="494"/>
      <c r="CR155" s="494"/>
      <c r="CS155" s="494"/>
      <c r="CT155" s="494"/>
      <c r="CU155" s="494"/>
      <c r="CV155" s="494"/>
      <c r="CW155" s="494"/>
      <c r="CX155" s="494"/>
      <c r="CY155" s="494"/>
      <c r="CZ155" s="494"/>
      <c r="DA155" s="494"/>
      <c r="DB155" s="494"/>
      <c r="DC155" s="494"/>
      <c r="DD155" s="494"/>
      <c r="DE155" s="494"/>
      <c r="DF155" s="494"/>
      <c r="DG155" s="494"/>
      <c r="DH155" s="494"/>
      <c r="DI155" s="494"/>
      <c r="DJ155" s="494"/>
      <c r="DK155" s="494"/>
      <c r="DL155" s="494"/>
      <c r="DM155" s="494"/>
      <c r="DN155" s="494"/>
      <c r="DO155" s="494"/>
      <c r="DP155" s="494"/>
      <c r="DQ155" s="494"/>
      <c r="DR155" s="494"/>
      <c r="DS155" s="494"/>
      <c r="DT155" s="494"/>
      <c r="DU155" s="494"/>
      <c r="DV155" s="494"/>
      <c r="DW155" s="494"/>
      <c r="DX155" s="494"/>
      <c r="DY155" s="494"/>
      <c r="DZ155" s="498"/>
      <c r="EA155" s="498"/>
      <c r="EB155" s="498"/>
      <c r="EC155" s="498"/>
      <c r="ED155" s="498"/>
      <c r="EF155" s="498"/>
      <c r="EG155" s="498"/>
      <c r="EH155" s="498"/>
      <c r="EI155" s="498"/>
      <c r="EJ155" s="498"/>
      <c r="EL155" s="498"/>
      <c r="EM155" s="498"/>
      <c r="EN155" s="498"/>
      <c r="EO155" s="498"/>
      <c r="EP155" s="498"/>
      <c r="EQ155" s="494"/>
      <c r="ER155" s="498"/>
      <c r="ES155" s="494"/>
      <c r="ET155" s="494"/>
      <c r="EU155" s="494"/>
      <c r="EV155" s="494"/>
      <c r="EW155" s="494"/>
      <c r="EX155" s="494"/>
      <c r="EY155" s="494"/>
      <c r="EZ155" s="494"/>
      <c r="FA155" s="494"/>
      <c r="FB155" s="494"/>
      <c r="FC155" s="494"/>
      <c r="FD155" s="494"/>
      <c r="FE155" s="494"/>
      <c r="FF155" s="494"/>
      <c r="FG155" s="494"/>
      <c r="FH155" s="494"/>
      <c r="FI155" s="494"/>
      <c r="FJ155" s="494"/>
      <c r="FK155" s="494"/>
      <c r="FL155" s="494"/>
      <c r="FM155" s="494"/>
      <c r="FN155" s="494"/>
      <c r="FO155" s="494"/>
      <c r="FP155" s="494"/>
      <c r="FQ155" s="494"/>
      <c r="FR155" s="494"/>
      <c r="FS155" s="494"/>
      <c r="FT155" s="494"/>
      <c r="FU155" s="494"/>
      <c r="FV155" s="494"/>
      <c r="FW155" s="494"/>
      <c r="FX155" s="494"/>
      <c r="FY155" s="494"/>
      <c r="FZ155" s="494"/>
      <c r="GA155" s="494"/>
      <c r="GB155" s="494"/>
      <c r="GC155" s="494"/>
      <c r="GD155" s="494"/>
      <c r="GE155" s="494"/>
      <c r="GF155" s="494"/>
      <c r="GG155" s="494"/>
      <c r="GH155" s="494"/>
      <c r="GI155" s="494"/>
      <c r="GJ155" s="494"/>
      <c r="GK155" s="494"/>
      <c r="GL155" s="494"/>
      <c r="GM155" s="494"/>
      <c r="GN155" s="494"/>
      <c r="GO155" s="494"/>
      <c r="GP155" s="494"/>
      <c r="GQ155" s="494"/>
      <c r="GR155" s="494"/>
      <c r="GS155" s="494"/>
      <c r="GT155" s="494"/>
      <c r="GU155" s="494"/>
      <c r="GV155" s="494"/>
      <c r="GW155" s="494"/>
      <c r="GX155" s="494"/>
      <c r="GY155" s="494"/>
      <c r="GZ155" s="494"/>
      <c r="HA155" s="494"/>
      <c r="HB155" s="494"/>
      <c r="HC155" s="494"/>
      <c r="HD155" s="494"/>
      <c r="HE155" s="494"/>
      <c r="HH155" s="519"/>
      <c r="HI155" s="519"/>
      <c r="HJ155" s="519"/>
      <c r="HK155" s="519"/>
      <c r="HL155" s="519"/>
      <c r="HM155" s="519"/>
      <c r="HN155" s="519"/>
      <c r="HO155" s="519"/>
    </row>
    <row r="156" spans="1:227" s="497" customFormat="1" hidden="1" outlineLevel="1">
      <c r="A156" s="494"/>
      <c r="B156" s="494"/>
      <c r="C156" s="494"/>
      <c r="E156" s="494"/>
      <c r="F156" s="494"/>
      <c r="G156" s="494"/>
      <c r="H156" s="494"/>
      <c r="I156" s="494"/>
      <c r="J156" s="494"/>
      <c r="K156" s="494"/>
      <c r="L156" s="494"/>
      <c r="M156" s="494"/>
      <c r="N156" s="494"/>
      <c r="O156" s="494"/>
      <c r="P156" s="494"/>
      <c r="Q156" s="494"/>
      <c r="R156" s="494"/>
      <c r="S156" s="494"/>
      <c r="T156" s="494"/>
      <c r="U156" s="494"/>
      <c r="V156" s="494"/>
      <c r="W156" s="494"/>
      <c r="X156" s="494"/>
      <c r="Y156" s="494"/>
      <c r="Z156" s="494"/>
      <c r="AA156" s="494"/>
      <c r="AB156" s="494"/>
      <c r="AC156" s="494"/>
      <c r="AD156" s="494"/>
      <c r="AE156" s="494"/>
      <c r="AF156" s="494"/>
      <c r="AG156" s="494"/>
      <c r="AH156" s="494"/>
      <c r="AI156" s="494"/>
      <c r="AJ156" s="494"/>
      <c r="AK156" s="494"/>
      <c r="AL156" s="494"/>
      <c r="AM156" s="494"/>
      <c r="AN156" s="494"/>
      <c r="AO156" s="494"/>
      <c r="AP156" s="494"/>
      <c r="AQ156" s="494"/>
      <c r="AR156" s="494"/>
      <c r="AS156" s="494"/>
      <c r="AT156" s="494"/>
      <c r="AU156" s="494"/>
      <c r="AV156" s="494"/>
      <c r="AW156" s="494"/>
      <c r="AX156" s="494"/>
      <c r="AY156" s="494"/>
      <c r="AZ156" s="494"/>
      <c r="BA156" s="494"/>
      <c r="BB156" s="494"/>
      <c r="BC156" s="494"/>
      <c r="BD156" s="494"/>
      <c r="BE156" s="494"/>
      <c r="BF156" s="494"/>
      <c r="BG156" s="494"/>
      <c r="BH156" s="494"/>
      <c r="BI156" s="494"/>
      <c r="BJ156" s="494"/>
      <c r="BK156" s="494"/>
      <c r="BL156" s="494"/>
      <c r="BM156" s="494"/>
      <c r="BN156" s="494"/>
      <c r="BO156" s="494"/>
      <c r="BP156" s="494"/>
      <c r="BQ156" s="494"/>
      <c r="BR156" s="494"/>
      <c r="BS156" s="494"/>
      <c r="BT156" s="494"/>
      <c r="BU156" s="494"/>
      <c r="BV156" s="494"/>
      <c r="BW156" s="494"/>
      <c r="BX156" s="494"/>
      <c r="BY156" s="494"/>
      <c r="BZ156" s="494"/>
      <c r="CA156" s="494"/>
      <c r="CB156" s="494"/>
      <c r="CC156" s="494"/>
      <c r="CD156" s="494"/>
      <c r="CE156" s="494"/>
      <c r="CF156" s="494"/>
      <c r="CG156" s="494"/>
      <c r="CH156" s="494"/>
      <c r="CI156" s="494"/>
      <c r="CJ156" s="494"/>
      <c r="CK156" s="494"/>
      <c r="CL156" s="494"/>
      <c r="CM156" s="494"/>
      <c r="CN156" s="494"/>
      <c r="CO156" s="494"/>
      <c r="CP156" s="494"/>
      <c r="CQ156" s="494"/>
      <c r="CR156" s="494"/>
      <c r="CS156" s="494"/>
      <c r="CT156" s="494"/>
      <c r="CU156" s="494"/>
      <c r="CV156" s="494"/>
      <c r="CW156" s="494"/>
      <c r="CX156" s="494"/>
      <c r="CY156" s="494"/>
      <c r="CZ156" s="494"/>
      <c r="DA156" s="494"/>
      <c r="DB156" s="494"/>
      <c r="DC156" s="494"/>
      <c r="DD156" s="494"/>
      <c r="DE156" s="494"/>
      <c r="DF156" s="494"/>
      <c r="DG156" s="494"/>
      <c r="DH156" s="495"/>
      <c r="DI156" s="495"/>
      <c r="DJ156" s="495"/>
      <c r="DK156" s="495"/>
      <c r="DL156" s="495"/>
      <c r="DM156" s="495"/>
      <c r="DN156" s="495"/>
      <c r="DO156" s="495"/>
      <c r="DP156" s="495"/>
      <c r="DQ156" s="495"/>
      <c r="DR156" s="495"/>
      <c r="DS156" s="495"/>
      <c r="DT156" s="495"/>
      <c r="DU156" s="495"/>
      <c r="DV156" s="495"/>
      <c r="DW156" s="495"/>
      <c r="DX156" s="495"/>
      <c r="DY156" s="495"/>
      <c r="DZ156" s="498"/>
      <c r="EA156" s="498"/>
      <c r="EB156" s="498"/>
      <c r="EC156" s="498"/>
      <c r="ED156" s="498"/>
      <c r="EF156" s="498"/>
      <c r="EG156" s="498"/>
      <c r="EH156" s="498"/>
      <c r="EI156" s="498"/>
      <c r="EJ156" s="498"/>
      <c r="EL156" s="498"/>
      <c r="EM156" s="498"/>
      <c r="EN156" s="498"/>
      <c r="EO156" s="498"/>
      <c r="EP156" s="498"/>
      <c r="EQ156" s="495"/>
      <c r="ER156" s="498"/>
      <c r="ES156" s="495"/>
      <c r="ET156" s="495"/>
      <c r="EU156" s="495"/>
      <c r="EV156" s="495"/>
      <c r="EW156" s="494"/>
      <c r="EX156" s="494"/>
      <c r="EY156" s="494"/>
      <c r="EZ156" s="494"/>
      <c r="FA156" s="494"/>
      <c r="FB156" s="494"/>
      <c r="FC156" s="494"/>
      <c r="FD156" s="494"/>
      <c r="FE156" s="494"/>
      <c r="FF156" s="494"/>
      <c r="FG156" s="494"/>
      <c r="FH156" s="494"/>
      <c r="FI156" s="494"/>
      <c r="FJ156" s="494"/>
      <c r="FK156" s="494"/>
      <c r="FL156" s="494"/>
      <c r="FM156" s="494"/>
      <c r="FN156" s="494"/>
      <c r="FO156" s="494"/>
      <c r="FP156" s="494"/>
      <c r="FQ156" s="494"/>
      <c r="FR156" s="494"/>
      <c r="FS156" s="494"/>
      <c r="FT156" s="494"/>
      <c r="FU156" s="494"/>
      <c r="FV156" s="494"/>
      <c r="FW156" s="494"/>
      <c r="FX156" s="494"/>
      <c r="FY156" s="494"/>
      <c r="FZ156" s="494"/>
      <c r="GA156" s="494"/>
      <c r="GB156" s="494"/>
      <c r="GC156" s="494"/>
      <c r="GD156" s="494"/>
      <c r="GE156" s="494"/>
      <c r="GF156" s="494"/>
      <c r="GG156" s="494"/>
      <c r="GH156" s="494"/>
      <c r="GI156" s="494"/>
      <c r="GJ156" s="494"/>
      <c r="GK156" s="494"/>
      <c r="GL156" s="494"/>
      <c r="GM156" s="494"/>
      <c r="GN156" s="494"/>
      <c r="GO156" s="494"/>
      <c r="GP156" s="494"/>
      <c r="GQ156" s="494"/>
      <c r="GR156" s="494"/>
      <c r="GS156" s="494"/>
      <c r="GT156" s="494"/>
      <c r="GU156" s="494"/>
      <c r="GV156" s="494"/>
      <c r="GW156" s="494"/>
      <c r="GX156" s="494"/>
      <c r="GY156" s="494"/>
      <c r="GZ156" s="494"/>
      <c r="HA156" s="494"/>
      <c r="HB156" s="494"/>
      <c r="HC156" s="494"/>
      <c r="HD156" s="494"/>
      <c r="HE156" s="494"/>
      <c r="HH156" s="519"/>
      <c r="HI156" s="519"/>
      <c r="HJ156" s="519"/>
      <c r="HK156" s="519"/>
      <c r="HL156" s="519"/>
      <c r="HM156" s="519"/>
      <c r="HN156" s="519"/>
      <c r="HO156" s="519"/>
    </row>
    <row r="157" spans="1:227" s="539" customFormat="1" hidden="1" outlineLevel="1">
      <c r="A157" s="538"/>
      <c r="B157" s="538"/>
      <c r="C157" s="538" t="s">
        <v>29</v>
      </c>
      <c r="D157" s="538"/>
      <c r="E157" s="538"/>
      <c r="F157" s="538"/>
      <c r="G157" s="538"/>
      <c r="H157" s="538"/>
      <c r="I157" s="538"/>
      <c r="J157" s="538"/>
      <c r="K157" s="538"/>
      <c r="L157" s="538"/>
      <c r="M157" s="538"/>
      <c r="N157" s="538"/>
      <c r="O157" s="538"/>
      <c r="P157" s="538"/>
      <c r="Q157" s="538"/>
      <c r="R157" s="538"/>
      <c r="S157" s="538"/>
      <c r="T157" s="538"/>
      <c r="U157" s="538"/>
      <c r="V157" s="538"/>
      <c r="W157" s="538"/>
      <c r="X157" s="538"/>
      <c r="Y157" s="538"/>
      <c r="Z157" s="538"/>
      <c r="AA157" s="538"/>
      <c r="AB157" s="538"/>
      <c r="AC157" s="538"/>
      <c r="AD157" s="538"/>
      <c r="AE157" s="538"/>
      <c r="AF157" s="538"/>
      <c r="AG157" s="538"/>
      <c r="AH157" s="538"/>
      <c r="AI157" s="538"/>
      <c r="AJ157" s="538"/>
      <c r="AK157" s="538"/>
      <c r="AL157" s="538"/>
      <c r="AM157" s="538"/>
      <c r="AN157" s="538"/>
      <c r="AO157" s="538"/>
      <c r="AP157" s="538"/>
      <c r="AQ157" s="538"/>
      <c r="AR157" s="538"/>
      <c r="AS157" s="538"/>
      <c r="AT157" s="538"/>
      <c r="AU157" s="538"/>
      <c r="AV157" s="538"/>
      <c r="AW157" s="538"/>
      <c r="AX157" s="538"/>
      <c r="AY157" s="538"/>
      <c r="AZ157" s="538"/>
      <c r="BA157" s="538"/>
      <c r="BB157" s="538"/>
      <c r="BC157" s="538"/>
      <c r="BD157" s="538"/>
      <c r="BE157" s="538"/>
      <c r="BF157" s="538"/>
      <c r="BG157" s="538"/>
      <c r="BH157" s="538"/>
      <c r="BI157" s="538"/>
      <c r="BJ157" s="538"/>
      <c r="BK157" s="538"/>
      <c r="BL157" s="538"/>
      <c r="BM157" s="538"/>
      <c r="BN157" s="538"/>
      <c r="BO157" s="538"/>
      <c r="BP157" s="538"/>
      <c r="BQ157" s="538"/>
      <c r="BR157" s="538"/>
      <c r="BS157" s="538"/>
      <c r="BT157" s="538"/>
      <c r="BU157" s="538"/>
      <c r="BV157" s="538"/>
      <c r="BW157" s="538"/>
      <c r="BX157" s="538"/>
      <c r="BY157" s="538"/>
      <c r="BZ157" s="538"/>
      <c r="CA157" s="538"/>
      <c r="CB157" s="538"/>
      <c r="CC157" s="538"/>
      <c r="CD157" s="538"/>
      <c r="CE157" s="538"/>
      <c r="CF157" s="538"/>
      <c r="CG157" s="538"/>
      <c r="CH157" s="538"/>
      <c r="CI157" s="538"/>
      <c r="CJ157" s="538"/>
      <c r="CK157" s="538"/>
      <c r="CL157" s="538"/>
      <c r="CM157" s="538"/>
      <c r="CN157" s="538"/>
      <c r="CO157" s="538"/>
      <c r="CP157" s="538"/>
      <c r="CQ157" s="538"/>
      <c r="CR157" s="538"/>
      <c r="CS157" s="538"/>
      <c r="CT157" s="538"/>
      <c r="CU157" s="538"/>
      <c r="CV157" s="538"/>
      <c r="CW157" s="538"/>
      <c r="CX157" s="538"/>
      <c r="CY157" s="538"/>
      <c r="CZ157" s="538"/>
      <c r="DA157" s="538"/>
      <c r="DB157" s="538"/>
      <c r="DC157" s="538"/>
      <c r="DD157" s="538"/>
      <c r="DE157" s="538"/>
      <c r="DF157" s="538"/>
      <c r="DG157" s="538"/>
      <c r="DH157" s="538">
        <f>DH62-DH151</f>
        <v>1.144000000000005</v>
      </c>
      <c r="DI157" s="538">
        <f>DI62-DI151</f>
        <v>0</v>
      </c>
      <c r="DJ157" s="538">
        <f>DJ62-DJ151</f>
        <v>0</v>
      </c>
      <c r="DK157" s="538">
        <f>DK62-DK151</f>
        <v>0</v>
      </c>
      <c r="DL157" s="538">
        <f>DL62-DL151</f>
        <v>0.31200000000000827</v>
      </c>
      <c r="DM157" s="538"/>
      <c r="DN157" s="538">
        <f>DN62-DN151</f>
        <v>0.53699999999999193</v>
      </c>
      <c r="DO157" s="538">
        <f>DO62-DO151</f>
        <v>-9.7699626167013776E-15</v>
      </c>
      <c r="DP157" s="538">
        <f>DP62-DP151</f>
        <v>0</v>
      </c>
      <c r="DQ157" s="538">
        <f>DQ62-DQ151</f>
        <v>0</v>
      </c>
      <c r="DR157" s="538">
        <f>DR62-DR151</f>
        <v>0.53599999999998005</v>
      </c>
      <c r="DS157" s="538"/>
      <c r="DT157" s="538">
        <f>DT62-DT151</f>
        <v>0</v>
      </c>
      <c r="DU157" s="538">
        <f>DU62-DU151</f>
        <v>1.1546319456101628E-14</v>
      </c>
      <c r="DV157" s="538">
        <f>DV62-DV151</f>
        <v>0</v>
      </c>
      <c r="DW157" s="538">
        <f>DW62-DW151</f>
        <v>0</v>
      </c>
      <c r="DX157" s="538">
        <f>DX62-DX151</f>
        <v>6.7501559897209518E-14</v>
      </c>
      <c r="DY157" s="538"/>
      <c r="DZ157" s="538">
        <f>DZ62-DZ151</f>
        <v>0</v>
      </c>
      <c r="EA157" s="538">
        <f>EA62-EA151</f>
        <v>2.0095036745715333E-14</v>
      </c>
      <c r="EB157" s="538">
        <f>EB62-EB151</f>
        <v>0</v>
      </c>
      <c r="EC157" s="538">
        <f>EC62-EC151</f>
        <v>0</v>
      </c>
      <c r="ED157" s="538">
        <f>ED62-ED151</f>
        <v>-1.0000000000331966E-3</v>
      </c>
      <c r="EE157" s="538"/>
      <c r="EF157" s="538">
        <f>EF62-EF151</f>
        <v>0</v>
      </c>
      <c r="EG157" s="538">
        <f>EG62-EG151</f>
        <v>0</v>
      </c>
      <c r="EH157" s="538">
        <f>EH62-EH151</f>
        <v>0</v>
      </c>
      <c r="EI157" s="538">
        <f>EI62-EI151</f>
        <v>2.1316282072803006E-14</v>
      </c>
      <c r="EJ157" s="538">
        <f>EJ62-EJ151</f>
        <v>0</v>
      </c>
      <c r="EK157" s="538"/>
      <c r="EL157" s="538">
        <f>EL62-EL151</f>
        <v>0</v>
      </c>
      <c r="EM157" s="538">
        <f>EM62-EM151</f>
        <v>0</v>
      </c>
      <c r="EN157" s="538">
        <f>EN62-EN151</f>
        <v>-5.5511151231257827E-16</v>
      </c>
      <c r="EO157" s="538">
        <f>EO62-EO151</f>
        <v>0</v>
      </c>
      <c r="EP157" s="538">
        <f>EP62-EP151</f>
        <v>-8.5265128291212022E-14</v>
      </c>
      <c r="EQ157" s="538"/>
      <c r="ER157" s="538">
        <f>ER62-ER151</f>
        <v>8.4376949871511897E-15</v>
      </c>
      <c r="ES157" s="538"/>
      <c r="ET157" s="538"/>
      <c r="EU157" s="538"/>
      <c r="EV157" s="538"/>
      <c r="EW157" s="538"/>
      <c r="EX157" s="837"/>
      <c r="EY157" s="538"/>
      <c r="EZ157" s="538"/>
      <c r="FA157" s="837"/>
      <c r="FB157" s="538"/>
      <c r="FC157" s="538"/>
      <c r="FD157" s="538"/>
      <c r="FE157" s="538"/>
      <c r="FF157" s="538"/>
      <c r="FG157" s="538"/>
      <c r="FH157" s="538"/>
      <c r="FI157" s="538"/>
      <c r="FJ157" s="538"/>
      <c r="FK157" s="538"/>
      <c r="FL157" s="538"/>
      <c r="FM157" s="538"/>
      <c r="FN157" s="538"/>
      <c r="FO157" s="538"/>
      <c r="FP157" s="538"/>
      <c r="FQ157" s="538"/>
      <c r="FR157" s="538"/>
      <c r="FS157" s="538"/>
      <c r="FT157" s="538"/>
      <c r="FU157" s="538"/>
      <c r="FV157" s="538"/>
      <c r="FW157" s="538"/>
      <c r="FX157" s="538"/>
      <c r="FY157" s="538"/>
      <c r="FZ157" s="538"/>
      <c r="GA157" s="538"/>
      <c r="GB157" s="538"/>
      <c r="GC157" s="538"/>
      <c r="GD157" s="538"/>
      <c r="GE157" s="538"/>
      <c r="GF157" s="538"/>
      <c r="GG157" s="538"/>
      <c r="GH157" s="538"/>
      <c r="GI157" s="538"/>
      <c r="GJ157" s="538"/>
      <c r="GK157" s="538"/>
      <c r="GL157" s="538"/>
      <c r="GM157" s="538"/>
      <c r="GN157" s="538"/>
      <c r="GO157" s="538"/>
      <c r="GP157" s="538"/>
      <c r="GQ157" s="538"/>
      <c r="GR157" s="538"/>
      <c r="GS157" s="538"/>
      <c r="GT157" s="538"/>
      <c r="GU157" s="538"/>
      <c r="GV157" s="538"/>
      <c r="GW157" s="538"/>
      <c r="GX157" s="538"/>
      <c r="GY157" s="538"/>
      <c r="GZ157" s="538"/>
      <c r="HA157" s="538"/>
      <c r="HB157" s="538"/>
      <c r="HC157" s="538"/>
      <c r="HD157" s="538"/>
      <c r="HE157" s="538"/>
    </row>
    <row r="158" spans="1:227" s="360" customFormat="1" hidden="1" outlineLevel="1">
      <c r="C158" s="538" t="s">
        <v>536</v>
      </c>
      <c r="DH158" s="538" t="e">
        <f>DH152-(DH22-#REF!)</f>
        <v>#REF!</v>
      </c>
      <c r="DI158" s="538" t="e">
        <f>DI152-(DI22-#REF!)</f>
        <v>#REF!</v>
      </c>
      <c r="DJ158" s="538" t="e">
        <f>DJ152-(DJ22-#REF!)</f>
        <v>#REF!</v>
      </c>
      <c r="DK158" s="538" t="e">
        <f>DK152-(DK22-#REF!)</f>
        <v>#REF!</v>
      </c>
      <c r="DL158" s="538" t="e">
        <f>DL152-(DL22-#REF!)</f>
        <v>#REF!</v>
      </c>
      <c r="DM158" s="538"/>
      <c r="DN158" s="538" t="e">
        <f>DN152-(DN22-#REF!)</f>
        <v>#REF!</v>
      </c>
      <c r="DO158" s="538" t="e">
        <f>DO152-(DO22-#REF!)</f>
        <v>#REF!</v>
      </c>
      <c r="DP158" s="538" t="e">
        <f>DP152-(DP22-#REF!)</f>
        <v>#REF!</v>
      </c>
      <c r="DQ158" s="538" t="e">
        <f>DQ152-(DQ22-#REF!)</f>
        <v>#REF!</v>
      </c>
      <c r="DR158" s="538" t="e">
        <f>DR152-(DR22-#REF!)</f>
        <v>#REF!</v>
      </c>
      <c r="DS158" s="538"/>
      <c r="DT158" s="538" t="e">
        <f>DT152-(DT22-#REF!)</f>
        <v>#REF!</v>
      </c>
      <c r="DU158" s="538" t="e">
        <f>DU152-(DU22-#REF!)</f>
        <v>#REF!</v>
      </c>
      <c r="DV158" s="538" t="e">
        <f>DV152-(DV22-#REF!)</f>
        <v>#REF!</v>
      </c>
      <c r="DW158" s="538" t="e">
        <f>DW152-(DW22-#REF!)</f>
        <v>#REF!</v>
      </c>
      <c r="DX158" s="538" t="e">
        <f>DX152-(DX22-#REF!)</f>
        <v>#REF!</v>
      </c>
      <c r="DY158" s="538"/>
      <c r="DZ158" s="538" t="e">
        <f>DZ152-(DZ22-#REF!)</f>
        <v>#REF!</v>
      </c>
      <c r="EA158" s="538" t="e">
        <f>EA152-(EA22-#REF!)</f>
        <v>#REF!</v>
      </c>
      <c r="EB158" s="538" t="e">
        <f>EB152-(EB22-#REF!)</f>
        <v>#REF!</v>
      </c>
      <c r="EC158" s="538" t="e">
        <f>EC152-(EC22-#REF!)</f>
        <v>#REF!</v>
      </c>
      <c r="ED158" s="538" t="e">
        <f>ED152-(ED22-#REF!)</f>
        <v>#REF!</v>
      </c>
      <c r="EE158" s="538"/>
      <c r="EF158" s="538" t="e">
        <f>EF152-(EF22-#REF!)</f>
        <v>#REF!</v>
      </c>
      <c r="EG158" s="538" t="e">
        <f>EG152-(EG22-#REF!)</f>
        <v>#REF!</v>
      </c>
      <c r="EH158" s="538" t="e">
        <f>EH152-(EH22-#REF!)</f>
        <v>#REF!</v>
      </c>
      <c r="EI158" s="538" t="e">
        <f>EI152-(EI22-#REF!)</f>
        <v>#REF!</v>
      </c>
      <c r="EJ158" s="538">
        <f>EJ152-EJ22</f>
        <v>0</v>
      </c>
      <c r="EK158" s="538"/>
      <c r="EL158" s="538" t="e">
        <f>EL152-(EL22-#REF!)</f>
        <v>#REF!</v>
      </c>
      <c r="EM158" s="538" t="e">
        <f>EM152-(EM22-#REF!)</f>
        <v>#REF!</v>
      </c>
      <c r="EN158" s="538" t="e">
        <f>EN152-(EN22-#REF!)</f>
        <v>#REF!</v>
      </c>
      <c r="EO158" s="538" t="e">
        <f>EO152-(EO22-#REF!)</f>
        <v>#REF!</v>
      </c>
      <c r="EP158" s="538">
        <f>EP152-EP22</f>
        <v>0</v>
      </c>
      <c r="EQ158" s="538"/>
      <c r="ER158" s="538" t="e">
        <f>ER152-(ER22-#REF!)</f>
        <v>#REF!</v>
      </c>
      <c r="EX158" s="709"/>
      <c r="FA158" s="709"/>
      <c r="FI158" s="540"/>
      <c r="FO158" s="540"/>
      <c r="HH158" s="541"/>
      <c r="HI158" s="541"/>
      <c r="HJ158" s="541"/>
      <c r="HK158" s="541"/>
      <c r="HL158" s="541"/>
      <c r="HM158" s="541"/>
      <c r="HN158" s="541"/>
      <c r="HO158" s="541"/>
    </row>
    <row r="159" spans="1:227" s="539" customFormat="1" hidden="1" outlineLevel="1">
      <c r="A159" s="538"/>
      <c r="B159" s="538"/>
      <c r="C159" s="538" t="s">
        <v>482</v>
      </c>
      <c r="D159" s="538"/>
      <c r="E159" s="538"/>
      <c r="F159" s="538"/>
      <c r="G159" s="538"/>
      <c r="H159" s="538"/>
      <c r="I159" s="538"/>
      <c r="J159" s="538"/>
      <c r="K159" s="538"/>
      <c r="L159" s="538"/>
      <c r="M159" s="538"/>
      <c r="N159" s="538"/>
      <c r="O159" s="538"/>
      <c r="P159" s="538"/>
      <c r="Q159" s="538"/>
      <c r="R159" s="538"/>
      <c r="S159" s="538"/>
      <c r="T159" s="538"/>
      <c r="U159" s="538"/>
      <c r="V159" s="538"/>
      <c r="W159" s="538"/>
      <c r="X159" s="538"/>
      <c r="Y159" s="538"/>
      <c r="Z159" s="538"/>
      <c r="AA159" s="538"/>
      <c r="AB159" s="538"/>
      <c r="AC159" s="538"/>
      <c r="AD159" s="538"/>
      <c r="AE159" s="538"/>
      <c r="AF159" s="538"/>
      <c r="AG159" s="538"/>
      <c r="AH159" s="538"/>
      <c r="AI159" s="538"/>
      <c r="AJ159" s="538"/>
      <c r="AK159" s="538"/>
      <c r="AL159" s="538"/>
      <c r="AM159" s="538"/>
      <c r="AN159" s="538"/>
      <c r="AO159" s="538"/>
      <c r="AP159" s="538"/>
      <c r="AQ159" s="538"/>
      <c r="AR159" s="538"/>
      <c r="AS159" s="538"/>
      <c r="AT159" s="538"/>
      <c r="AU159" s="538"/>
      <c r="AV159" s="538"/>
      <c r="AW159" s="538"/>
      <c r="AX159" s="538"/>
      <c r="AY159" s="538"/>
      <c r="AZ159" s="538"/>
      <c r="BA159" s="538"/>
      <c r="BB159" s="538"/>
      <c r="BC159" s="538"/>
      <c r="BD159" s="538"/>
      <c r="BE159" s="538"/>
      <c r="BF159" s="538"/>
      <c r="BG159" s="538"/>
      <c r="BH159" s="538"/>
      <c r="BI159" s="538"/>
      <c r="BJ159" s="538"/>
      <c r="BK159" s="538"/>
      <c r="BL159" s="538"/>
      <c r="BM159" s="538"/>
      <c r="BN159" s="538"/>
      <c r="BO159" s="538"/>
      <c r="BP159" s="538"/>
      <c r="BQ159" s="538"/>
      <c r="BR159" s="538"/>
      <c r="BS159" s="538"/>
      <c r="BT159" s="538"/>
      <c r="BU159" s="538"/>
      <c r="BV159" s="538"/>
      <c r="BW159" s="538"/>
      <c r="BX159" s="538"/>
      <c r="BY159" s="538"/>
      <c r="BZ159" s="538"/>
      <c r="CA159" s="538"/>
      <c r="CB159" s="538"/>
      <c r="CC159" s="538"/>
      <c r="CD159" s="538"/>
      <c r="CE159" s="538"/>
      <c r="CF159" s="538"/>
      <c r="CG159" s="538"/>
      <c r="CH159" s="538"/>
      <c r="CI159" s="538"/>
      <c r="CJ159" s="538"/>
      <c r="CK159" s="538"/>
      <c r="CL159" s="538"/>
      <c r="CM159" s="538"/>
      <c r="CN159" s="538"/>
      <c r="CO159" s="538"/>
      <c r="CP159" s="538"/>
      <c r="CQ159" s="538"/>
      <c r="CR159" s="538"/>
      <c r="CS159" s="538"/>
      <c r="CT159" s="538"/>
      <c r="CU159" s="538"/>
      <c r="CV159" s="538"/>
      <c r="CW159" s="538"/>
      <c r="CX159" s="538"/>
      <c r="CY159" s="538"/>
      <c r="CZ159" s="538"/>
      <c r="DA159" s="538"/>
      <c r="DB159" s="538"/>
      <c r="DC159" s="538"/>
      <c r="DD159" s="538"/>
      <c r="DE159" s="538"/>
      <c r="DF159" s="538"/>
      <c r="DG159" s="538"/>
      <c r="DH159" s="538">
        <f>ROUND(DH68-DH154,2)</f>
        <v>0.02</v>
      </c>
      <c r="DI159" s="538">
        <f>ROUND(DI68-DI154,2)</f>
        <v>0</v>
      </c>
      <c r="DJ159" s="538">
        <f>ROUND(DJ68-DJ154,2)</f>
        <v>0</v>
      </c>
      <c r="DK159" s="538">
        <f>ROUND(DK68-DK154,2)</f>
        <v>0</v>
      </c>
      <c r="DL159" s="538">
        <f>ROUND(DL68-DL154,2)</f>
        <v>0</v>
      </c>
      <c r="DM159" s="538"/>
      <c r="DN159" s="538">
        <f>ROUND(DN68-DN154,2)</f>
        <v>0.01</v>
      </c>
      <c r="DO159" s="538">
        <f>ROUND(DO68-DO154,2)</f>
        <v>0</v>
      </c>
      <c r="DP159" s="538">
        <f>ROUND(DP68-DP154,2)</f>
        <v>0</v>
      </c>
      <c r="DQ159" s="538">
        <f>ROUND(DQ68-DQ154,2)</f>
        <v>0</v>
      </c>
      <c r="DR159" s="538">
        <f>ROUND(DR68-DR154,2)</f>
        <v>0.01</v>
      </c>
      <c r="DS159" s="538"/>
      <c r="DT159" s="538">
        <f>ROUND(DT68-DT154,2)</f>
        <v>0</v>
      </c>
      <c r="DU159" s="538">
        <f>ROUND(DU68-DU154,2)</f>
        <v>0</v>
      </c>
      <c r="DV159" s="538">
        <f>ROUND(DV68-DV154,2)</f>
        <v>0</v>
      </c>
      <c r="DW159" s="538">
        <f>ROUND(DW68-DW154,2)</f>
        <v>0</v>
      </c>
      <c r="DX159" s="538">
        <f>ROUND(DX68-DX154,2)</f>
        <v>0.02</v>
      </c>
      <c r="DY159" s="538"/>
      <c r="DZ159" s="538">
        <f>ROUND(DZ68-DZ154,2)</f>
        <v>0</v>
      </c>
      <c r="EA159" s="538">
        <f>ROUND(EA68-EA154,2)</f>
        <v>0</v>
      </c>
      <c r="EB159" s="538">
        <f>ROUND(EB68-EB154,2)</f>
        <v>0</v>
      </c>
      <c r="EC159" s="538">
        <f>ROUND(EC68-EC154,2)</f>
        <v>0</v>
      </c>
      <c r="ED159" s="538">
        <f>ROUND(ED68-ED154,2)</f>
        <v>0</v>
      </c>
      <c r="EE159" s="538"/>
      <c r="EF159" s="538">
        <f>ROUND(EF68-EF154,2)</f>
        <v>0</v>
      </c>
      <c r="EG159" s="538">
        <f>ROUND(EG68-EG154,2)</f>
        <v>0</v>
      </c>
      <c r="EH159" s="538">
        <f>ROUND(EH68-EH154,2)</f>
        <v>0</v>
      </c>
      <c r="EI159" s="538">
        <f>ROUND(EI68-EI154,2)</f>
        <v>0</v>
      </c>
      <c r="EJ159" s="538">
        <f>ROUND(EJ68-EJ154,2)</f>
        <v>0</v>
      </c>
      <c r="EK159" s="538"/>
      <c r="EL159" s="538">
        <f>ROUND(EL68-EL154,2)</f>
        <v>0</v>
      </c>
      <c r="EM159" s="538">
        <f>ROUND(EM68-EM154,2)</f>
        <v>0</v>
      </c>
      <c r="EN159" s="538">
        <f>ROUND(EN68-EN154,2)</f>
        <v>0</v>
      </c>
      <c r="EO159" s="538">
        <f>ROUND(EO68-EO154,2)</f>
        <v>0</v>
      </c>
      <c r="EP159" s="538">
        <f>ROUND(EP68-EP154,2)</f>
        <v>0</v>
      </c>
      <c r="EQ159" s="538"/>
      <c r="ER159" s="538">
        <f>ROUND(ER68-ER154,2)</f>
        <v>0</v>
      </c>
      <c r="ES159" s="538"/>
      <c r="ET159" s="538"/>
      <c r="EU159" s="538"/>
      <c r="EV159" s="538"/>
      <c r="EW159" s="538"/>
      <c r="EX159" s="837"/>
      <c r="EY159" s="538"/>
      <c r="EZ159" s="538"/>
      <c r="FA159" s="837"/>
      <c r="FB159" s="538"/>
      <c r="FC159" s="538"/>
      <c r="FD159" s="538"/>
      <c r="FE159" s="538"/>
      <c r="FF159" s="538"/>
      <c r="FG159" s="538"/>
      <c r="FH159" s="538"/>
      <c r="FI159" s="538"/>
      <c r="FJ159" s="538"/>
      <c r="FK159" s="538"/>
      <c r="FL159" s="538"/>
      <c r="FM159" s="538"/>
      <c r="FN159" s="538"/>
      <c r="FO159" s="538"/>
      <c r="FP159" s="538"/>
      <c r="FQ159" s="538"/>
      <c r="FR159" s="538"/>
      <c r="FS159" s="538"/>
      <c r="FT159" s="538"/>
      <c r="FU159" s="538"/>
      <c r="FV159" s="538"/>
      <c r="FW159" s="538"/>
      <c r="FX159" s="538"/>
      <c r="FY159" s="538"/>
      <c r="FZ159" s="538"/>
      <c r="GA159" s="538"/>
      <c r="GB159" s="538"/>
      <c r="GC159" s="538"/>
      <c r="GD159" s="538"/>
      <c r="GE159" s="538"/>
      <c r="GF159" s="538"/>
      <c r="GG159" s="538"/>
      <c r="GH159" s="538"/>
      <c r="GI159" s="538"/>
      <c r="GJ159" s="538"/>
      <c r="GK159" s="538"/>
      <c r="GL159" s="538"/>
      <c r="GM159" s="538"/>
      <c r="GN159" s="538"/>
      <c r="GO159" s="538"/>
      <c r="GP159" s="538"/>
      <c r="GQ159" s="538"/>
      <c r="GR159" s="538"/>
      <c r="GS159" s="538"/>
      <c r="GT159" s="538"/>
      <c r="GU159" s="538"/>
      <c r="GV159" s="538"/>
      <c r="GW159" s="538"/>
      <c r="GX159" s="538"/>
      <c r="GY159" s="538"/>
      <c r="GZ159" s="538"/>
      <c r="HA159" s="538"/>
      <c r="HB159" s="538"/>
      <c r="HC159" s="538"/>
      <c r="HD159" s="538"/>
      <c r="HE159" s="538"/>
    </row>
    <row r="160" spans="1:227" s="539" customFormat="1" hidden="1" outlineLevel="1">
      <c r="A160" s="538"/>
      <c r="B160" s="538"/>
      <c r="C160" s="538" t="s">
        <v>537</v>
      </c>
      <c r="D160" s="538"/>
      <c r="E160" s="538"/>
      <c r="F160" s="538"/>
      <c r="G160" s="538"/>
      <c r="H160" s="538"/>
      <c r="I160" s="538"/>
      <c r="J160" s="538"/>
      <c r="K160" s="538"/>
      <c r="L160" s="538"/>
      <c r="M160" s="538"/>
      <c r="N160" s="538"/>
      <c r="O160" s="538"/>
      <c r="P160" s="538"/>
      <c r="Q160" s="538"/>
      <c r="R160" s="538"/>
      <c r="S160" s="538"/>
      <c r="T160" s="538"/>
      <c r="U160" s="538"/>
      <c r="V160" s="538"/>
      <c r="W160" s="538"/>
      <c r="X160" s="538"/>
      <c r="Y160" s="538"/>
      <c r="Z160" s="538"/>
      <c r="AA160" s="538"/>
      <c r="AB160" s="538"/>
      <c r="AC160" s="538"/>
      <c r="AD160" s="538"/>
      <c r="AE160" s="538"/>
      <c r="AF160" s="538"/>
      <c r="AG160" s="538"/>
      <c r="AH160" s="538"/>
      <c r="AI160" s="538"/>
      <c r="AJ160" s="538"/>
      <c r="AK160" s="538"/>
      <c r="AL160" s="538"/>
      <c r="AM160" s="538"/>
      <c r="AN160" s="538"/>
      <c r="AO160" s="538"/>
      <c r="AP160" s="538"/>
      <c r="AQ160" s="538"/>
      <c r="AR160" s="538"/>
      <c r="AS160" s="538"/>
      <c r="AT160" s="538"/>
      <c r="AU160" s="538"/>
      <c r="AV160" s="538"/>
      <c r="AW160" s="538"/>
      <c r="AX160" s="538"/>
      <c r="AY160" s="538"/>
      <c r="AZ160" s="538"/>
      <c r="BA160" s="538"/>
      <c r="BB160" s="538"/>
      <c r="BC160" s="538"/>
      <c r="BD160" s="538"/>
      <c r="BE160" s="538"/>
      <c r="BF160" s="538"/>
      <c r="BG160" s="538"/>
      <c r="BH160" s="538"/>
      <c r="BI160" s="538"/>
      <c r="BJ160" s="538"/>
      <c r="BK160" s="538"/>
      <c r="BL160" s="538"/>
      <c r="BM160" s="538"/>
      <c r="BN160" s="538"/>
      <c r="BO160" s="538"/>
      <c r="BP160" s="538"/>
      <c r="BQ160" s="538"/>
      <c r="BR160" s="538"/>
      <c r="BS160" s="538"/>
      <c r="BT160" s="538"/>
      <c r="BU160" s="538"/>
      <c r="BV160" s="538"/>
      <c r="BW160" s="538"/>
      <c r="BX160" s="538"/>
      <c r="BY160" s="538"/>
      <c r="BZ160" s="538"/>
      <c r="CA160" s="538"/>
      <c r="CB160" s="538"/>
      <c r="CC160" s="538"/>
      <c r="CD160" s="538"/>
      <c r="CE160" s="538"/>
      <c r="CF160" s="538"/>
      <c r="CG160" s="538"/>
      <c r="CH160" s="538"/>
      <c r="CI160" s="538"/>
      <c r="CJ160" s="538"/>
      <c r="CK160" s="538"/>
      <c r="CL160" s="538"/>
      <c r="CM160" s="538"/>
      <c r="CN160" s="538"/>
      <c r="CO160" s="538"/>
      <c r="CP160" s="538"/>
      <c r="CQ160" s="538"/>
      <c r="CR160" s="538"/>
      <c r="CS160" s="538"/>
      <c r="CT160" s="538"/>
      <c r="CU160" s="538"/>
      <c r="CV160" s="538"/>
      <c r="CW160" s="538"/>
      <c r="CX160" s="538"/>
      <c r="CY160" s="538"/>
      <c r="CZ160" s="538"/>
      <c r="DA160" s="538"/>
      <c r="DB160" s="538"/>
      <c r="DC160" s="538"/>
      <c r="DD160" s="538"/>
      <c r="DE160" s="538"/>
      <c r="DF160" s="538"/>
      <c r="DG160" s="538"/>
      <c r="DH160" s="538" t="e">
        <f>DH153-#REF!</f>
        <v>#REF!</v>
      </c>
      <c r="DI160" s="538" t="e">
        <f>DI153-#REF!</f>
        <v>#REF!</v>
      </c>
      <c r="DJ160" s="538" t="e">
        <f>DJ153-#REF!</f>
        <v>#REF!</v>
      </c>
      <c r="DK160" s="538" t="e">
        <f>DK153-#REF!</f>
        <v>#REF!</v>
      </c>
      <c r="DL160" s="538" t="e">
        <f>DL153-#REF!</f>
        <v>#REF!</v>
      </c>
      <c r="DM160" s="538" t="e">
        <f>DM153-#REF!</f>
        <v>#REF!</v>
      </c>
      <c r="DN160" s="538" t="e">
        <f>DN153-#REF!</f>
        <v>#REF!</v>
      </c>
      <c r="DO160" s="538" t="e">
        <f>DO153-#REF!</f>
        <v>#REF!</v>
      </c>
      <c r="DP160" s="538" t="e">
        <f>DP153-#REF!</f>
        <v>#REF!</v>
      </c>
      <c r="DQ160" s="538" t="e">
        <f>DQ153-#REF!</f>
        <v>#REF!</v>
      </c>
      <c r="DR160" s="538" t="e">
        <f>DR153-#REF!</f>
        <v>#REF!</v>
      </c>
      <c r="DS160" s="538" t="e">
        <f>DS153-#REF!</f>
        <v>#REF!</v>
      </c>
      <c r="DT160" s="538" t="e">
        <f>DT153-#REF!</f>
        <v>#REF!</v>
      </c>
      <c r="DU160" s="538" t="e">
        <f>DU153-#REF!</f>
        <v>#REF!</v>
      </c>
      <c r="DV160" s="538" t="e">
        <f>DV153-#REF!</f>
        <v>#REF!</v>
      </c>
      <c r="DW160" s="538" t="e">
        <f>DW153-#REF!</f>
        <v>#REF!</v>
      </c>
      <c r="DX160" s="538" t="e">
        <f>DX153-#REF!</f>
        <v>#REF!</v>
      </c>
      <c r="DY160" s="538" t="e">
        <f>DY153-#REF!</f>
        <v>#REF!</v>
      </c>
      <c r="DZ160" s="538" t="e">
        <f>DZ153-#REF!</f>
        <v>#REF!</v>
      </c>
      <c r="EA160" s="538" t="e">
        <f>EA153-#REF!</f>
        <v>#REF!</v>
      </c>
      <c r="EB160" s="538" t="e">
        <f>EB153-#REF!</f>
        <v>#REF!</v>
      </c>
      <c r="EC160" s="538" t="e">
        <f>EC153-#REF!</f>
        <v>#REF!</v>
      </c>
      <c r="ED160" s="538" t="e">
        <f>ED153-#REF!</f>
        <v>#REF!</v>
      </c>
      <c r="EE160" s="538" t="e">
        <f>EE153-#REF!</f>
        <v>#REF!</v>
      </c>
      <c r="EF160" s="538" t="e">
        <f>EF153-#REF!</f>
        <v>#REF!</v>
      </c>
      <c r="EG160" s="538" t="e">
        <f>EG153-#REF!</f>
        <v>#REF!</v>
      </c>
      <c r="EH160" s="538" t="e">
        <f>EH153-#REF!</f>
        <v>#REF!</v>
      </c>
      <c r="EI160" s="538" t="e">
        <f>EI153-#REF!</f>
        <v>#REF!</v>
      </c>
      <c r="EJ160" s="538" t="e">
        <f>EJ153-#REF!</f>
        <v>#REF!</v>
      </c>
      <c r="EK160" s="538" t="e">
        <f>EK153-#REF!</f>
        <v>#REF!</v>
      </c>
      <c r="EL160" s="538" t="e">
        <f>EL153-#REF!</f>
        <v>#REF!</v>
      </c>
      <c r="EM160" s="538" t="e">
        <f>EM153-#REF!</f>
        <v>#REF!</v>
      </c>
      <c r="EN160" s="538" t="e">
        <f>EN153-#REF!</f>
        <v>#REF!</v>
      </c>
      <c r="EO160" s="538" t="e">
        <f>EO153-#REF!</f>
        <v>#REF!</v>
      </c>
      <c r="EP160" s="538" t="e">
        <f>EP153-#REF!</f>
        <v>#REF!</v>
      </c>
      <c r="EQ160" s="538" t="e">
        <f>EQ153-#REF!</f>
        <v>#REF!</v>
      </c>
      <c r="ER160" s="538" t="e">
        <f>ER153-#REF!</f>
        <v>#REF!</v>
      </c>
      <c r="ES160" s="538"/>
      <c r="ET160" s="538"/>
      <c r="EU160" s="538"/>
      <c r="EV160" s="538"/>
      <c r="EW160" s="538"/>
      <c r="EX160" s="837"/>
      <c r="EY160" s="538"/>
      <c r="EZ160" s="538"/>
      <c r="FA160" s="837"/>
      <c r="FB160" s="538"/>
      <c r="FC160" s="538"/>
      <c r="FD160" s="538"/>
      <c r="FE160" s="538"/>
      <c r="FF160" s="538"/>
      <c r="FG160" s="538"/>
      <c r="FH160" s="538"/>
      <c r="FI160" s="538"/>
      <c r="FJ160" s="538"/>
      <c r="FK160" s="538"/>
      <c r="FL160" s="538"/>
      <c r="FM160" s="538"/>
      <c r="FN160" s="538"/>
      <c r="FO160" s="538"/>
      <c r="FP160" s="538"/>
      <c r="FQ160" s="538"/>
      <c r="FR160" s="538"/>
      <c r="FS160" s="538"/>
      <c r="FT160" s="538"/>
      <c r="FU160" s="538"/>
      <c r="FV160" s="538"/>
      <c r="FW160" s="538"/>
      <c r="FX160" s="538"/>
      <c r="FY160" s="538"/>
      <c r="FZ160" s="538"/>
      <c r="GA160" s="538"/>
      <c r="GB160" s="538"/>
      <c r="GC160" s="538"/>
      <c r="GD160" s="538"/>
      <c r="GE160" s="538"/>
      <c r="GF160" s="538"/>
      <c r="GG160" s="538"/>
      <c r="GH160" s="538"/>
      <c r="GI160" s="538"/>
      <c r="GJ160" s="538"/>
      <c r="GK160" s="538"/>
      <c r="GL160" s="538"/>
      <c r="GM160" s="538"/>
      <c r="GN160" s="538"/>
      <c r="GO160" s="538"/>
      <c r="GP160" s="538"/>
      <c r="GQ160" s="538"/>
      <c r="GR160" s="538"/>
      <c r="GS160" s="538"/>
      <c r="GT160" s="538"/>
      <c r="GU160" s="538"/>
      <c r="GV160" s="538"/>
      <c r="GW160" s="538"/>
      <c r="GX160" s="538"/>
      <c r="GY160" s="538"/>
      <c r="GZ160" s="538"/>
      <c r="HA160" s="538"/>
      <c r="HB160" s="538"/>
      <c r="HC160" s="538"/>
      <c r="HD160" s="538"/>
      <c r="HE160" s="538"/>
    </row>
    <row r="161" spans="2:223" collapsed="1">
      <c r="ET161" s="8"/>
      <c r="FI161" s="413"/>
      <c r="FO161" s="413"/>
      <c r="HH161" s="513"/>
      <c r="HI161" s="513"/>
      <c r="HJ161" s="513"/>
      <c r="HK161" s="513"/>
      <c r="HL161" s="513"/>
      <c r="HM161" s="513"/>
      <c r="HN161" s="513"/>
      <c r="HO161" s="513"/>
    </row>
    <row r="162" spans="2:223">
      <c r="CP162" s="17"/>
      <c r="CQ162" s="17"/>
      <c r="CR162" s="17"/>
      <c r="CS162" s="17"/>
      <c r="CT162" s="17"/>
      <c r="CU162" s="151"/>
      <c r="CV162" s="17"/>
      <c r="CW162" s="17"/>
      <c r="CX162" s="17"/>
      <c r="CY162" s="17"/>
      <c r="CZ162" s="17"/>
      <c r="DB162" s="17"/>
      <c r="DC162" s="17"/>
      <c r="DD162" s="17"/>
      <c r="DE162" s="17"/>
      <c r="DF162" s="17"/>
      <c r="DH162" s="17"/>
      <c r="DI162" s="17"/>
      <c r="DJ162" s="17"/>
      <c r="DK162" s="17"/>
      <c r="DL162" s="17"/>
      <c r="DN162" s="17"/>
      <c r="DO162" s="17"/>
      <c r="DP162" s="17"/>
      <c r="DQ162" s="17"/>
      <c r="DR162" s="17"/>
      <c r="DT162" s="17"/>
      <c r="DU162" s="17"/>
      <c r="DV162" s="17"/>
      <c r="DW162" s="17"/>
      <c r="DX162" s="17"/>
      <c r="DZ162" s="17"/>
      <c r="EA162" s="17"/>
      <c r="EB162" s="17"/>
      <c r="EC162" s="17"/>
      <c r="ED162" s="17"/>
      <c r="ET162" s="8"/>
      <c r="FI162" s="413"/>
      <c r="FO162" s="413"/>
      <c r="HH162" s="513"/>
      <c r="HI162" s="513"/>
      <c r="HJ162" s="513"/>
      <c r="HK162" s="513"/>
      <c r="HL162" s="513"/>
      <c r="HM162" s="513"/>
      <c r="HN162" s="513"/>
      <c r="HO162" s="513"/>
    </row>
    <row r="163" spans="2:223">
      <c r="CP163" s="150"/>
      <c r="CQ163" s="150"/>
      <c r="CR163" s="150"/>
      <c r="CS163" s="150"/>
      <c r="CT163" s="150"/>
      <c r="CU163" s="151"/>
      <c r="CV163" s="150"/>
      <c r="CW163" s="150"/>
      <c r="CX163" s="150"/>
      <c r="CY163" s="150"/>
      <c r="CZ163" s="150"/>
      <c r="DB163" s="150"/>
      <c r="DC163" s="150"/>
      <c r="DD163" s="150"/>
      <c r="DE163" s="150"/>
      <c r="DF163" s="150"/>
      <c r="DH163" s="18"/>
      <c r="DI163" s="18"/>
      <c r="DJ163" s="18"/>
      <c r="DK163" s="18"/>
      <c r="DL163" s="18"/>
      <c r="DN163" s="17"/>
      <c r="DO163" s="17"/>
      <c r="DP163" s="17"/>
      <c r="DQ163" s="17"/>
      <c r="DR163" s="17"/>
      <c r="DT163" s="17"/>
      <c r="DU163" s="17"/>
      <c r="DV163" s="17"/>
      <c r="DW163" s="17"/>
      <c r="DX163" s="17"/>
      <c r="DZ163" s="150"/>
      <c r="EA163" s="150"/>
      <c r="EB163" s="150"/>
      <c r="EC163" s="150"/>
      <c r="ED163" s="150"/>
      <c r="ET163" s="8"/>
      <c r="FI163" s="413"/>
      <c r="FO163" s="413"/>
      <c r="HH163" s="513"/>
      <c r="HI163" s="513"/>
      <c r="HJ163" s="513"/>
      <c r="HK163" s="513"/>
      <c r="HL163" s="513"/>
      <c r="HM163" s="513"/>
      <c r="HN163" s="513"/>
      <c r="HO163" s="513"/>
    </row>
    <row r="164" spans="2:223">
      <c r="CP164" s="150"/>
      <c r="CQ164" s="150"/>
      <c r="CR164" s="150"/>
      <c r="CS164" s="150"/>
      <c r="CT164" s="150"/>
      <c r="CU164" s="151"/>
      <c r="CV164" s="150"/>
      <c r="CW164" s="150"/>
      <c r="CX164" s="150"/>
      <c r="CY164" s="150"/>
      <c r="CZ164" s="150"/>
      <c r="DB164" s="150"/>
      <c r="DC164" s="150"/>
      <c r="DD164" s="150"/>
      <c r="DE164" s="150"/>
      <c r="DF164" s="150"/>
      <c r="DH164" s="18"/>
      <c r="DI164" s="18"/>
      <c r="DJ164" s="18"/>
      <c r="DK164" s="18"/>
      <c r="DL164" s="18"/>
      <c r="DN164" s="18"/>
      <c r="DO164" s="18"/>
      <c r="DP164" s="18"/>
      <c r="DQ164" s="18"/>
      <c r="DR164" s="18"/>
      <c r="DT164" s="18"/>
      <c r="DU164" s="18"/>
      <c r="DV164" s="18"/>
      <c r="DW164" s="18"/>
      <c r="DX164" s="18"/>
      <c r="DZ164" s="150"/>
      <c r="EA164" s="150"/>
      <c r="EB164" s="150"/>
      <c r="EC164" s="150"/>
      <c r="ED164" s="150"/>
      <c r="ET164" s="8"/>
      <c r="FI164" s="413"/>
      <c r="FO164" s="413"/>
      <c r="HH164" s="513"/>
      <c r="HI164" s="513"/>
      <c r="HJ164" s="513"/>
      <c r="HK164" s="513"/>
      <c r="HL164" s="513"/>
      <c r="HM164" s="513"/>
      <c r="HN164" s="513"/>
      <c r="HO164" s="513"/>
    </row>
    <row r="165" spans="2:223">
      <c r="B165" s="24"/>
      <c r="CP165" s="150"/>
      <c r="CQ165" s="150"/>
      <c r="CR165" s="150"/>
      <c r="CS165" s="150"/>
      <c r="CT165" s="150"/>
      <c r="CU165" s="151"/>
      <c r="CV165" s="150"/>
      <c r="CW165" s="150"/>
      <c r="CX165" s="150"/>
      <c r="CY165" s="150"/>
      <c r="CZ165" s="150"/>
      <c r="DH165" s="17"/>
      <c r="DI165" s="17"/>
      <c r="DJ165" s="17"/>
      <c r="DK165" s="17"/>
      <c r="DL165" s="17"/>
      <c r="DN165" s="17"/>
      <c r="DO165" s="17"/>
      <c r="DP165" s="17"/>
      <c r="DQ165" s="17"/>
      <c r="DR165" s="17"/>
      <c r="DT165" s="17"/>
      <c r="DU165" s="17"/>
      <c r="DV165" s="17"/>
      <c r="DW165" s="17"/>
      <c r="DX165" s="17"/>
      <c r="ET165" s="8"/>
      <c r="FI165" s="413"/>
      <c r="FO165" s="413"/>
      <c r="HH165" s="513"/>
      <c r="HI165" s="513"/>
      <c r="HJ165" s="513"/>
      <c r="HK165" s="513"/>
      <c r="HL165" s="513"/>
      <c r="HM165" s="513"/>
      <c r="HN165" s="513"/>
      <c r="HO165" s="513"/>
    </row>
    <row r="166" spans="2:223">
      <c r="CP166" s="17"/>
      <c r="CQ166" s="17"/>
      <c r="CR166" s="17"/>
      <c r="CS166" s="17"/>
      <c r="CT166" s="17"/>
      <c r="CU166" s="151"/>
      <c r="CV166" s="17"/>
      <c r="CW166" s="17"/>
      <c r="CX166" s="17"/>
      <c r="CY166" s="17"/>
      <c r="CZ166" s="17"/>
      <c r="DH166" s="18"/>
      <c r="DI166" s="18"/>
      <c r="DJ166" s="18"/>
      <c r="DK166" s="18"/>
      <c r="DL166" s="18"/>
      <c r="DN166" s="18"/>
      <c r="DO166" s="18"/>
      <c r="DP166" s="18"/>
      <c r="DQ166" s="18"/>
      <c r="DR166" s="18"/>
      <c r="DT166" s="18"/>
      <c r="DU166" s="18"/>
      <c r="DV166" s="18"/>
      <c r="DW166" s="18"/>
      <c r="ET166" s="8"/>
      <c r="FI166" s="413"/>
      <c r="FO166" s="413"/>
      <c r="HH166" s="513"/>
      <c r="HI166" s="513"/>
      <c r="HJ166" s="513"/>
      <c r="HK166" s="513"/>
      <c r="HL166" s="513"/>
      <c r="HM166" s="513"/>
      <c r="HN166" s="513"/>
      <c r="HO166" s="513"/>
    </row>
    <row r="167" spans="2:223">
      <c r="B167" s="24"/>
      <c r="CP167" s="17"/>
      <c r="CQ167" s="17"/>
      <c r="CR167" s="17"/>
      <c r="CS167" s="17"/>
      <c r="CT167" s="17"/>
      <c r="CU167" s="151"/>
      <c r="CV167" s="17"/>
      <c r="CW167" s="17"/>
      <c r="CX167" s="17"/>
      <c r="CY167" s="17"/>
      <c r="CZ167" s="17"/>
      <c r="DB167" s="17"/>
      <c r="DC167" s="17"/>
      <c r="DD167" s="17"/>
      <c r="DE167" s="17"/>
      <c r="DF167" s="17"/>
      <c r="DH167" s="17"/>
      <c r="DI167" s="17"/>
      <c r="DJ167" s="17"/>
      <c r="DK167" s="17"/>
      <c r="DL167" s="17"/>
      <c r="DN167" s="17"/>
      <c r="DO167" s="17"/>
      <c r="DP167" s="17"/>
      <c r="DQ167" s="17"/>
      <c r="DR167" s="17"/>
      <c r="DT167" s="17"/>
      <c r="DU167" s="17"/>
      <c r="DV167" s="17"/>
      <c r="DW167" s="17"/>
      <c r="DX167" s="17"/>
      <c r="DZ167" s="17"/>
      <c r="EA167" s="20"/>
      <c r="EB167" s="17"/>
      <c r="EC167" s="17"/>
      <c r="ED167" s="17"/>
      <c r="ET167" s="8"/>
      <c r="FD167" s="413"/>
      <c r="FE167" s="413"/>
      <c r="FF167" s="413"/>
      <c r="FG167" s="413"/>
      <c r="FH167" s="413"/>
      <c r="FI167" s="413"/>
      <c r="FJ167" s="413"/>
      <c r="FK167" s="413"/>
      <c r="FL167" s="413"/>
      <c r="FM167" s="413"/>
      <c r="FN167" s="413"/>
      <c r="FO167" s="413"/>
      <c r="HH167" s="513"/>
      <c r="HI167" s="513"/>
      <c r="HJ167" s="513"/>
      <c r="HK167" s="513"/>
      <c r="HL167" s="513"/>
      <c r="HM167" s="513"/>
      <c r="HN167" s="513"/>
      <c r="HO167" s="513"/>
    </row>
    <row r="168" spans="2:223">
      <c r="C168" s="12"/>
      <c r="CP168" s="17"/>
      <c r="CQ168" s="17"/>
      <c r="CR168" s="17"/>
      <c r="CS168" s="17"/>
      <c r="CT168" s="17"/>
      <c r="CU168" s="151"/>
      <c r="CV168" s="17"/>
      <c r="CW168" s="17"/>
      <c r="CX168" s="17"/>
      <c r="CY168" s="17"/>
      <c r="CZ168" s="17"/>
      <c r="DB168" s="17"/>
      <c r="DC168" s="17"/>
      <c r="DD168" s="17"/>
      <c r="DE168" s="17"/>
      <c r="DF168" s="17"/>
      <c r="DH168" s="17"/>
      <c r="DI168" s="17"/>
      <c r="DJ168" s="17"/>
      <c r="DK168" s="17"/>
      <c r="DL168" s="17"/>
      <c r="DN168" s="17"/>
      <c r="DO168" s="17"/>
      <c r="DP168" s="17"/>
      <c r="DQ168" s="22"/>
      <c r="DR168" s="17"/>
      <c r="DT168" s="17"/>
      <c r="DU168" s="17"/>
      <c r="DV168" s="17"/>
      <c r="DW168" s="22"/>
      <c r="DX168" s="17"/>
      <c r="DZ168" s="17"/>
      <c r="EA168" s="17"/>
      <c r="EB168" s="17"/>
      <c r="EC168" s="17"/>
      <c r="ED168" s="17"/>
      <c r="ET168" s="8"/>
      <c r="FD168" s="413"/>
      <c r="FE168" s="413"/>
      <c r="FF168" s="413"/>
      <c r="FG168" s="413"/>
      <c r="FH168" s="413"/>
      <c r="FI168" s="413"/>
      <c r="FJ168" s="413"/>
      <c r="FK168" s="413"/>
      <c r="FL168" s="413"/>
      <c r="FM168" s="413"/>
      <c r="FN168" s="413"/>
      <c r="FO168" s="413"/>
      <c r="HH168" s="513"/>
      <c r="HI168" s="513"/>
      <c r="HJ168" s="513"/>
      <c r="HK168" s="513"/>
      <c r="HL168" s="513"/>
      <c r="HM168" s="513"/>
      <c r="HN168" s="513"/>
      <c r="HO168" s="513"/>
    </row>
    <row r="169" spans="2:223">
      <c r="B169" s="115"/>
      <c r="C169" s="12"/>
      <c r="CP169" s="17"/>
      <c r="CQ169" s="17"/>
      <c r="CR169" s="17"/>
      <c r="CS169" s="17"/>
      <c r="CT169" s="17"/>
      <c r="CU169" s="151"/>
      <c r="CV169" s="17"/>
      <c r="CW169" s="17"/>
      <c r="CX169" s="17"/>
      <c r="CY169" s="17"/>
      <c r="CZ169" s="17"/>
      <c r="DB169" s="17"/>
      <c r="DC169" s="17"/>
      <c r="DD169" s="17"/>
      <c r="DE169" s="17"/>
      <c r="DF169" s="17"/>
      <c r="DH169" s="17"/>
      <c r="DI169" s="17"/>
      <c r="DJ169" s="17"/>
      <c r="DK169" s="17"/>
      <c r="DL169" s="17"/>
      <c r="DN169" s="17"/>
      <c r="DO169" s="17"/>
      <c r="DP169" s="17"/>
      <c r="DQ169" s="17"/>
      <c r="DR169" s="17"/>
      <c r="DT169" s="17"/>
      <c r="DU169" s="17"/>
      <c r="DV169" s="17"/>
      <c r="DW169" s="17"/>
      <c r="DX169" s="17"/>
      <c r="DZ169" s="17"/>
      <c r="EA169" s="17"/>
      <c r="EB169" s="17"/>
      <c r="EC169" s="17"/>
      <c r="ED169" s="17"/>
      <c r="ET169" s="8"/>
      <c r="FD169" s="413"/>
      <c r="FE169" s="413"/>
      <c r="FF169" s="413"/>
      <c r="FG169" s="413"/>
      <c r="FH169" s="413"/>
      <c r="FI169" s="413"/>
      <c r="FJ169" s="413"/>
      <c r="FK169" s="413"/>
      <c r="FL169" s="413"/>
      <c r="FM169" s="413"/>
      <c r="FN169" s="413"/>
      <c r="FO169" s="413"/>
      <c r="HH169" s="513"/>
      <c r="HI169" s="513"/>
      <c r="HJ169" s="513"/>
      <c r="HK169" s="513"/>
      <c r="HL169" s="513"/>
      <c r="HM169" s="513"/>
      <c r="HN169" s="513"/>
      <c r="HO169" s="513"/>
    </row>
    <row r="170" spans="2:223">
      <c r="CP170" s="17"/>
      <c r="CQ170" s="17"/>
      <c r="CR170" s="18"/>
      <c r="CS170" s="17"/>
      <c r="CT170" s="18"/>
      <c r="CU170" s="151"/>
      <c r="CV170" s="17"/>
      <c r="CW170" s="17"/>
      <c r="CX170" s="17"/>
      <c r="CY170" s="17"/>
      <c r="CZ170" s="17"/>
      <c r="DB170" s="17"/>
      <c r="DC170" s="17"/>
      <c r="DD170" s="17"/>
      <c r="DE170" s="17"/>
      <c r="DF170" s="17"/>
      <c r="DH170" s="18"/>
      <c r="DI170" s="18"/>
      <c r="DJ170" s="18"/>
      <c r="DK170" s="18"/>
      <c r="DL170" s="18"/>
      <c r="DN170" s="17"/>
      <c r="DO170" s="17"/>
      <c r="DP170" s="17"/>
      <c r="DQ170" s="17"/>
      <c r="DR170" s="17"/>
      <c r="DT170" s="17"/>
      <c r="DU170" s="17"/>
      <c r="DV170" s="17"/>
      <c r="DW170" s="17"/>
      <c r="DX170" s="17"/>
      <c r="DZ170" s="17"/>
      <c r="EA170" s="17"/>
      <c r="EB170" s="17"/>
      <c r="EC170" s="17"/>
      <c r="ED170" s="17"/>
      <c r="ET170" s="8"/>
      <c r="FD170" s="413"/>
      <c r="FE170" s="413"/>
      <c r="FF170" s="413"/>
      <c r="FG170" s="413"/>
      <c r="FH170" s="413"/>
      <c r="FI170" s="413"/>
      <c r="FJ170" s="413"/>
      <c r="FK170" s="413"/>
      <c r="FL170" s="413"/>
      <c r="FM170" s="413"/>
      <c r="FN170" s="413"/>
      <c r="FO170" s="413"/>
      <c r="HH170" s="513"/>
      <c r="HI170" s="513"/>
      <c r="HJ170" s="513"/>
      <c r="HK170" s="513"/>
      <c r="HL170" s="513"/>
      <c r="HM170" s="513"/>
      <c r="HN170" s="513"/>
      <c r="HO170" s="513"/>
    </row>
    <row r="171" spans="2:223">
      <c r="CP171" s="17"/>
      <c r="CQ171" s="17"/>
      <c r="CR171" s="18"/>
      <c r="CS171" s="17"/>
      <c r="CT171" s="18"/>
      <c r="CU171" s="151"/>
      <c r="CV171" s="17"/>
      <c r="CW171" s="17"/>
      <c r="CX171" s="17"/>
      <c r="CY171" s="17"/>
      <c r="CZ171" s="17"/>
      <c r="DB171" s="17"/>
      <c r="DC171" s="17"/>
      <c r="DD171" s="17"/>
      <c r="DE171" s="17"/>
      <c r="DF171" s="17"/>
      <c r="DH171" s="17"/>
      <c r="DI171" s="17"/>
      <c r="DJ171" s="17"/>
      <c r="DK171" s="17"/>
      <c r="DL171" s="17"/>
      <c r="DN171" s="17"/>
      <c r="DO171" s="17"/>
      <c r="DP171" s="17"/>
      <c r="DQ171" s="17"/>
      <c r="DR171" s="17"/>
      <c r="DT171" s="17"/>
      <c r="DU171" s="17"/>
      <c r="DV171" s="17"/>
      <c r="DW171" s="17"/>
      <c r="DX171" s="17"/>
      <c r="DZ171" s="17"/>
      <c r="EA171" s="17"/>
      <c r="EB171" s="17"/>
      <c r="EC171" s="17"/>
      <c r="ED171" s="17"/>
      <c r="ET171" s="8"/>
      <c r="FD171" s="413"/>
      <c r="FE171" s="413"/>
      <c r="FF171" s="413"/>
      <c r="FG171" s="413"/>
      <c r="FH171" s="413"/>
      <c r="FI171" s="413"/>
      <c r="FJ171" s="413"/>
      <c r="FK171" s="413"/>
      <c r="FL171" s="413"/>
      <c r="FM171" s="413"/>
      <c r="FN171" s="413"/>
      <c r="FO171" s="413"/>
      <c r="HH171" s="513"/>
      <c r="HI171" s="513"/>
      <c r="HJ171" s="513"/>
      <c r="HK171" s="513"/>
      <c r="HL171" s="513"/>
      <c r="HM171" s="513"/>
      <c r="HN171" s="513"/>
      <c r="HO171" s="513"/>
    </row>
    <row r="172" spans="2:223">
      <c r="B172" s="156"/>
      <c r="C172" s="12"/>
      <c r="CP172" s="17"/>
      <c r="CQ172" s="17"/>
      <c r="CR172" s="17"/>
      <c r="CS172" s="17"/>
      <c r="CT172" s="17"/>
      <c r="CU172" s="151"/>
      <c r="CV172" s="18"/>
      <c r="CW172" s="18"/>
      <c r="CX172" s="18"/>
      <c r="CY172" s="18"/>
      <c r="CZ172" s="18"/>
      <c r="DB172" s="18"/>
      <c r="DC172" s="18"/>
      <c r="DD172" s="18"/>
      <c r="DE172" s="18"/>
      <c r="DF172" s="18"/>
      <c r="DH172" s="110"/>
      <c r="DI172" s="110"/>
      <c r="DJ172" s="110"/>
      <c r="DK172" s="110"/>
      <c r="DL172" s="110"/>
      <c r="DN172" s="110"/>
      <c r="DO172" s="110"/>
      <c r="DP172" s="110"/>
      <c r="DQ172" s="110"/>
      <c r="DR172" s="110"/>
      <c r="DT172" s="110"/>
      <c r="DU172" s="110"/>
      <c r="DV172" s="110"/>
      <c r="DW172" s="110"/>
      <c r="DX172" s="110"/>
      <c r="DZ172" s="18"/>
      <c r="EA172" s="18"/>
      <c r="EB172" s="18"/>
      <c r="EC172" s="18"/>
      <c r="ED172" s="18"/>
      <c r="ET172" s="8"/>
      <c r="FD172" s="413"/>
      <c r="FE172" s="413"/>
      <c r="FF172" s="413"/>
      <c r="FG172" s="413"/>
      <c r="FH172" s="413"/>
      <c r="FI172" s="413"/>
      <c r="FJ172" s="413"/>
      <c r="FK172" s="413"/>
      <c r="FL172" s="413"/>
      <c r="FM172" s="413"/>
      <c r="FN172" s="413"/>
      <c r="FO172" s="413"/>
      <c r="HH172" s="513"/>
      <c r="HI172" s="513"/>
      <c r="HJ172" s="513"/>
      <c r="HK172" s="513"/>
      <c r="HL172" s="513"/>
      <c r="HM172" s="513"/>
      <c r="HN172" s="513"/>
      <c r="HO172" s="513"/>
    </row>
    <row r="173" spans="2:223">
      <c r="C173" s="12"/>
      <c r="CP173" s="17"/>
      <c r="CQ173" s="17"/>
      <c r="CR173" s="17"/>
      <c r="CS173" s="17"/>
      <c r="CT173" s="17"/>
      <c r="CU173" s="151"/>
      <c r="CV173" s="17"/>
      <c r="CW173" s="17"/>
      <c r="CX173" s="17"/>
      <c r="CY173" s="17"/>
      <c r="CZ173" s="17"/>
      <c r="DB173" s="17"/>
      <c r="DC173" s="17"/>
      <c r="DD173" s="17"/>
      <c r="DE173" s="17"/>
      <c r="DF173" s="17"/>
      <c r="DH173" s="17"/>
      <c r="DI173" s="17"/>
      <c r="DJ173" s="17"/>
      <c r="DK173" s="17"/>
      <c r="DL173" s="17"/>
      <c r="DN173" s="17"/>
      <c r="DO173" s="17"/>
      <c r="DP173" s="17"/>
      <c r="DQ173" s="17"/>
      <c r="DR173" s="17"/>
      <c r="DT173" s="17"/>
      <c r="DU173" s="17"/>
      <c r="DV173" s="17"/>
      <c r="DW173" s="17"/>
      <c r="DX173" s="17"/>
      <c r="DZ173" s="17"/>
      <c r="EA173" s="17"/>
      <c r="EB173" s="17"/>
      <c r="EC173" s="17"/>
      <c r="ED173" s="17"/>
      <c r="ET173" s="8"/>
      <c r="FD173" s="413"/>
      <c r="FE173" s="413"/>
      <c r="FF173" s="413"/>
      <c r="FG173" s="413"/>
      <c r="FH173" s="413"/>
      <c r="FI173" s="413"/>
      <c r="FJ173" s="413"/>
      <c r="FK173" s="413"/>
      <c r="FL173" s="413"/>
      <c r="FM173" s="413"/>
      <c r="FN173" s="413"/>
      <c r="FO173" s="413"/>
      <c r="HH173" s="513"/>
      <c r="HI173" s="513"/>
      <c r="HJ173" s="513"/>
      <c r="HK173" s="513"/>
      <c r="HL173" s="513"/>
      <c r="HM173" s="513"/>
      <c r="HN173" s="513"/>
      <c r="HO173" s="513"/>
    </row>
    <row r="174" spans="2:223">
      <c r="C174" s="12"/>
      <c r="CP174" s="150"/>
      <c r="CQ174" s="150"/>
      <c r="CR174" s="150"/>
      <c r="CS174" s="150"/>
      <c r="CT174" s="150"/>
      <c r="CU174" s="151"/>
      <c r="CV174" s="150"/>
      <c r="CW174" s="150"/>
      <c r="CX174" s="150"/>
      <c r="CY174" s="150"/>
      <c r="CZ174" s="150"/>
      <c r="DB174" s="150"/>
      <c r="DC174" s="150"/>
      <c r="DD174" s="150"/>
      <c r="DE174" s="150"/>
      <c r="DF174" s="150"/>
      <c r="DH174" s="17"/>
      <c r="DI174" s="17"/>
      <c r="DJ174" s="17"/>
      <c r="DK174" s="17"/>
      <c r="DL174" s="17"/>
      <c r="DN174" s="17"/>
      <c r="DO174" s="17"/>
      <c r="DP174" s="17"/>
      <c r="DQ174" s="17"/>
      <c r="DR174" s="17"/>
      <c r="DT174" s="17"/>
      <c r="DU174" s="17"/>
      <c r="DV174" s="17"/>
      <c r="DW174" s="17"/>
      <c r="DX174" s="17"/>
      <c r="DZ174" s="150"/>
      <c r="EA174" s="150"/>
      <c r="EB174" s="150"/>
      <c r="EC174" s="150"/>
      <c r="ED174" s="150"/>
      <c r="ET174" s="8"/>
      <c r="FD174" s="413"/>
      <c r="FE174" s="413"/>
      <c r="FF174" s="413"/>
      <c r="FG174" s="413"/>
      <c r="FH174" s="413"/>
      <c r="FI174" s="413"/>
      <c r="FJ174" s="413"/>
      <c r="FK174" s="413"/>
      <c r="FL174" s="413"/>
      <c r="FM174" s="413"/>
      <c r="FN174" s="413"/>
      <c r="FO174" s="413"/>
      <c r="HH174" s="513"/>
      <c r="HI174" s="513"/>
      <c r="HJ174" s="513"/>
      <c r="HK174" s="513"/>
      <c r="HL174" s="513"/>
      <c r="HM174" s="513"/>
      <c r="HN174" s="513"/>
      <c r="HO174" s="513"/>
    </row>
    <row r="175" spans="2:223">
      <c r="CP175" s="17"/>
      <c r="CQ175" s="18"/>
      <c r="CR175" s="18"/>
      <c r="CS175" s="17"/>
      <c r="CT175" s="18"/>
      <c r="CU175" s="151"/>
      <c r="CV175" s="17"/>
      <c r="CW175" s="18"/>
      <c r="CX175" s="18"/>
      <c r="CY175" s="17"/>
      <c r="CZ175" s="18"/>
      <c r="DB175" s="18"/>
      <c r="DC175" s="18"/>
      <c r="DD175" s="18"/>
      <c r="DE175" s="17"/>
      <c r="DF175" s="18"/>
      <c r="DH175" s="18"/>
      <c r="DI175" s="18"/>
      <c r="DJ175" s="18"/>
      <c r="DK175" s="18"/>
      <c r="DL175" s="18"/>
      <c r="DN175" s="18"/>
      <c r="DO175" s="18"/>
      <c r="DP175" s="18"/>
      <c r="DQ175" s="18"/>
      <c r="DR175" s="18"/>
      <c r="DT175" s="18"/>
      <c r="DU175" s="18"/>
      <c r="DV175" s="18"/>
      <c r="DW175" s="18"/>
      <c r="DX175" s="18"/>
      <c r="DZ175" s="18"/>
      <c r="EA175" s="18"/>
      <c r="EB175" s="18"/>
      <c r="EC175" s="17"/>
      <c r="ED175" s="18"/>
      <c r="ET175" s="8"/>
      <c r="FD175" s="413"/>
      <c r="FE175" s="413"/>
      <c r="FF175" s="413"/>
      <c r="FG175" s="413"/>
      <c r="FH175" s="413"/>
      <c r="FI175" s="413"/>
      <c r="FJ175" s="413"/>
      <c r="FK175" s="413"/>
      <c r="FL175" s="413"/>
      <c r="FM175" s="413"/>
      <c r="FN175" s="413"/>
      <c r="FO175" s="413"/>
      <c r="HH175" s="513"/>
      <c r="HI175" s="513"/>
      <c r="HJ175" s="513"/>
      <c r="HK175" s="513"/>
      <c r="HL175" s="513"/>
      <c r="HM175" s="513"/>
      <c r="HN175" s="513"/>
      <c r="HO175" s="513"/>
    </row>
    <row r="176" spans="2:223">
      <c r="C176" s="156"/>
      <c r="CP176" s="17"/>
      <c r="CQ176" s="18"/>
      <c r="CR176" s="18"/>
      <c r="CS176" s="17"/>
      <c r="CT176" s="18"/>
      <c r="CU176" s="151"/>
      <c r="CV176" s="17"/>
      <c r="CW176" s="18"/>
      <c r="CX176" s="18"/>
      <c r="CY176" s="17"/>
      <c r="CZ176" s="18"/>
      <c r="DB176" s="18"/>
      <c r="DC176" s="18"/>
      <c r="DD176" s="18"/>
      <c r="DE176" s="17"/>
      <c r="DF176" s="18"/>
      <c r="DH176" s="110"/>
      <c r="DI176" s="110"/>
      <c r="DJ176" s="110"/>
      <c r="DK176" s="110"/>
      <c r="DL176" s="110"/>
      <c r="DN176" s="110"/>
      <c r="DO176" s="110"/>
      <c r="DP176" s="110"/>
      <c r="DQ176" s="110"/>
      <c r="DR176" s="110"/>
      <c r="DT176" s="110"/>
      <c r="DU176" s="110"/>
      <c r="DV176" s="110"/>
      <c r="DW176" s="110"/>
      <c r="DX176" s="110"/>
      <c r="DZ176" s="18"/>
      <c r="EA176" s="18"/>
      <c r="EB176" s="18"/>
      <c r="EC176" s="17"/>
      <c r="ED176" s="18"/>
      <c r="ET176" s="8"/>
      <c r="FD176" s="413"/>
      <c r="FE176" s="413"/>
      <c r="FF176" s="413"/>
      <c r="FG176" s="413"/>
      <c r="FH176" s="413"/>
      <c r="FI176" s="413"/>
      <c r="FJ176" s="413"/>
      <c r="FK176" s="413"/>
      <c r="FL176" s="413"/>
      <c r="FM176" s="413"/>
      <c r="FN176" s="413"/>
      <c r="FO176" s="413"/>
      <c r="HH176" s="513"/>
      <c r="HI176" s="513"/>
      <c r="HJ176" s="513"/>
      <c r="HK176" s="513"/>
      <c r="HL176" s="513"/>
      <c r="HM176" s="513"/>
      <c r="HN176" s="513"/>
      <c r="HO176" s="513"/>
    </row>
    <row r="177" spans="2:223">
      <c r="B177" s="24"/>
      <c r="C177" s="12"/>
      <c r="CP177" s="17"/>
      <c r="CQ177" s="17"/>
      <c r="CR177" s="17"/>
      <c r="CS177" s="17"/>
      <c r="CT177" s="17"/>
      <c r="CU177" s="151"/>
      <c r="CV177" s="17"/>
      <c r="CW177" s="17"/>
      <c r="CX177" s="17"/>
      <c r="CY177" s="17"/>
      <c r="CZ177" s="17"/>
      <c r="DB177" s="17"/>
      <c r="DC177" s="17"/>
      <c r="DD177" s="17"/>
      <c r="DE177" s="17"/>
      <c r="DF177" s="17"/>
      <c r="DH177" s="17"/>
      <c r="DI177" s="17"/>
      <c r="DJ177" s="17"/>
      <c r="DK177" s="17"/>
      <c r="DL177" s="17"/>
      <c r="DN177" s="17"/>
      <c r="DO177" s="17"/>
      <c r="DP177" s="17"/>
      <c r="DQ177" s="17"/>
      <c r="DR177" s="17"/>
      <c r="DT177" s="17"/>
      <c r="DU177" s="17"/>
      <c r="DV177" s="17"/>
      <c r="DW177" s="17"/>
      <c r="DX177" s="17"/>
      <c r="DZ177" s="17"/>
      <c r="EA177" s="17"/>
      <c r="EB177" s="17"/>
      <c r="EC177" s="17"/>
      <c r="ED177" s="17"/>
      <c r="ET177" s="8"/>
      <c r="FD177" s="413"/>
      <c r="FE177" s="413"/>
      <c r="FF177" s="413"/>
      <c r="FG177" s="413"/>
      <c r="FH177" s="413"/>
      <c r="FI177" s="413"/>
      <c r="FJ177" s="413"/>
      <c r="FK177" s="413"/>
      <c r="FL177" s="413"/>
      <c r="FM177" s="413"/>
      <c r="FN177" s="413"/>
      <c r="FO177" s="413"/>
      <c r="HH177" s="513"/>
      <c r="HI177" s="513"/>
      <c r="HJ177" s="513"/>
      <c r="HK177" s="513"/>
      <c r="HL177" s="513"/>
      <c r="HM177" s="513"/>
      <c r="HN177" s="513"/>
      <c r="HO177" s="513"/>
    </row>
    <row r="178" spans="2:223">
      <c r="C178" s="140"/>
      <c r="CP178" s="150"/>
      <c r="CQ178" s="150"/>
      <c r="CR178" s="150"/>
      <c r="CS178" s="150"/>
      <c r="CT178" s="150"/>
      <c r="CU178" s="151"/>
      <c r="CV178" s="150"/>
      <c r="CW178" s="150"/>
      <c r="CX178" s="150"/>
      <c r="CY178" s="150"/>
      <c r="CZ178" s="150"/>
      <c r="DB178" s="150"/>
      <c r="DC178" s="150"/>
      <c r="DD178" s="150"/>
      <c r="DE178" s="150"/>
      <c r="DF178" s="150"/>
      <c r="DH178" s="150"/>
      <c r="DI178" s="150"/>
      <c r="DJ178" s="150"/>
      <c r="DK178" s="150"/>
      <c r="DL178" s="150"/>
      <c r="DN178" s="150"/>
      <c r="DO178" s="150"/>
      <c r="DP178" s="150"/>
      <c r="DQ178" s="150"/>
      <c r="DR178" s="150"/>
      <c r="DT178" s="150"/>
      <c r="DU178" s="150"/>
      <c r="DV178" s="150"/>
      <c r="DW178" s="150"/>
      <c r="DX178" s="150"/>
      <c r="DZ178" s="150"/>
      <c r="EA178" s="150"/>
      <c r="EB178" s="150"/>
      <c r="EC178" s="150"/>
      <c r="ED178" s="150"/>
      <c r="ET178" s="8"/>
      <c r="FD178" s="413"/>
      <c r="FE178" s="413"/>
      <c r="FF178" s="413"/>
      <c r="FG178" s="413"/>
      <c r="FH178" s="413"/>
      <c r="FI178" s="413"/>
      <c r="FJ178" s="413"/>
      <c r="FK178" s="413"/>
      <c r="FL178" s="413"/>
      <c r="FM178" s="413"/>
      <c r="FN178" s="413"/>
      <c r="FO178" s="413"/>
      <c r="HH178" s="513"/>
      <c r="HI178" s="513"/>
      <c r="HJ178" s="513"/>
      <c r="HK178" s="513"/>
      <c r="HL178" s="513"/>
      <c r="HM178" s="513"/>
      <c r="HN178" s="513"/>
      <c r="HO178" s="513"/>
    </row>
    <row r="179" spans="2:223">
      <c r="C179" s="140"/>
      <c r="CP179" s="150"/>
      <c r="CQ179" s="150"/>
      <c r="CR179" s="150"/>
      <c r="CS179" s="150"/>
      <c r="CT179" s="151"/>
      <c r="CU179" s="151"/>
      <c r="CV179" s="150"/>
      <c r="CW179" s="150"/>
      <c r="CX179" s="150"/>
      <c r="DT179" s="17"/>
      <c r="DU179" s="17"/>
      <c r="DV179" s="17"/>
      <c r="ET179" s="8"/>
      <c r="FD179" s="413"/>
      <c r="FE179" s="413"/>
      <c r="FF179" s="413"/>
      <c r="FG179" s="413"/>
      <c r="FH179" s="413"/>
      <c r="FI179" s="413"/>
      <c r="FJ179" s="413"/>
      <c r="FK179" s="413"/>
      <c r="FL179" s="413"/>
      <c r="FM179" s="413"/>
      <c r="FN179" s="413"/>
      <c r="FO179" s="413"/>
      <c r="HH179" s="513"/>
      <c r="HI179" s="513"/>
      <c r="HJ179" s="513"/>
      <c r="HK179" s="513"/>
      <c r="HL179" s="513"/>
      <c r="HM179" s="513"/>
      <c r="HN179" s="513"/>
      <c r="HO179" s="513"/>
    </row>
    <row r="180" spans="2:223">
      <c r="B180" s="115"/>
      <c r="C180" s="140"/>
      <c r="CP180" s="150"/>
      <c r="CQ180" s="150"/>
      <c r="CR180" s="150"/>
      <c r="CS180" s="150"/>
      <c r="CT180" s="151"/>
      <c r="CU180" s="151"/>
      <c r="CV180" s="150"/>
      <c r="CW180" s="150"/>
      <c r="CX180" s="150"/>
      <c r="ET180" s="8"/>
      <c r="FD180" s="413"/>
      <c r="FE180" s="413"/>
      <c r="FF180" s="413"/>
      <c r="FG180" s="413"/>
      <c r="FH180" s="413"/>
      <c r="FI180" s="413"/>
      <c r="FJ180" s="413"/>
      <c r="FK180" s="413"/>
      <c r="FL180" s="413"/>
      <c r="FM180" s="413"/>
      <c r="FN180" s="413"/>
      <c r="FO180" s="413"/>
      <c r="HH180" s="513"/>
      <c r="HI180" s="513"/>
      <c r="HJ180" s="513"/>
      <c r="HK180" s="513"/>
      <c r="HL180" s="513"/>
      <c r="HM180" s="513"/>
      <c r="HN180" s="513"/>
      <c r="HO180" s="513"/>
    </row>
    <row r="181" spans="2:223">
      <c r="C181" s="12"/>
      <c r="CP181" s="17"/>
      <c r="CQ181" s="17"/>
      <c r="CR181" s="17"/>
      <c r="CS181" s="17"/>
      <c r="CT181" s="17"/>
      <c r="CU181" s="151"/>
      <c r="CV181" s="17"/>
      <c r="CW181" s="17"/>
      <c r="CX181" s="17"/>
      <c r="CY181" s="17"/>
      <c r="CZ181" s="17"/>
      <c r="DB181" s="17"/>
      <c r="DC181" s="17"/>
      <c r="DD181" s="17"/>
      <c r="DE181" s="17"/>
      <c r="DF181" s="17"/>
      <c r="DH181" s="17"/>
      <c r="DI181" s="17"/>
      <c r="DJ181" s="17"/>
      <c r="DK181" s="17"/>
      <c r="DL181" s="17"/>
      <c r="DN181" s="17"/>
      <c r="DO181" s="17"/>
      <c r="DP181" s="17"/>
      <c r="DQ181" s="17"/>
      <c r="DR181" s="17"/>
      <c r="DT181" s="17"/>
      <c r="DU181" s="17"/>
      <c r="DV181" s="17"/>
      <c r="DW181" s="17"/>
      <c r="DX181" s="17"/>
      <c r="DZ181" s="17"/>
      <c r="EA181" s="17"/>
      <c r="EB181" s="17"/>
      <c r="EC181" s="17"/>
      <c r="ED181" s="17"/>
      <c r="ET181" s="8"/>
      <c r="FD181" s="413"/>
      <c r="FE181" s="413"/>
      <c r="FF181" s="413"/>
      <c r="FG181" s="413"/>
      <c r="FH181" s="413"/>
      <c r="FI181" s="413"/>
      <c r="FJ181" s="413"/>
      <c r="FK181" s="413"/>
      <c r="FL181" s="413"/>
      <c r="FM181" s="413"/>
      <c r="FN181" s="413"/>
      <c r="FO181" s="413"/>
      <c r="HH181" s="513"/>
      <c r="HI181" s="513"/>
      <c r="HJ181" s="513"/>
      <c r="HK181" s="513"/>
      <c r="HL181" s="513"/>
      <c r="HM181" s="513"/>
      <c r="HN181" s="513"/>
      <c r="HO181" s="513"/>
    </row>
    <row r="182" spans="2:223">
      <c r="C182" s="12"/>
      <c r="CP182" s="17"/>
      <c r="CQ182" s="17"/>
      <c r="CR182" s="17"/>
      <c r="CS182" s="17"/>
      <c r="CT182" s="17"/>
      <c r="CU182" s="151"/>
      <c r="CV182" s="17"/>
      <c r="CW182" s="17"/>
      <c r="CX182" s="17"/>
      <c r="CY182" s="17"/>
      <c r="CZ182" s="17"/>
      <c r="DB182" s="17"/>
      <c r="DC182" s="17"/>
      <c r="DD182" s="17"/>
      <c r="DE182" s="17"/>
      <c r="DF182" s="17"/>
      <c r="DH182" s="17"/>
      <c r="DI182" s="17"/>
      <c r="DJ182" s="17"/>
      <c r="DK182" s="17"/>
      <c r="DL182" s="17"/>
      <c r="DN182" s="17"/>
      <c r="DO182" s="17"/>
      <c r="DP182" s="17"/>
      <c r="DQ182" s="17"/>
      <c r="DR182" s="17"/>
      <c r="DT182" s="17"/>
      <c r="DU182" s="17"/>
      <c r="DV182" s="17"/>
      <c r="DW182" s="17"/>
      <c r="DX182" s="17"/>
      <c r="DZ182" s="17"/>
      <c r="EA182" s="17"/>
      <c r="EB182" s="17"/>
      <c r="EC182" s="17"/>
      <c r="ED182" s="17"/>
      <c r="ET182" s="8"/>
      <c r="FD182" s="413"/>
      <c r="FE182" s="413"/>
      <c r="FF182" s="413"/>
      <c r="FG182" s="413"/>
      <c r="FH182" s="413"/>
      <c r="FI182" s="413"/>
      <c r="FJ182" s="413"/>
      <c r="FK182" s="413"/>
      <c r="FL182" s="413"/>
      <c r="FM182" s="413"/>
      <c r="FN182" s="413"/>
      <c r="FO182" s="413"/>
      <c r="HH182" s="513"/>
      <c r="HI182" s="513"/>
      <c r="HJ182" s="513"/>
      <c r="HK182" s="513"/>
      <c r="HL182" s="513"/>
      <c r="HM182" s="513"/>
      <c r="HN182" s="513"/>
      <c r="HO182" s="513"/>
    </row>
    <row r="183" spans="2:223">
      <c r="C183" s="12"/>
      <c r="CP183" s="17"/>
      <c r="CQ183" s="17"/>
      <c r="CR183" s="17"/>
      <c r="CS183" s="17"/>
      <c r="CT183" s="17"/>
      <c r="CU183" s="151"/>
      <c r="CV183" s="17"/>
      <c r="CW183" s="17"/>
      <c r="CX183" s="17"/>
      <c r="CY183" s="17"/>
      <c r="CZ183" s="17"/>
      <c r="DB183" s="17"/>
      <c r="DC183" s="17"/>
      <c r="DD183" s="17"/>
      <c r="DE183" s="17"/>
      <c r="DF183" s="17"/>
      <c r="DH183" s="17"/>
      <c r="DI183" s="17"/>
      <c r="DJ183" s="17"/>
      <c r="DK183" s="17"/>
      <c r="DL183" s="17"/>
      <c r="DN183" s="17"/>
      <c r="DO183" s="17"/>
      <c r="DP183" s="17"/>
      <c r="DQ183" s="17"/>
      <c r="DR183" s="17"/>
      <c r="DT183" s="17"/>
      <c r="DU183" s="17"/>
      <c r="DV183" s="17"/>
      <c r="DW183" s="17"/>
      <c r="DX183" s="17"/>
      <c r="DZ183" s="17"/>
      <c r="EA183" s="17"/>
      <c r="EB183" s="17"/>
      <c r="EC183" s="17"/>
      <c r="ED183" s="17"/>
      <c r="ET183" s="8"/>
      <c r="FD183" s="413"/>
      <c r="FE183" s="413"/>
      <c r="FF183" s="413"/>
      <c r="FG183" s="413"/>
      <c r="FH183" s="413"/>
      <c r="FI183" s="413"/>
      <c r="FJ183" s="413"/>
      <c r="FK183" s="413"/>
      <c r="FL183" s="413"/>
      <c r="FM183" s="413"/>
      <c r="FN183" s="413"/>
      <c r="FO183" s="413"/>
      <c r="HH183" s="513"/>
      <c r="HI183" s="513"/>
      <c r="HJ183" s="513"/>
      <c r="HK183" s="513"/>
      <c r="HL183" s="513"/>
      <c r="HM183" s="513"/>
      <c r="HN183" s="513"/>
      <c r="HO183" s="513"/>
    </row>
    <row r="184" spans="2:223">
      <c r="C184" s="12"/>
      <c r="CP184" s="17"/>
      <c r="CQ184" s="17"/>
      <c r="CR184" s="17"/>
      <c r="CS184" s="17"/>
      <c r="CT184" s="17"/>
      <c r="CU184" s="151"/>
      <c r="CV184" s="18"/>
      <c r="CW184" s="18"/>
      <c r="CX184" s="18"/>
      <c r="CY184" s="18"/>
      <c r="CZ184" s="18"/>
      <c r="DA184" s="19"/>
      <c r="DB184" s="18"/>
      <c r="DC184" s="18"/>
      <c r="DD184" s="18"/>
      <c r="DE184" s="18"/>
      <c r="DF184" s="18"/>
      <c r="DG184" s="18"/>
      <c r="DH184" s="18"/>
      <c r="DI184" s="18"/>
      <c r="DJ184" s="18"/>
      <c r="DK184" s="18"/>
      <c r="DL184" s="17"/>
      <c r="DM184" s="18"/>
      <c r="DN184" s="18"/>
      <c r="DO184" s="18"/>
      <c r="DP184" s="18"/>
      <c r="DQ184" s="18"/>
      <c r="DR184" s="17"/>
      <c r="DS184" s="18"/>
      <c r="DT184" s="18"/>
      <c r="DU184" s="18"/>
      <c r="DV184" s="18"/>
      <c r="DW184" s="18"/>
      <c r="DX184" s="17"/>
      <c r="DZ184" s="18"/>
      <c r="EA184" s="18"/>
      <c r="EB184" s="18"/>
      <c r="EC184" s="18"/>
      <c r="ED184" s="17"/>
      <c r="ET184" s="8"/>
      <c r="FD184" s="413"/>
      <c r="FE184" s="413"/>
      <c r="FF184" s="413"/>
      <c r="FG184" s="413"/>
      <c r="FH184" s="413"/>
      <c r="FI184" s="413"/>
      <c r="FJ184" s="413"/>
      <c r="FK184" s="413"/>
      <c r="FL184" s="413"/>
      <c r="FM184" s="413"/>
      <c r="FN184" s="413"/>
      <c r="FO184" s="413"/>
      <c r="HH184" s="513"/>
      <c r="HI184" s="513"/>
      <c r="HJ184" s="513"/>
      <c r="HK184" s="513"/>
      <c r="HL184" s="513"/>
      <c r="HM184" s="513"/>
      <c r="HN184" s="513"/>
      <c r="HO184" s="513"/>
    </row>
    <row r="185" spans="2:223">
      <c r="C185" s="12"/>
      <c r="CP185" s="18"/>
      <c r="CQ185" s="18"/>
      <c r="CR185" s="18"/>
      <c r="CS185" s="17"/>
      <c r="CT185" s="18"/>
      <c r="CU185" s="151"/>
      <c r="CV185" s="17"/>
      <c r="CW185" s="17"/>
      <c r="CX185" s="17"/>
      <c r="CY185" s="17"/>
      <c r="CZ185" s="17"/>
      <c r="DB185" s="17"/>
      <c r="DC185" s="17"/>
      <c r="DD185" s="17"/>
      <c r="DE185" s="17"/>
      <c r="DF185" s="17"/>
      <c r="DH185" s="17"/>
      <c r="DI185" s="17"/>
      <c r="DJ185" s="17"/>
      <c r="DK185" s="17"/>
      <c r="DL185" s="17"/>
      <c r="DN185" s="17"/>
      <c r="DO185" s="17"/>
      <c r="DP185" s="17"/>
      <c r="DQ185" s="17"/>
      <c r="DR185" s="17"/>
      <c r="DT185" s="17"/>
      <c r="DU185" s="17"/>
      <c r="DV185" s="17"/>
      <c r="DW185" s="17"/>
      <c r="DX185" s="17"/>
      <c r="DZ185" s="17"/>
      <c r="EA185" s="17"/>
      <c r="EB185" s="17"/>
      <c r="EC185" s="17"/>
      <c r="ED185" s="17"/>
      <c r="ET185" s="8"/>
      <c r="FD185" s="413"/>
      <c r="FE185" s="413"/>
      <c r="FF185" s="413"/>
      <c r="FG185" s="413"/>
      <c r="FH185" s="413"/>
      <c r="FI185" s="413"/>
      <c r="FJ185" s="413"/>
      <c r="FK185" s="413"/>
      <c r="FL185" s="413"/>
      <c r="FM185" s="413"/>
      <c r="FN185" s="413"/>
      <c r="FO185" s="413"/>
    </row>
    <row r="186" spans="2:223">
      <c r="C186" s="140"/>
      <c r="CP186" s="150"/>
      <c r="CQ186" s="150"/>
      <c r="CR186" s="150"/>
      <c r="CS186" s="150"/>
      <c r="CT186" s="150"/>
      <c r="CU186" s="151"/>
      <c r="CV186" s="150"/>
      <c r="CW186" s="150"/>
      <c r="CX186" s="150"/>
      <c r="CY186" s="150"/>
      <c r="CZ186" s="150"/>
      <c r="DB186" s="150"/>
      <c r="DC186" s="150"/>
      <c r="DD186" s="150"/>
      <c r="DE186" s="150"/>
      <c r="DF186" s="150"/>
      <c r="DH186" s="150"/>
      <c r="DI186" s="150"/>
      <c r="DJ186" s="150"/>
      <c r="DK186" s="150"/>
      <c r="DL186" s="150"/>
      <c r="DN186" s="150"/>
      <c r="DO186" s="150"/>
      <c r="DP186" s="150"/>
      <c r="DQ186" s="150"/>
      <c r="DR186" s="150"/>
      <c r="DT186" s="150"/>
      <c r="DU186" s="150"/>
      <c r="DV186" s="150"/>
      <c r="DW186" s="150"/>
      <c r="DX186" s="150"/>
      <c r="DZ186" s="150"/>
      <c r="EA186" s="150"/>
      <c r="EB186" s="150"/>
      <c r="EC186" s="150"/>
      <c r="ED186" s="150"/>
      <c r="ET186" s="8"/>
      <c r="FD186" s="413"/>
      <c r="FE186" s="413"/>
      <c r="FF186" s="413"/>
      <c r="FG186" s="413"/>
      <c r="FH186" s="413"/>
      <c r="FI186" s="413"/>
      <c r="FJ186" s="413"/>
      <c r="FK186" s="413"/>
      <c r="FL186" s="413"/>
      <c r="FM186" s="413"/>
      <c r="FN186" s="413"/>
      <c r="FO186" s="413"/>
    </row>
    <row r="187" spans="2:223">
      <c r="C187" s="140"/>
      <c r="CP187" s="150"/>
      <c r="CQ187" s="150"/>
      <c r="CR187" s="150"/>
      <c r="CS187" s="150"/>
      <c r="CT187" s="151"/>
      <c r="CU187" s="151"/>
      <c r="CV187" s="150"/>
      <c r="CW187" s="150"/>
      <c r="CX187" s="150"/>
      <c r="DE187" s="155"/>
      <c r="ET187" s="8"/>
      <c r="FD187" s="413"/>
      <c r="FE187" s="413"/>
      <c r="FF187" s="413"/>
      <c r="FG187" s="413"/>
      <c r="FH187" s="413"/>
      <c r="FI187" s="413"/>
      <c r="FJ187" s="413"/>
      <c r="FK187" s="413"/>
      <c r="FL187" s="413"/>
      <c r="FM187" s="413"/>
      <c r="FN187" s="413"/>
      <c r="FO187" s="413"/>
    </row>
    <row r="188" spans="2:223">
      <c r="CS188" s="150"/>
      <c r="CT188" s="151"/>
      <c r="CU188" s="151"/>
      <c r="CV188" s="150"/>
      <c r="CW188" s="150"/>
      <c r="CX188" s="150"/>
      <c r="DE188" s="155"/>
      <c r="ET188" s="8"/>
      <c r="FD188" s="413"/>
      <c r="FE188" s="413"/>
      <c r="FF188" s="413"/>
      <c r="FG188" s="413"/>
      <c r="FH188" s="413"/>
      <c r="FI188" s="413"/>
      <c r="FJ188" s="413"/>
      <c r="FK188" s="413"/>
      <c r="FL188" s="413"/>
      <c r="FM188" s="413"/>
      <c r="FN188" s="413"/>
      <c r="FO188" s="413"/>
    </row>
    <row r="189" spans="2:223">
      <c r="CS189" s="150"/>
      <c r="CT189" s="151"/>
      <c r="CU189" s="151"/>
      <c r="CV189" s="150"/>
      <c r="CW189" s="150"/>
      <c r="CX189" s="150"/>
      <c r="DE189" s="155"/>
      <c r="ET189" s="8"/>
      <c r="FD189" s="413"/>
      <c r="FE189" s="413"/>
      <c r="FF189" s="413"/>
      <c r="FG189" s="413"/>
      <c r="FH189" s="413"/>
      <c r="FI189" s="413"/>
      <c r="FJ189" s="413"/>
      <c r="FK189" s="413"/>
      <c r="FL189" s="413"/>
      <c r="FM189" s="413"/>
      <c r="FN189" s="413"/>
      <c r="FO189" s="413"/>
    </row>
    <row r="190" spans="2:223">
      <c r="C190" s="140"/>
      <c r="CP190" s="150"/>
      <c r="CQ190" s="150"/>
      <c r="CR190" s="150"/>
      <c r="CS190" s="150"/>
      <c r="CT190" s="151"/>
      <c r="CU190" s="151"/>
      <c r="CV190" s="150"/>
      <c r="CW190" s="150"/>
      <c r="CX190" s="150"/>
      <c r="DE190" s="155"/>
      <c r="ET190" s="8"/>
      <c r="FD190" s="413"/>
      <c r="FE190" s="413"/>
      <c r="FF190" s="413"/>
      <c r="FG190" s="413"/>
      <c r="FH190" s="413"/>
      <c r="FI190" s="413"/>
      <c r="FJ190" s="413"/>
      <c r="FK190" s="413"/>
      <c r="FL190" s="413"/>
      <c r="FM190" s="413"/>
      <c r="FN190" s="413"/>
      <c r="FO190" s="413"/>
    </row>
    <row r="191" spans="2:223">
      <c r="CP191" s="34"/>
      <c r="CQ191" s="34"/>
      <c r="CR191" s="34"/>
      <c r="CS191" s="34"/>
      <c r="CV191" s="34"/>
      <c r="CW191" s="34"/>
      <c r="CX191" s="34"/>
      <c r="DC191" s="155"/>
      <c r="ET191" s="8"/>
      <c r="FD191" s="413"/>
      <c r="FE191" s="413"/>
      <c r="FF191" s="413"/>
      <c r="FG191" s="413"/>
      <c r="FH191" s="413"/>
      <c r="FI191" s="413"/>
      <c r="FJ191" s="413"/>
      <c r="FK191" s="413"/>
      <c r="FL191" s="413"/>
      <c r="FM191" s="413"/>
      <c r="FN191" s="413"/>
      <c r="FO191" s="413"/>
    </row>
    <row r="192" spans="2:223" hidden="1" outlineLevel="1">
      <c r="B192" s="115"/>
      <c r="CP192" s="17"/>
      <c r="ET192" s="8"/>
      <c r="FD192" s="413"/>
      <c r="FE192" s="413"/>
      <c r="FF192" s="413"/>
      <c r="FG192" s="413"/>
      <c r="FH192" s="413"/>
      <c r="FI192" s="413"/>
      <c r="FJ192" s="413"/>
      <c r="FK192" s="413"/>
      <c r="FL192" s="413"/>
      <c r="FM192" s="413"/>
      <c r="FN192" s="413"/>
      <c r="FO192" s="413"/>
    </row>
    <row r="193" spans="2:171" hidden="1" outlineLevel="1">
      <c r="CL193" s="17"/>
      <c r="CP193" s="17"/>
      <c r="CQ193" s="17"/>
      <c r="CR193" s="17"/>
      <c r="CS193" s="17"/>
      <c r="CT193" s="17"/>
      <c r="CV193" s="17"/>
      <c r="CW193" s="17"/>
      <c r="CX193" s="17"/>
      <c r="CY193" s="17"/>
      <c r="CZ193" s="17"/>
      <c r="DA193" s="17"/>
      <c r="DB193" s="17"/>
      <c r="DC193" s="17"/>
      <c r="DD193" s="17"/>
      <c r="DE193" s="17"/>
      <c r="DF193" s="17"/>
      <c r="ET193" s="8"/>
      <c r="FD193" s="413"/>
      <c r="FE193" s="413"/>
      <c r="FF193" s="413"/>
      <c r="FG193" s="413"/>
      <c r="FH193" s="413"/>
      <c r="FI193" s="413"/>
      <c r="FJ193" s="413"/>
      <c r="FK193" s="413"/>
      <c r="FL193" s="413"/>
      <c r="FM193" s="413"/>
      <c r="FN193" s="413"/>
      <c r="FO193" s="413"/>
    </row>
    <row r="194" spans="2:171" hidden="1" outlineLevel="1">
      <c r="CL194" s="17"/>
      <c r="CP194" s="17"/>
      <c r="CQ194" s="17"/>
      <c r="CR194" s="17"/>
      <c r="CS194" s="17"/>
      <c r="CT194" s="17"/>
      <c r="CV194" s="17"/>
      <c r="CW194" s="17"/>
      <c r="CX194" s="17"/>
      <c r="CY194" s="17"/>
      <c r="CZ194" s="17"/>
      <c r="DA194" s="17"/>
      <c r="DB194" s="17"/>
      <c r="DC194" s="17"/>
      <c r="DD194" s="17"/>
      <c r="DE194" s="17"/>
      <c r="DF194" s="17"/>
      <c r="ET194" s="8"/>
      <c r="FD194" s="413"/>
      <c r="FE194" s="413"/>
      <c r="FF194" s="413"/>
      <c r="FG194" s="413"/>
      <c r="FH194" s="413"/>
      <c r="FI194" s="413"/>
      <c r="FJ194" s="413"/>
      <c r="FK194" s="413"/>
      <c r="FL194" s="413"/>
      <c r="FM194" s="413"/>
      <c r="FN194" s="413"/>
      <c r="FO194" s="413"/>
    </row>
    <row r="195" spans="2:171" hidden="1" outlineLevel="1">
      <c r="CP195" s="109"/>
      <c r="CQ195" s="17"/>
      <c r="CR195" s="17"/>
      <c r="CS195" s="17"/>
      <c r="CT195" s="17"/>
      <c r="CV195" s="17"/>
      <c r="CW195" s="17"/>
      <c r="CX195" s="17"/>
      <c r="CY195" s="17"/>
      <c r="CZ195" s="17"/>
      <c r="DA195" s="17"/>
      <c r="DB195" s="17"/>
      <c r="DC195" s="17"/>
      <c r="DD195" s="17"/>
      <c r="DE195" s="17"/>
      <c r="DF195" s="17"/>
      <c r="ET195" s="8"/>
      <c r="FD195" s="413"/>
      <c r="FE195" s="413"/>
      <c r="FF195" s="413"/>
      <c r="FG195" s="413"/>
      <c r="FH195" s="413"/>
      <c r="FI195" s="413"/>
      <c r="FJ195" s="413"/>
      <c r="FK195" s="413"/>
      <c r="FL195" s="413"/>
      <c r="FM195" s="413"/>
      <c r="FN195" s="413"/>
      <c r="FO195" s="413"/>
    </row>
    <row r="196" spans="2:171" hidden="1" outlineLevel="1">
      <c r="CP196" s="17"/>
      <c r="CQ196" s="17"/>
      <c r="CR196" s="17"/>
      <c r="CS196" s="17"/>
      <c r="CT196" s="17"/>
      <c r="CV196" s="17"/>
      <c r="CW196" s="17"/>
      <c r="CX196" s="17"/>
      <c r="CY196" s="17"/>
      <c r="CZ196" s="17"/>
      <c r="DA196" s="17"/>
      <c r="DB196" s="17"/>
      <c r="DC196" s="17"/>
      <c r="DD196" s="17"/>
      <c r="DE196" s="17"/>
      <c r="DF196" s="17"/>
      <c r="ET196" s="8"/>
      <c r="FD196" s="413"/>
      <c r="FE196" s="413"/>
      <c r="FF196" s="413"/>
      <c r="FG196" s="413"/>
      <c r="FH196" s="413"/>
      <c r="FI196" s="413"/>
      <c r="FJ196" s="413"/>
      <c r="FK196" s="413"/>
      <c r="FL196" s="413"/>
      <c r="FM196" s="413"/>
      <c r="FN196" s="413"/>
      <c r="FO196" s="413"/>
    </row>
    <row r="197" spans="2:171" hidden="1" outlineLevel="1">
      <c r="CP197" s="17"/>
      <c r="CQ197" s="109"/>
      <c r="CR197" s="109"/>
      <c r="CS197" s="109"/>
      <c r="CT197" s="109"/>
      <c r="CV197" s="17"/>
      <c r="CW197" s="17"/>
      <c r="CX197" s="17"/>
      <c r="CY197" s="17"/>
      <c r="CZ197" s="17"/>
      <c r="DA197" s="17"/>
      <c r="DB197" s="17"/>
      <c r="DC197" s="17"/>
      <c r="DD197" s="17"/>
      <c r="DE197" s="17"/>
      <c r="DF197" s="17"/>
      <c r="ET197" s="8"/>
      <c r="FD197" s="413"/>
      <c r="FE197" s="413"/>
      <c r="FF197" s="413"/>
      <c r="FG197" s="413"/>
      <c r="FH197" s="413"/>
      <c r="FI197" s="413"/>
      <c r="FJ197" s="413"/>
      <c r="FK197" s="413"/>
      <c r="FL197" s="413"/>
      <c r="FM197" s="413"/>
      <c r="FN197" s="413"/>
      <c r="FO197" s="413"/>
    </row>
    <row r="198" spans="2:171" hidden="1" outlineLevel="1">
      <c r="CP198" s="17"/>
      <c r="CQ198" s="17"/>
      <c r="CR198" s="17"/>
      <c r="CS198" s="17"/>
      <c r="CT198" s="17"/>
      <c r="CV198" s="17"/>
      <c r="CW198" s="17"/>
      <c r="CX198" s="17"/>
      <c r="CY198" s="17"/>
      <c r="CZ198" s="17"/>
      <c r="DA198" s="17"/>
      <c r="DB198" s="17"/>
      <c r="DC198" s="17"/>
      <c r="DD198" s="17"/>
      <c r="DE198" s="17"/>
      <c r="DF198" s="17"/>
      <c r="ET198" s="8"/>
      <c r="FD198" s="413"/>
      <c r="FE198" s="413"/>
      <c r="FF198" s="413"/>
      <c r="FG198" s="413"/>
      <c r="FH198" s="413"/>
      <c r="FI198" s="413"/>
      <c r="FJ198" s="413"/>
      <c r="FK198" s="413"/>
      <c r="FL198" s="413"/>
      <c r="FM198" s="413"/>
      <c r="FN198" s="413"/>
      <c r="FO198" s="413"/>
    </row>
    <row r="199" spans="2:171" hidden="1" outlineLevel="1">
      <c r="CP199" s="17"/>
      <c r="CQ199" s="17"/>
      <c r="CR199" s="17"/>
      <c r="CS199" s="17"/>
      <c r="CT199" s="17"/>
      <c r="CV199" s="17"/>
      <c r="CW199" s="17"/>
      <c r="CX199" s="17"/>
      <c r="CY199" s="17"/>
      <c r="CZ199" s="17"/>
      <c r="DA199" s="17"/>
      <c r="DB199" s="17"/>
      <c r="DC199" s="17"/>
      <c r="DD199" s="17"/>
      <c r="DE199" s="17"/>
      <c r="DF199" s="17"/>
      <c r="ET199" s="8"/>
      <c r="FD199" s="413"/>
      <c r="FE199" s="413"/>
      <c r="FF199" s="413"/>
      <c r="FG199" s="413"/>
      <c r="FH199" s="413"/>
      <c r="FI199" s="413"/>
      <c r="FJ199" s="413"/>
      <c r="FK199" s="413"/>
      <c r="FL199" s="413"/>
      <c r="FM199" s="413"/>
      <c r="FN199" s="413"/>
      <c r="FO199" s="413"/>
    </row>
    <row r="200" spans="2:171" hidden="1" outlineLevel="1">
      <c r="CL200" s="17"/>
      <c r="CP200" s="17"/>
      <c r="CQ200" s="17"/>
      <c r="CR200" s="17"/>
      <c r="CS200" s="17"/>
      <c r="CT200" s="17"/>
      <c r="CV200" s="17"/>
      <c r="CW200" s="17"/>
      <c r="CX200" s="17"/>
      <c r="CY200" s="17"/>
      <c r="CZ200" s="17"/>
      <c r="DA200" s="17"/>
      <c r="DB200" s="17"/>
      <c r="DC200" s="17"/>
      <c r="DD200" s="17"/>
      <c r="DE200" s="17"/>
      <c r="DF200" s="17"/>
      <c r="ET200" s="8"/>
      <c r="FD200" s="413"/>
      <c r="FE200" s="413"/>
      <c r="FF200" s="413"/>
      <c r="FG200" s="413"/>
      <c r="FH200" s="413"/>
      <c r="FI200" s="413"/>
      <c r="FJ200" s="413"/>
      <c r="FK200" s="413"/>
      <c r="FL200" s="413"/>
      <c r="FM200" s="413"/>
      <c r="FN200" s="413"/>
      <c r="FO200" s="413"/>
    </row>
    <row r="201" spans="2:171" hidden="1" outlineLevel="1">
      <c r="CP201" s="17"/>
      <c r="CQ201" s="109"/>
      <c r="CR201" s="109"/>
      <c r="CS201" s="109"/>
      <c r="CT201" s="109"/>
      <c r="CV201" s="17"/>
      <c r="CW201" s="17"/>
      <c r="CX201" s="17"/>
      <c r="CY201" s="17"/>
      <c r="CZ201" s="17"/>
      <c r="DA201" s="17"/>
      <c r="DB201" s="17"/>
      <c r="DC201" s="17"/>
      <c r="DD201" s="17"/>
      <c r="DE201" s="17"/>
      <c r="DF201" s="17"/>
      <c r="ET201" s="8"/>
      <c r="FD201" s="413"/>
      <c r="FE201" s="413"/>
      <c r="FF201" s="413"/>
      <c r="FG201" s="413"/>
      <c r="FH201" s="413"/>
      <c r="FI201" s="413"/>
      <c r="FJ201" s="413"/>
      <c r="FK201" s="413"/>
      <c r="FL201" s="413"/>
      <c r="FM201" s="413"/>
      <c r="FN201" s="413"/>
      <c r="FO201" s="413"/>
    </row>
    <row r="202" spans="2:171" hidden="1" outlineLevel="1">
      <c r="C202" s="120"/>
      <c r="CL202" s="17"/>
      <c r="CP202" s="17"/>
      <c r="CQ202" s="17"/>
      <c r="CR202" s="17"/>
      <c r="CS202" s="17"/>
      <c r="CT202" s="17"/>
      <c r="CV202" s="17"/>
      <c r="CW202" s="17"/>
      <c r="CX202" s="17"/>
      <c r="CY202" s="17"/>
      <c r="CZ202" s="17"/>
      <c r="DA202" s="17"/>
      <c r="DB202" s="17"/>
      <c r="DC202" s="17"/>
      <c r="DD202" s="17"/>
      <c r="DE202" s="17"/>
      <c r="DF202" s="17"/>
      <c r="ET202" s="8"/>
      <c r="FD202" s="413"/>
      <c r="FE202" s="413"/>
      <c r="FF202" s="413"/>
      <c r="FG202" s="413"/>
      <c r="FH202" s="413"/>
      <c r="FI202" s="413"/>
      <c r="FJ202" s="413"/>
      <c r="FK202" s="413"/>
      <c r="FL202" s="413"/>
      <c r="FM202" s="413"/>
      <c r="FN202" s="413"/>
      <c r="FO202" s="413"/>
    </row>
    <row r="203" spans="2:171" hidden="1" outlineLevel="1">
      <c r="CK203" s="18"/>
      <c r="CL203" s="18"/>
      <c r="CP203" s="18"/>
      <c r="CQ203" s="18"/>
      <c r="CR203" s="18"/>
      <c r="CS203" s="18"/>
      <c r="CT203" s="18"/>
      <c r="CV203" s="18"/>
      <c r="CW203" s="18"/>
      <c r="CX203" s="18"/>
      <c r="CY203" s="18"/>
      <c r="CZ203" s="18"/>
      <c r="DA203" s="18"/>
      <c r="DB203" s="18"/>
      <c r="DC203" s="18"/>
      <c r="DD203" s="18"/>
      <c r="DE203" s="18"/>
      <c r="DF203" s="18"/>
      <c r="ET203" s="8"/>
      <c r="FD203" s="413"/>
      <c r="FE203" s="413"/>
      <c r="FF203" s="413"/>
      <c r="FG203" s="413"/>
      <c r="FH203" s="413"/>
      <c r="FI203" s="413"/>
      <c r="FJ203" s="413"/>
      <c r="FK203" s="413"/>
      <c r="FL203" s="413"/>
      <c r="FM203" s="413"/>
      <c r="FN203" s="413"/>
      <c r="FO203" s="413"/>
    </row>
    <row r="204" spans="2:171" hidden="1" outlineLevel="1">
      <c r="C204" s="140"/>
      <c r="CL204" s="34"/>
      <c r="CP204" s="34"/>
      <c r="CQ204" s="34"/>
      <c r="CR204" s="34"/>
      <c r="CS204" s="34"/>
      <c r="CT204" s="34"/>
      <c r="CV204" s="34"/>
      <c r="CW204" s="34"/>
      <c r="CX204" s="34"/>
      <c r="ET204" s="8"/>
      <c r="FD204" s="413"/>
      <c r="FE204" s="413"/>
      <c r="FF204" s="413"/>
      <c r="FG204" s="413"/>
      <c r="FH204" s="413"/>
      <c r="FI204" s="413"/>
      <c r="FJ204" s="413"/>
      <c r="FK204" s="413"/>
      <c r="FL204" s="413"/>
      <c r="FM204" s="413"/>
      <c r="FN204" s="413"/>
      <c r="FO204" s="413"/>
    </row>
    <row r="205" spans="2:171" hidden="1" outlineLevel="1">
      <c r="ET205" s="8"/>
      <c r="FD205" s="413"/>
      <c r="FE205" s="413"/>
      <c r="FF205" s="413"/>
      <c r="FG205" s="413"/>
      <c r="FH205" s="413"/>
      <c r="FI205" s="413"/>
      <c r="FJ205" s="413"/>
      <c r="FK205" s="413"/>
      <c r="FL205" s="413"/>
      <c r="FM205" s="413"/>
      <c r="FN205" s="413"/>
      <c r="FO205" s="413"/>
    </row>
    <row r="206" spans="2:171" hidden="1" outlineLevel="1">
      <c r="B206" s="115"/>
      <c r="ET206" s="8"/>
      <c r="FD206" s="413"/>
      <c r="FE206" s="413"/>
      <c r="FF206" s="413"/>
      <c r="FG206" s="413"/>
      <c r="FH206" s="413"/>
      <c r="FI206" s="413"/>
      <c r="FJ206" s="413"/>
      <c r="FK206" s="413"/>
      <c r="FL206" s="413"/>
      <c r="FM206" s="413"/>
      <c r="FN206" s="413"/>
      <c r="FO206" s="413"/>
    </row>
    <row r="207" spans="2:171" hidden="1" outlineLevel="1">
      <c r="BV207" s="17"/>
      <c r="BX207" s="17"/>
      <c r="BY207" s="17"/>
      <c r="BZ207" s="17"/>
      <c r="CA207" s="17"/>
      <c r="CB207" s="17"/>
      <c r="CC207" s="17"/>
      <c r="CD207" s="17"/>
      <c r="CE207" s="17"/>
      <c r="CF207" s="17"/>
      <c r="CG207" s="17"/>
      <c r="CH207" s="17"/>
      <c r="CI207" s="17"/>
      <c r="CJ207" s="17"/>
      <c r="CK207" s="17"/>
      <c r="CL207" s="17"/>
      <c r="CM207" s="17"/>
      <c r="CN207" s="17"/>
      <c r="CP207" s="17"/>
      <c r="CQ207" s="17"/>
      <c r="CR207" s="17"/>
      <c r="CS207" s="17"/>
      <c r="CT207" s="17"/>
      <c r="CV207" s="17"/>
      <c r="CW207" s="17"/>
      <c r="CX207" s="17"/>
      <c r="CY207" s="17"/>
      <c r="CZ207" s="17"/>
      <c r="DA207" s="17"/>
      <c r="DB207" s="17"/>
      <c r="DC207" s="17"/>
      <c r="DD207" s="17"/>
      <c r="DE207" s="17"/>
      <c r="DF207" s="17"/>
      <c r="ET207" s="8"/>
      <c r="FD207" s="413"/>
      <c r="FE207" s="413"/>
      <c r="FF207" s="413"/>
      <c r="FG207" s="413"/>
      <c r="FH207" s="413"/>
      <c r="FI207" s="413"/>
      <c r="FJ207" s="413"/>
      <c r="FK207" s="413"/>
      <c r="FL207" s="413"/>
      <c r="FM207" s="413"/>
      <c r="FN207" s="413"/>
      <c r="FO207" s="413"/>
    </row>
    <row r="208" spans="2:171" hidden="1" outlineLevel="1">
      <c r="BV208" s="17"/>
      <c r="BX208" s="17"/>
      <c r="BY208" s="17"/>
      <c r="BZ208" s="17"/>
      <c r="CA208" s="17"/>
      <c r="CB208" s="17"/>
      <c r="CC208" s="17"/>
      <c r="CD208" s="17"/>
      <c r="CE208" s="17"/>
      <c r="CF208" s="17"/>
      <c r="CG208" s="17"/>
      <c r="CH208" s="17"/>
      <c r="CI208" s="17"/>
      <c r="CJ208" s="17"/>
      <c r="CK208" s="17"/>
      <c r="CL208" s="17"/>
      <c r="CM208" s="17"/>
      <c r="CN208" s="17"/>
      <c r="CP208" s="17"/>
      <c r="CQ208" s="17"/>
      <c r="CR208" s="17"/>
      <c r="CS208" s="17"/>
      <c r="CT208" s="17"/>
      <c r="CV208" s="17"/>
      <c r="CW208" s="17"/>
      <c r="CX208" s="17"/>
      <c r="CY208" s="17"/>
      <c r="CZ208" s="17"/>
      <c r="DA208" s="17"/>
      <c r="DB208" s="17"/>
      <c r="DC208" s="17"/>
      <c r="DD208" s="17"/>
      <c r="DE208" s="17"/>
      <c r="DF208" s="17"/>
      <c r="ET208" s="8"/>
      <c r="FD208" s="413"/>
      <c r="FE208" s="413"/>
      <c r="FF208" s="413"/>
      <c r="FG208" s="413"/>
      <c r="FH208" s="413"/>
      <c r="FI208" s="413"/>
      <c r="FJ208" s="413"/>
      <c r="FK208" s="413"/>
      <c r="FL208" s="413"/>
      <c r="FM208" s="413"/>
      <c r="FN208" s="413"/>
      <c r="FO208" s="413"/>
    </row>
    <row r="209" spans="2:171" hidden="1" outlineLevel="1">
      <c r="BV209" s="17"/>
      <c r="BX209" s="17"/>
      <c r="BY209" s="17"/>
      <c r="BZ209" s="17"/>
      <c r="CA209" s="17"/>
      <c r="CB209" s="17"/>
      <c r="CC209" s="17"/>
      <c r="CD209" s="17"/>
      <c r="CE209" s="17"/>
      <c r="CF209" s="17"/>
      <c r="CG209" s="17"/>
      <c r="CH209" s="17"/>
      <c r="CI209" s="17"/>
      <c r="CJ209" s="17"/>
      <c r="CK209" s="17"/>
      <c r="CL209" s="17"/>
      <c r="CM209" s="17"/>
      <c r="CN209" s="17"/>
      <c r="CP209" s="17"/>
      <c r="CQ209" s="17"/>
      <c r="CR209" s="17"/>
      <c r="CS209" s="17"/>
      <c r="CT209" s="17"/>
      <c r="CV209" s="17"/>
      <c r="CW209" s="17"/>
      <c r="CX209" s="17"/>
      <c r="CY209" s="17"/>
      <c r="CZ209" s="17"/>
      <c r="DA209" s="17"/>
      <c r="DB209" s="17"/>
      <c r="DC209" s="17"/>
      <c r="DD209" s="17"/>
      <c r="DE209" s="17"/>
      <c r="DF209" s="17"/>
      <c r="ET209" s="8"/>
      <c r="FD209" s="413"/>
      <c r="FE209" s="413"/>
      <c r="FF209" s="413"/>
      <c r="FG209" s="413"/>
      <c r="FH209" s="413"/>
      <c r="FI209" s="413"/>
      <c r="FJ209" s="413"/>
      <c r="FK209" s="413"/>
      <c r="FL209" s="413"/>
      <c r="FM209" s="413"/>
      <c r="FN209" s="413"/>
      <c r="FO209" s="413"/>
    </row>
    <row r="210" spans="2:171" hidden="1" outlineLevel="1">
      <c r="BV210" s="17"/>
      <c r="BX210" s="17"/>
      <c r="BY210" s="17"/>
      <c r="BZ210" s="17"/>
      <c r="CA210" s="17"/>
      <c r="CB210" s="17"/>
      <c r="CC210" s="17"/>
      <c r="CD210" s="17"/>
      <c r="CE210" s="17"/>
      <c r="CF210" s="17"/>
      <c r="CG210" s="17"/>
      <c r="CH210" s="17"/>
      <c r="CI210" s="17"/>
      <c r="CJ210" s="17"/>
      <c r="CK210" s="17"/>
      <c r="CL210" s="17"/>
      <c r="CM210" s="17"/>
      <c r="CN210" s="17"/>
      <c r="CP210" s="17"/>
      <c r="CQ210" s="17"/>
      <c r="CR210" s="17"/>
      <c r="CS210" s="17"/>
      <c r="CT210" s="17"/>
      <c r="CV210" s="17"/>
      <c r="CW210" s="17"/>
      <c r="CX210" s="17"/>
      <c r="CY210" s="17"/>
      <c r="CZ210" s="17"/>
      <c r="DA210" s="17"/>
      <c r="DB210" s="17"/>
      <c r="DC210" s="17"/>
      <c r="DD210" s="17"/>
      <c r="DE210" s="17"/>
      <c r="DF210" s="17"/>
      <c r="ET210" s="8"/>
      <c r="FD210" s="413"/>
      <c r="FE210" s="413"/>
      <c r="FF210" s="413"/>
      <c r="FG210" s="413"/>
      <c r="FH210" s="413"/>
      <c r="FI210" s="413"/>
      <c r="FJ210" s="413"/>
      <c r="FK210" s="413"/>
      <c r="FL210" s="413"/>
      <c r="FM210" s="413"/>
      <c r="FN210" s="413"/>
      <c r="FO210" s="413"/>
    </row>
    <row r="211" spans="2:171" hidden="1" outlineLevel="1">
      <c r="BV211" s="17"/>
      <c r="BX211" s="17"/>
      <c r="BY211" s="17"/>
      <c r="BZ211" s="17"/>
      <c r="CA211" s="17"/>
      <c r="CB211" s="17"/>
      <c r="CC211" s="17"/>
      <c r="CD211" s="17"/>
      <c r="CE211" s="17"/>
      <c r="CF211" s="17"/>
      <c r="CG211" s="17"/>
      <c r="CH211" s="17"/>
      <c r="CI211" s="17"/>
      <c r="CJ211" s="17"/>
      <c r="CK211" s="17"/>
      <c r="CL211" s="17"/>
      <c r="CM211" s="17"/>
      <c r="CN211" s="17"/>
      <c r="CP211" s="17"/>
      <c r="CQ211" s="17"/>
      <c r="CR211" s="17"/>
      <c r="CS211" s="17"/>
      <c r="CT211" s="17"/>
      <c r="CV211" s="17"/>
      <c r="CW211" s="17"/>
      <c r="CX211" s="17"/>
      <c r="CY211" s="17"/>
      <c r="CZ211" s="17"/>
      <c r="DA211" s="17"/>
      <c r="DB211" s="17"/>
      <c r="DC211" s="17"/>
      <c r="DD211" s="17"/>
      <c r="DE211" s="17"/>
      <c r="DF211" s="17"/>
      <c r="ET211" s="8"/>
      <c r="FD211" s="413"/>
      <c r="FE211" s="413"/>
      <c r="FF211" s="413"/>
      <c r="FG211" s="413"/>
      <c r="FH211" s="413"/>
      <c r="FI211" s="413"/>
      <c r="FJ211" s="413"/>
      <c r="FK211" s="413"/>
      <c r="FL211" s="413"/>
      <c r="FM211" s="413"/>
      <c r="FN211" s="413"/>
      <c r="FO211" s="413"/>
    </row>
    <row r="212" spans="2:171" hidden="1" outlineLevel="1">
      <c r="BV212" s="17"/>
      <c r="BX212" s="17"/>
      <c r="BY212" s="17"/>
      <c r="BZ212" s="17"/>
      <c r="CA212" s="17"/>
      <c r="CB212" s="17"/>
      <c r="CC212" s="17"/>
      <c r="CD212" s="17"/>
      <c r="CE212" s="17"/>
      <c r="CF212" s="17"/>
      <c r="CG212" s="17"/>
      <c r="CH212" s="17"/>
      <c r="CI212" s="17"/>
      <c r="CJ212" s="17"/>
      <c r="CK212" s="17"/>
      <c r="CL212" s="17"/>
      <c r="CM212" s="17"/>
      <c r="CN212" s="17"/>
      <c r="CP212" s="17"/>
      <c r="CQ212" s="17"/>
      <c r="CR212" s="17"/>
      <c r="CS212" s="17"/>
      <c r="CT212" s="17"/>
      <c r="CV212" s="17"/>
      <c r="CW212" s="17"/>
      <c r="CX212" s="17"/>
      <c r="CY212" s="17"/>
      <c r="CZ212" s="17"/>
      <c r="DA212" s="17"/>
      <c r="DB212" s="17"/>
      <c r="DC212" s="17"/>
      <c r="DD212" s="17"/>
      <c r="DE212" s="17"/>
      <c r="DF212" s="17"/>
      <c r="ET212" s="8"/>
      <c r="FD212" s="413"/>
      <c r="FE212" s="413"/>
      <c r="FF212" s="413"/>
      <c r="FG212" s="413"/>
      <c r="FH212" s="413"/>
      <c r="FI212" s="413"/>
      <c r="FJ212" s="413"/>
      <c r="FK212" s="413"/>
      <c r="FL212" s="413"/>
      <c r="FM212" s="413"/>
      <c r="FN212" s="413"/>
      <c r="FO212" s="413"/>
    </row>
    <row r="213" spans="2:171" hidden="1" outlineLevel="1">
      <c r="BV213" s="17"/>
      <c r="BX213" s="17"/>
      <c r="BY213" s="17"/>
      <c r="BZ213" s="17"/>
      <c r="CA213" s="17"/>
      <c r="CB213" s="17"/>
      <c r="CC213" s="17"/>
      <c r="CD213" s="17"/>
      <c r="CE213" s="17"/>
      <c r="CF213" s="17"/>
      <c r="CG213" s="17"/>
      <c r="CH213" s="17"/>
      <c r="CI213" s="17"/>
      <c r="CJ213" s="17"/>
      <c r="CK213" s="17"/>
      <c r="CL213" s="17"/>
      <c r="CM213" s="17"/>
      <c r="CN213" s="17"/>
      <c r="CP213" s="17"/>
      <c r="CQ213" s="17"/>
      <c r="CR213" s="17"/>
      <c r="CS213" s="17"/>
      <c r="CT213" s="17"/>
      <c r="CV213" s="17"/>
      <c r="CW213" s="17"/>
      <c r="CX213" s="17"/>
      <c r="CY213" s="17"/>
      <c r="CZ213" s="17"/>
      <c r="DA213" s="17"/>
      <c r="DB213" s="17"/>
      <c r="DC213" s="17"/>
      <c r="DD213" s="17"/>
      <c r="DE213" s="17"/>
      <c r="DF213" s="17"/>
      <c r="ET213" s="8"/>
      <c r="FD213" s="413"/>
      <c r="FE213" s="413"/>
      <c r="FF213" s="413"/>
      <c r="FG213" s="413"/>
      <c r="FH213" s="413"/>
      <c r="FI213" s="413"/>
      <c r="FJ213" s="413"/>
      <c r="FK213" s="413"/>
      <c r="FL213" s="413"/>
      <c r="FM213" s="413"/>
      <c r="FN213" s="413"/>
      <c r="FO213" s="413"/>
    </row>
    <row r="214" spans="2:171" hidden="1" outlineLevel="1">
      <c r="BV214" s="17"/>
      <c r="BX214" s="17"/>
      <c r="BY214" s="17"/>
      <c r="BZ214" s="17"/>
      <c r="CA214" s="17"/>
      <c r="CB214" s="17"/>
      <c r="CC214" s="17"/>
      <c r="CD214" s="17"/>
      <c r="CE214" s="17"/>
      <c r="CF214" s="17"/>
      <c r="CG214" s="17"/>
      <c r="CH214" s="17"/>
      <c r="CI214" s="17"/>
      <c r="CJ214" s="17"/>
      <c r="CK214" s="17"/>
      <c r="CL214" s="17"/>
      <c r="CM214" s="17"/>
      <c r="CN214" s="17"/>
      <c r="CP214" s="17"/>
      <c r="CQ214" s="17"/>
      <c r="CR214" s="17"/>
      <c r="CS214" s="17"/>
      <c r="CT214" s="17"/>
      <c r="CV214" s="17"/>
      <c r="CW214" s="17"/>
      <c r="CX214" s="17"/>
      <c r="CY214" s="17"/>
      <c r="CZ214" s="17"/>
      <c r="DA214" s="17"/>
      <c r="DB214" s="17"/>
      <c r="DC214" s="17"/>
      <c r="DD214" s="17"/>
      <c r="DE214" s="17"/>
      <c r="DF214" s="17"/>
      <c r="ET214" s="8"/>
      <c r="FD214" s="413"/>
      <c r="FE214" s="413"/>
      <c r="FF214" s="413"/>
      <c r="FG214" s="413"/>
      <c r="FH214" s="413"/>
      <c r="FI214" s="413"/>
      <c r="FJ214" s="413"/>
      <c r="FK214" s="413"/>
      <c r="FL214" s="413"/>
      <c r="FM214" s="413"/>
      <c r="FN214" s="413"/>
      <c r="FO214" s="413"/>
    </row>
    <row r="215" spans="2:171" hidden="1" outlineLevel="1">
      <c r="BV215" s="18"/>
      <c r="BX215" s="17"/>
      <c r="BY215" s="17"/>
      <c r="BZ215" s="17"/>
      <c r="CA215" s="17"/>
      <c r="CB215" s="17"/>
      <c r="CC215" s="17"/>
      <c r="CD215" s="17"/>
      <c r="CE215" s="17"/>
      <c r="CF215" s="17"/>
      <c r="CG215" s="17"/>
      <c r="CH215" s="17"/>
      <c r="CI215" s="17"/>
      <c r="CJ215" s="17"/>
      <c r="CK215" s="17"/>
      <c r="CL215" s="17"/>
      <c r="CM215" s="17"/>
      <c r="CN215" s="17"/>
      <c r="CP215" s="17"/>
      <c r="CQ215" s="17"/>
      <c r="CR215" s="17"/>
      <c r="CS215" s="18"/>
      <c r="CT215" s="17"/>
      <c r="CV215" s="17"/>
      <c r="CW215" s="17"/>
      <c r="CX215" s="17"/>
      <c r="CY215" s="17"/>
      <c r="CZ215" s="17"/>
      <c r="DA215" s="17"/>
      <c r="DB215" s="17"/>
      <c r="DC215" s="17"/>
      <c r="DD215" s="17"/>
      <c r="DE215" s="17"/>
      <c r="DF215" s="17"/>
      <c r="ET215" s="8"/>
      <c r="FD215" s="413"/>
      <c r="FE215" s="413"/>
      <c r="FF215" s="413"/>
      <c r="FG215" s="413"/>
      <c r="FH215" s="413"/>
      <c r="FI215" s="413"/>
      <c r="FJ215" s="413"/>
      <c r="FK215" s="413"/>
      <c r="FL215" s="413"/>
      <c r="FM215" s="413"/>
      <c r="FN215" s="413"/>
      <c r="FO215" s="413"/>
    </row>
    <row r="216" spans="2:171" hidden="1" outlineLevel="1">
      <c r="C216" s="120"/>
      <c r="BV216" s="18"/>
      <c r="BX216" s="114"/>
      <c r="BY216" s="114"/>
      <c r="BZ216" s="114"/>
      <c r="CA216" s="18"/>
      <c r="CB216" s="114"/>
      <c r="CC216" s="114"/>
      <c r="CD216" s="18"/>
      <c r="CE216" s="18"/>
      <c r="CF216" s="18"/>
      <c r="CG216" s="18"/>
      <c r="CH216" s="114"/>
      <c r="CI216" s="114"/>
      <c r="CJ216" s="18"/>
      <c r="CK216" s="18"/>
      <c r="CL216" s="18"/>
      <c r="CM216" s="18"/>
      <c r="CN216" s="114"/>
      <c r="CP216" s="18"/>
      <c r="CQ216" s="18"/>
      <c r="CR216" s="18"/>
      <c r="CS216" s="18"/>
      <c r="CT216" s="114"/>
      <c r="CV216" s="18"/>
      <c r="CW216" s="18"/>
      <c r="CX216" s="18"/>
      <c r="CY216" s="18"/>
      <c r="CZ216" s="18"/>
      <c r="DA216" s="18"/>
      <c r="DB216" s="18"/>
      <c r="DC216" s="18"/>
      <c r="DD216" s="18"/>
      <c r="DE216" s="18"/>
      <c r="DF216" s="18"/>
      <c r="ET216" s="8"/>
      <c r="FD216" s="413"/>
      <c r="FE216" s="413"/>
      <c r="FF216" s="413"/>
      <c r="FG216" s="413"/>
      <c r="FH216" s="413"/>
      <c r="FI216" s="413"/>
      <c r="FJ216" s="413"/>
      <c r="FK216" s="413"/>
      <c r="FL216" s="413"/>
      <c r="FM216" s="413"/>
      <c r="FN216" s="413"/>
      <c r="FO216" s="413"/>
    </row>
    <row r="217" spans="2:171" hidden="1" outlineLevel="1">
      <c r="BV217" s="17"/>
      <c r="BX217" s="17"/>
      <c r="BY217" s="17"/>
      <c r="BZ217" s="17"/>
      <c r="CA217" s="17"/>
      <c r="CB217" s="17"/>
      <c r="CC217" s="17"/>
      <c r="CD217" s="17"/>
      <c r="CE217" s="17"/>
      <c r="CF217" s="17"/>
      <c r="CG217" s="17"/>
      <c r="CH217" s="17"/>
      <c r="CI217" s="17"/>
      <c r="CJ217" s="17"/>
      <c r="CK217" s="17"/>
      <c r="CL217" s="17"/>
      <c r="CM217" s="17"/>
      <c r="CN217" s="17"/>
      <c r="CP217" s="17"/>
      <c r="CQ217" s="17"/>
      <c r="CR217" s="17"/>
      <c r="CS217" s="17"/>
      <c r="CT217" s="17"/>
      <c r="CV217" s="17"/>
      <c r="CW217" s="17"/>
      <c r="CX217" s="17"/>
      <c r="CY217" s="17"/>
      <c r="CZ217" s="17"/>
      <c r="DA217" s="17"/>
      <c r="DB217" s="17"/>
      <c r="DC217" s="17"/>
      <c r="DD217" s="17"/>
      <c r="DE217" s="17"/>
      <c r="DF217" s="17"/>
      <c r="ET217" s="8"/>
      <c r="FD217" s="413"/>
      <c r="FE217" s="413"/>
      <c r="FF217" s="413"/>
      <c r="FG217" s="413"/>
      <c r="FH217" s="413"/>
      <c r="FI217" s="413"/>
      <c r="FJ217" s="413"/>
      <c r="FK217" s="413"/>
      <c r="FL217" s="413"/>
      <c r="FM217" s="413"/>
      <c r="FN217" s="413"/>
      <c r="FO217" s="413"/>
    </row>
    <row r="218" spans="2:171" hidden="1" outlineLevel="1">
      <c r="C218" s="140"/>
      <c r="BV218" s="17"/>
      <c r="BX218" s="34"/>
      <c r="BY218" s="34"/>
      <c r="BZ218" s="34"/>
      <c r="CA218" s="34"/>
      <c r="CB218" s="34"/>
      <c r="CC218" s="34"/>
      <c r="CD218" s="34"/>
      <c r="CE218" s="34"/>
      <c r="CF218" s="34"/>
      <c r="CG218" s="34"/>
      <c r="CH218" s="34"/>
      <c r="CI218" s="34"/>
      <c r="CJ218" s="34"/>
      <c r="CK218" s="34"/>
      <c r="CL218" s="34"/>
      <c r="CM218" s="34"/>
      <c r="CN218" s="34"/>
      <c r="CP218" s="34"/>
      <c r="CQ218" s="34"/>
      <c r="CR218" s="34"/>
      <c r="CS218" s="17"/>
      <c r="CT218" s="34"/>
      <c r="CV218" s="34"/>
      <c r="CW218" s="34"/>
      <c r="CX218" s="34"/>
      <c r="ET218" s="8"/>
      <c r="FD218" s="413"/>
      <c r="FE218" s="413"/>
      <c r="FF218" s="413"/>
      <c r="FG218" s="413"/>
      <c r="FH218" s="413"/>
      <c r="FI218" s="413"/>
      <c r="FJ218" s="413"/>
      <c r="FK218" s="413"/>
      <c r="FL218" s="413"/>
      <c r="FM218" s="413"/>
      <c r="FN218" s="413"/>
      <c r="FO218" s="413"/>
    </row>
    <row r="219" spans="2:171" hidden="1" outlineLevel="1">
      <c r="ET219" s="8"/>
      <c r="FD219" s="413"/>
      <c r="FE219" s="413"/>
      <c r="FF219" s="413"/>
      <c r="FG219" s="413"/>
      <c r="FH219" s="413"/>
      <c r="FI219" s="413"/>
      <c r="FJ219" s="413"/>
      <c r="FK219" s="413"/>
      <c r="FL219" s="413"/>
      <c r="FM219" s="413"/>
      <c r="FN219" s="413"/>
      <c r="FO219" s="413"/>
    </row>
    <row r="220" spans="2:171" hidden="1" outlineLevel="1">
      <c r="B220" s="115"/>
      <c r="ET220" s="8"/>
      <c r="FD220" s="413"/>
      <c r="FE220" s="413"/>
      <c r="FF220" s="413"/>
      <c r="FG220" s="413"/>
      <c r="FH220" s="413"/>
      <c r="FI220" s="413"/>
      <c r="FJ220" s="413"/>
      <c r="FK220" s="413"/>
      <c r="FL220" s="413"/>
      <c r="FM220" s="413"/>
      <c r="FN220" s="413"/>
      <c r="FO220" s="413"/>
    </row>
    <row r="221" spans="2:171" hidden="1" outlineLevel="1">
      <c r="BX221" s="17"/>
      <c r="BY221" s="17"/>
      <c r="BZ221" s="17"/>
      <c r="CA221" s="17"/>
      <c r="CB221" s="17"/>
      <c r="CC221" s="17"/>
      <c r="CD221" s="17"/>
      <c r="CE221" s="17"/>
      <c r="CF221" s="17"/>
      <c r="CG221" s="17"/>
      <c r="CH221" s="17"/>
      <c r="CI221" s="17"/>
      <c r="CJ221" s="17"/>
      <c r="CK221" s="17"/>
      <c r="CL221" s="17"/>
      <c r="CM221" s="17"/>
      <c r="CN221" s="17"/>
      <c r="CP221" s="17"/>
      <c r="CQ221" s="17"/>
      <c r="CR221" s="17"/>
      <c r="CS221" s="17"/>
      <c r="CT221" s="17"/>
      <c r="CV221" s="17"/>
      <c r="CW221" s="17"/>
      <c r="CX221" s="17"/>
      <c r="CY221" s="17"/>
      <c r="CZ221" s="17"/>
      <c r="DA221" s="17"/>
      <c r="DB221" s="17"/>
      <c r="DC221" s="17"/>
      <c r="DD221" s="17"/>
      <c r="DE221" s="17"/>
      <c r="DF221" s="17"/>
      <c r="ET221" s="8"/>
      <c r="FD221" s="413"/>
      <c r="FE221" s="413"/>
      <c r="FF221" s="413"/>
      <c r="FG221" s="413"/>
      <c r="FH221" s="413"/>
      <c r="FI221" s="413"/>
      <c r="FJ221" s="413"/>
      <c r="FK221" s="413"/>
      <c r="FL221" s="413"/>
      <c r="FM221" s="413"/>
      <c r="FN221" s="413"/>
      <c r="FO221" s="413"/>
    </row>
    <row r="222" spans="2:171" hidden="1" outlineLevel="1">
      <c r="BX222" s="17"/>
      <c r="BY222" s="17"/>
      <c r="BZ222" s="17"/>
      <c r="CA222" s="17"/>
      <c r="CB222" s="17"/>
      <c r="CC222" s="17"/>
      <c r="CD222" s="17"/>
      <c r="CE222" s="17"/>
      <c r="CF222" s="17"/>
      <c r="CG222" s="17"/>
      <c r="CH222" s="17"/>
      <c r="CI222" s="17"/>
      <c r="CJ222" s="17"/>
      <c r="CK222" s="17"/>
      <c r="CL222" s="17"/>
      <c r="CM222" s="17"/>
      <c r="CN222" s="17"/>
      <c r="CP222" s="17"/>
      <c r="CQ222" s="17"/>
      <c r="CR222" s="17"/>
      <c r="CS222" s="17"/>
      <c r="CT222" s="17"/>
      <c r="CV222" s="17"/>
      <c r="CW222" s="17"/>
      <c r="CX222" s="17"/>
      <c r="CY222" s="17"/>
      <c r="CZ222" s="17"/>
      <c r="DA222" s="17"/>
      <c r="DB222" s="17"/>
      <c r="DC222" s="17"/>
      <c r="DD222" s="17"/>
      <c r="DE222" s="17"/>
      <c r="DF222" s="17"/>
      <c r="ET222" s="8"/>
      <c r="FD222" s="413"/>
      <c r="FE222" s="413"/>
      <c r="FF222" s="413"/>
      <c r="FG222" s="413"/>
      <c r="FH222" s="413"/>
      <c r="FI222" s="413"/>
      <c r="FJ222" s="413"/>
      <c r="FK222" s="413"/>
      <c r="FL222" s="413"/>
      <c r="FM222" s="413"/>
      <c r="FN222" s="413"/>
      <c r="FO222" s="413"/>
    </row>
    <row r="223" spans="2:171" hidden="1" outlineLevel="1">
      <c r="BX223" s="17"/>
      <c r="BY223" s="17"/>
      <c r="BZ223" s="17"/>
      <c r="CA223" s="17"/>
      <c r="CB223" s="17"/>
      <c r="CC223" s="17"/>
      <c r="CD223" s="17"/>
      <c r="CE223" s="17"/>
      <c r="CF223" s="17"/>
      <c r="CG223" s="17"/>
      <c r="CH223" s="17"/>
      <c r="CI223" s="17"/>
      <c r="CJ223" s="17"/>
      <c r="CK223" s="17"/>
      <c r="CL223" s="17"/>
      <c r="CM223" s="17"/>
      <c r="CN223" s="17"/>
      <c r="CP223" s="17"/>
      <c r="CQ223" s="17"/>
      <c r="CR223" s="17"/>
      <c r="CS223" s="17"/>
      <c r="CT223" s="17"/>
      <c r="CV223" s="17"/>
      <c r="CW223" s="17"/>
      <c r="CX223" s="17"/>
      <c r="CY223" s="17"/>
      <c r="CZ223" s="17"/>
      <c r="DA223" s="17"/>
      <c r="DB223" s="17"/>
      <c r="DC223" s="17"/>
      <c r="DD223" s="17"/>
      <c r="DE223" s="17"/>
      <c r="DF223" s="17"/>
      <c r="ET223" s="8"/>
      <c r="FD223" s="413"/>
      <c r="FE223" s="413"/>
      <c r="FF223" s="413"/>
      <c r="FG223" s="413"/>
      <c r="FH223" s="413"/>
      <c r="FI223" s="413"/>
      <c r="FJ223" s="413"/>
      <c r="FK223" s="413"/>
      <c r="FL223" s="413"/>
      <c r="FM223" s="413"/>
      <c r="FN223" s="413"/>
      <c r="FO223" s="413"/>
    </row>
    <row r="224" spans="2:171" hidden="1" outlineLevel="1">
      <c r="BX224" s="17"/>
      <c r="BY224" s="17"/>
      <c r="BZ224" s="17"/>
      <c r="CA224" s="17"/>
      <c r="CB224" s="17"/>
      <c r="CC224" s="17"/>
      <c r="CD224" s="17"/>
      <c r="CE224" s="17"/>
      <c r="CF224" s="17"/>
      <c r="CG224" s="17"/>
      <c r="CH224" s="17"/>
      <c r="CI224" s="17"/>
      <c r="CJ224" s="109"/>
      <c r="CK224" s="109"/>
      <c r="CL224" s="17"/>
      <c r="CM224" s="17"/>
      <c r="CN224" s="17"/>
      <c r="CP224" s="17"/>
      <c r="CQ224" s="17"/>
      <c r="CR224" s="17"/>
      <c r="CS224" s="17"/>
      <c r="CT224" s="17"/>
      <c r="CV224" s="17"/>
      <c r="CW224" s="17"/>
      <c r="CX224" s="17"/>
      <c r="CY224" s="17"/>
      <c r="CZ224" s="17"/>
      <c r="DA224" s="17"/>
      <c r="DB224" s="17"/>
      <c r="DC224" s="17"/>
      <c r="DD224" s="17"/>
      <c r="DE224" s="17"/>
      <c r="DF224" s="17"/>
      <c r="ET224" s="8"/>
      <c r="FD224" s="413"/>
      <c r="FE224" s="413"/>
      <c r="FF224" s="413"/>
      <c r="FG224" s="413"/>
      <c r="FH224" s="413"/>
      <c r="FI224" s="413"/>
      <c r="FJ224" s="413"/>
      <c r="FK224" s="413"/>
      <c r="FL224" s="413"/>
      <c r="FM224" s="413"/>
      <c r="FN224" s="413"/>
      <c r="FO224" s="413"/>
    </row>
    <row r="225" spans="2:171" hidden="1" outlineLevel="1">
      <c r="BX225" s="17"/>
      <c r="BY225" s="17"/>
      <c r="BZ225" s="17"/>
      <c r="CA225" s="17"/>
      <c r="CB225" s="17"/>
      <c r="CC225" s="17"/>
      <c r="CD225" s="17"/>
      <c r="CE225" s="17"/>
      <c r="CF225" s="17"/>
      <c r="CG225" s="17"/>
      <c r="CH225" s="17"/>
      <c r="CI225" s="17"/>
      <c r="CJ225" s="17"/>
      <c r="CK225" s="17"/>
      <c r="CL225" s="17"/>
      <c r="CM225" s="17"/>
      <c r="CN225" s="17"/>
      <c r="CP225" s="17"/>
      <c r="CQ225" s="17"/>
      <c r="CR225" s="17"/>
      <c r="CS225" s="17"/>
      <c r="CT225" s="17"/>
      <c r="CV225" s="17"/>
      <c r="CW225" s="17"/>
      <c r="CX225" s="17"/>
      <c r="CY225" s="17"/>
      <c r="CZ225" s="17"/>
      <c r="DA225" s="17"/>
      <c r="DB225" s="17"/>
      <c r="DC225" s="17"/>
      <c r="DD225" s="17"/>
      <c r="DE225" s="17"/>
      <c r="DF225" s="17"/>
      <c r="ET225" s="8"/>
      <c r="FD225" s="413"/>
      <c r="FE225" s="413"/>
      <c r="FF225" s="413"/>
      <c r="FG225" s="413"/>
      <c r="FH225" s="413"/>
      <c r="FI225" s="413"/>
      <c r="FJ225" s="413"/>
      <c r="FK225" s="413"/>
      <c r="FL225" s="413"/>
      <c r="FM225" s="413"/>
      <c r="FN225" s="413"/>
      <c r="FO225" s="413"/>
    </row>
    <row r="226" spans="2:171" hidden="1" outlineLevel="1">
      <c r="BX226" s="17"/>
      <c r="BY226" s="17"/>
      <c r="BZ226" s="17"/>
      <c r="CA226" s="17"/>
      <c r="CB226" s="17"/>
      <c r="CC226" s="17"/>
      <c r="CD226" s="17"/>
      <c r="CE226" s="17"/>
      <c r="CF226" s="17"/>
      <c r="CG226" s="17"/>
      <c r="CH226" s="17"/>
      <c r="CI226" s="17"/>
      <c r="CJ226" s="17"/>
      <c r="CK226" s="17"/>
      <c r="CL226" s="17"/>
      <c r="CM226" s="17"/>
      <c r="CN226" s="17"/>
      <c r="CP226" s="17"/>
      <c r="CQ226" s="17"/>
      <c r="CR226" s="17"/>
      <c r="CS226" s="17"/>
      <c r="CT226" s="17"/>
      <c r="CV226" s="17"/>
      <c r="CW226" s="17"/>
      <c r="CX226" s="17"/>
      <c r="CY226" s="17"/>
      <c r="CZ226" s="17"/>
      <c r="DA226" s="17"/>
      <c r="DB226" s="17"/>
      <c r="DC226" s="17"/>
      <c r="DD226" s="17"/>
      <c r="DE226" s="17"/>
      <c r="DF226" s="17"/>
      <c r="ET226" s="8"/>
      <c r="FD226" s="413"/>
      <c r="FE226" s="413"/>
      <c r="FF226" s="413"/>
      <c r="FG226" s="413"/>
      <c r="FH226" s="413"/>
      <c r="FI226" s="413"/>
      <c r="FJ226" s="413"/>
      <c r="FK226" s="413"/>
      <c r="FL226" s="413"/>
      <c r="FM226" s="413"/>
      <c r="FN226" s="413"/>
      <c r="FO226" s="413"/>
    </row>
    <row r="227" spans="2:171" hidden="1" outlineLevel="1">
      <c r="BX227" s="17"/>
      <c r="BY227" s="17"/>
      <c r="BZ227" s="17"/>
      <c r="CA227" s="17"/>
      <c r="CB227" s="17"/>
      <c r="CC227" s="17"/>
      <c r="CD227" s="17"/>
      <c r="CE227" s="17"/>
      <c r="CF227" s="17"/>
      <c r="CG227" s="17"/>
      <c r="CH227" s="109"/>
      <c r="CI227" s="17"/>
      <c r="CJ227" s="109"/>
      <c r="CK227" s="109"/>
      <c r="CL227" s="109"/>
      <c r="CM227" s="17"/>
      <c r="CN227" s="17"/>
      <c r="CP227" s="17"/>
      <c r="CQ227" s="17"/>
      <c r="CR227" s="17"/>
      <c r="CS227" s="17"/>
      <c r="CT227" s="17"/>
      <c r="CV227" s="17"/>
      <c r="CW227" s="17"/>
      <c r="CX227" s="17"/>
      <c r="CY227" s="17"/>
      <c r="CZ227" s="17"/>
      <c r="DA227" s="17"/>
      <c r="DB227" s="17"/>
      <c r="DC227" s="17"/>
      <c r="DD227" s="17"/>
      <c r="DE227" s="17"/>
      <c r="DF227" s="17"/>
      <c r="ET227" s="8"/>
      <c r="FD227" s="413"/>
      <c r="FE227" s="413"/>
      <c r="FF227" s="413"/>
      <c r="FG227" s="413"/>
      <c r="FH227" s="413"/>
      <c r="FI227" s="413"/>
      <c r="FJ227" s="413"/>
      <c r="FK227" s="413"/>
      <c r="FL227" s="413"/>
      <c r="FM227" s="413"/>
      <c r="FN227" s="413"/>
      <c r="FO227" s="413"/>
    </row>
    <row r="228" spans="2:171" hidden="1" outlineLevel="1">
      <c r="BX228" s="17"/>
      <c r="BY228" s="17"/>
      <c r="BZ228" s="17"/>
      <c r="CA228" s="17"/>
      <c r="CB228" s="17"/>
      <c r="CC228" s="17"/>
      <c r="CD228" s="17"/>
      <c r="CE228" s="17"/>
      <c r="CF228" s="17"/>
      <c r="CG228" s="17"/>
      <c r="CH228" s="109"/>
      <c r="CI228" s="17"/>
      <c r="CJ228" s="109"/>
      <c r="CK228" s="109"/>
      <c r="CL228" s="17"/>
      <c r="CM228" s="17"/>
      <c r="CN228" s="17"/>
      <c r="CP228" s="17"/>
      <c r="CQ228" s="17"/>
      <c r="CR228" s="17"/>
      <c r="CS228" s="17"/>
      <c r="CT228" s="17"/>
      <c r="CV228" s="17"/>
      <c r="CW228" s="17"/>
      <c r="CX228" s="17"/>
      <c r="CY228" s="17"/>
      <c r="CZ228" s="17"/>
      <c r="DA228" s="17"/>
      <c r="DB228" s="17"/>
      <c r="DC228" s="17"/>
      <c r="DD228" s="17"/>
      <c r="DE228" s="17"/>
      <c r="DF228" s="17"/>
      <c r="ET228" s="8"/>
      <c r="FD228" s="413"/>
      <c r="FE228" s="413"/>
      <c r="FF228" s="413"/>
      <c r="FG228" s="413"/>
      <c r="FH228" s="413"/>
      <c r="FI228" s="413"/>
      <c r="FJ228" s="413"/>
      <c r="FK228" s="413"/>
      <c r="FL228" s="413"/>
      <c r="FM228" s="413"/>
      <c r="FN228" s="413"/>
      <c r="FO228" s="413"/>
    </row>
    <row r="229" spans="2:171" hidden="1" outlineLevel="1">
      <c r="C229" s="120"/>
      <c r="BX229" s="114"/>
      <c r="BY229" s="114"/>
      <c r="BZ229" s="114"/>
      <c r="CA229" s="18"/>
      <c r="CB229" s="18"/>
      <c r="CC229" s="114"/>
      <c r="CD229" s="18"/>
      <c r="CE229" s="18"/>
      <c r="CF229" s="18"/>
      <c r="CG229" s="18"/>
      <c r="CH229" s="18"/>
      <c r="CI229" s="114"/>
      <c r="CJ229" s="18"/>
      <c r="CK229" s="18"/>
      <c r="CL229" s="18"/>
      <c r="CM229" s="18"/>
      <c r="CN229" s="18"/>
      <c r="CP229" s="18"/>
      <c r="CQ229" s="18"/>
      <c r="CR229" s="18"/>
      <c r="CS229" s="18"/>
      <c r="CT229" s="18"/>
      <c r="CV229" s="18"/>
      <c r="CW229" s="18"/>
      <c r="CX229" s="18"/>
      <c r="CY229" s="18"/>
      <c r="CZ229" s="18"/>
      <c r="DA229" s="18"/>
      <c r="DB229" s="18"/>
      <c r="DC229" s="18"/>
      <c r="DD229" s="18"/>
      <c r="DE229" s="18"/>
      <c r="DF229" s="18"/>
      <c r="ET229" s="8"/>
      <c r="FD229" s="413"/>
      <c r="FE229" s="413"/>
      <c r="FF229" s="413"/>
      <c r="FG229" s="413"/>
      <c r="FH229" s="413"/>
      <c r="FI229" s="413"/>
      <c r="FJ229" s="413"/>
      <c r="FK229" s="413"/>
      <c r="FL229" s="413"/>
      <c r="FM229" s="413"/>
      <c r="FN229" s="413"/>
      <c r="FO229" s="413"/>
    </row>
    <row r="230" spans="2:171" hidden="1" outlineLevel="1">
      <c r="BX230" s="17"/>
      <c r="BY230" s="17"/>
      <c r="BZ230" s="17"/>
      <c r="CA230" s="17"/>
      <c r="CB230" s="17"/>
      <c r="CC230" s="17"/>
      <c r="CD230" s="17"/>
      <c r="CE230" s="17"/>
      <c r="CF230" s="17"/>
      <c r="CG230" s="17"/>
      <c r="CH230" s="17"/>
      <c r="CI230" s="17"/>
      <c r="CJ230" s="17"/>
      <c r="CK230" s="17"/>
      <c r="CL230" s="17"/>
      <c r="CM230" s="17"/>
      <c r="CN230" s="17"/>
      <c r="CP230" s="17"/>
      <c r="CQ230" s="17"/>
      <c r="CR230" s="17"/>
      <c r="CS230" s="17"/>
      <c r="CT230" s="17"/>
      <c r="CV230" s="17"/>
      <c r="CW230" s="17"/>
      <c r="CX230" s="17"/>
      <c r="CY230" s="17"/>
      <c r="CZ230" s="17"/>
      <c r="DA230" s="17"/>
      <c r="DB230" s="17"/>
      <c r="DC230" s="17"/>
      <c r="DD230" s="17"/>
      <c r="DE230" s="17"/>
      <c r="DF230" s="17"/>
      <c r="ET230" s="8"/>
      <c r="FD230" s="413"/>
      <c r="FE230" s="413"/>
      <c r="FF230" s="413"/>
      <c r="FG230" s="413"/>
      <c r="FH230" s="413"/>
      <c r="FI230" s="413"/>
      <c r="FJ230" s="413"/>
      <c r="FK230" s="413"/>
      <c r="FL230" s="413"/>
      <c r="FM230" s="413"/>
      <c r="FN230" s="413"/>
      <c r="FO230" s="413"/>
    </row>
    <row r="231" spans="2:171" hidden="1" outlineLevel="1">
      <c r="C231" s="140"/>
      <c r="BX231" s="34"/>
      <c r="BY231" s="34"/>
      <c r="BZ231" s="34"/>
      <c r="CA231" s="34"/>
      <c r="CB231" s="34"/>
      <c r="CC231" s="34"/>
      <c r="CD231" s="34"/>
      <c r="CE231" s="34"/>
      <c r="CF231" s="34"/>
      <c r="CG231" s="34"/>
      <c r="CH231" s="34"/>
      <c r="CI231" s="34"/>
      <c r="CJ231" s="34"/>
      <c r="CK231" s="34"/>
      <c r="CL231" s="34"/>
      <c r="CM231" s="34"/>
      <c r="CN231" s="34"/>
      <c r="CP231" s="34"/>
      <c r="CQ231" s="34"/>
      <c r="CR231" s="34"/>
      <c r="CS231" s="34"/>
      <c r="CT231" s="34"/>
      <c r="CV231" s="34"/>
      <c r="CW231" s="34"/>
      <c r="CX231" s="34"/>
      <c r="CY231" s="34"/>
      <c r="CZ231" s="34"/>
      <c r="ET231" s="8"/>
      <c r="FD231" s="413"/>
      <c r="FE231" s="413"/>
      <c r="FF231" s="413"/>
      <c r="FG231" s="413"/>
      <c r="FH231" s="413"/>
      <c r="FI231" s="413"/>
      <c r="FJ231" s="413"/>
      <c r="FK231" s="413"/>
      <c r="FL231" s="413"/>
      <c r="FM231" s="413"/>
      <c r="FN231" s="413"/>
      <c r="FO231" s="413"/>
    </row>
    <row r="232" spans="2:171" hidden="1" outlineLevel="1">
      <c r="ET232" s="8"/>
      <c r="FD232" s="413"/>
      <c r="FE232" s="413"/>
      <c r="FF232" s="413"/>
      <c r="FG232" s="413"/>
      <c r="FH232" s="413"/>
      <c r="FI232" s="413"/>
      <c r="FJ232" s="413"/>
      <c r="FK232" s="413"/>
      <c r="FL232" s="413"/>
      <c r="FM232" s="413"/>
      <c r="FN232" s="413"/>
      <c r="FO232" s="413"/>
    </row>
    <row r="233" spans="2:171" hidden="1" outlineLevel="1">
      <c r="B233" s="115"/>
      <c r="ET233" s="8"/>
      <c r="FD233" s="413"/>
      <c r="FE233" s="413"/>
      <c r="FF233" s="413"/>
      <c r="FG233" s="413"/>
      <c r="FH233" s="413"/>
      <c r="FI233" s="413"/>
      <c r="FJ233" s="413"/>
      <c r="FK233" s="413"/>
      <c r="FL233" s="413"/>
      <c r="FM233" s="413"/>
      <c r="FN233" s="413"/>
      <c r="FO233" s="413"/>
    </row>
    <row r="234" spans="2:171" hidden="1" outlineLevel="1">
      <c r="BX234" s="17"/>
      <c r="BY234" s="17"/>
      <c r="BZ234" s="17"/>
      <c r="CA234" s="17"/>
      <c r="CB234" s="17"/>
      <c r="CC234" s="17"/>
      <c r="CD234" s="17"/>
      <c r="CE234" s="17"/>
      <c r="CF234" s="17"/>
      <c r="CG234" s="17"/>
      <c r="CH234" s="17"/>
      <c r="CI234" s="17"/>
      <c r="CJ234" s="17"/>
      <c r="CK234" s="17"/>
      <c r="CL234" s="17"/>
      <c r="CM234" s="17"/>
      <c r="CN234" s="17"/>
      <c r="CP234" s="17"/>
      <c r="CQ234" s="17"/>
      <c r="CR234" s="17"/>
      <c r="CS234" s="17"/>
      <c r="CT234" s="17"/>
      <c r="CV234" s="17"/>
      <c r="CW234" s="17"/>
      <c r="CX234" s="17"/>
      <c r="CY234" s="17"/>
      <c r="CZ234" s="17"/>
      <c r="DA234" s="17"/>
      <c r="DB234" s="17"/>
      <c r="DC234" s="17"/>
      <c r="DD234" s="17"/>
      <c r="DE234" s="17"/>
      <c r="DF234" s="17"/>
      <c r="ET234" s="8"/>
      <c r="FD234" s="413"/>
      <c r="FE234" s="413"/>
      <c r="FF234" s="413"/>
      <c r="FG234" s="413"/>
      <c r="FH234" s="413"/>
      <c r="FI234" s="413"/>
      <c r="FJ234" s="413"/>
      <c r="FK234" s="413"/>
      <c r="FL234" s="413"/>
      <c r="FM234" s="413"/>
      <c r="FN234" s="413"/>
      <c r="FO234" s="413"/>
    </row>
    <row r="235" spans="2:171" hidden="1" outlineLevel="1">
      <c r="BX235" s="17"/>
      <c r="BY235" s="17"/>
      <c r="BZ235" s="17"/>
      <c r="CA235" s="17"/>
      <c r="CB235" s="17"/>
      <c r="CC235" s="17"/>
      <c r="CD235" s="17"/>
      <c r="CE235" s="17"/>
      <c r="CF235" s="17"/>
      <c r="CG235" s="17"/>
      <c r="CH235" s="17"/>
      <c r="CI235" s="17"/>
      <c r="CJ235" s="17"/>
      <c r="CK235" s="17"/>
      <c r="CL235" s="17"/>
      <c r="CM235" s="17"/>
      <c r="CN235" s="17"/>
      <c r="CP235" s="17"/>
      <c r="CQ235" s="17"/>
      <c r="CR235" s="17"/>
      <c r="CS235" s="17"/>
      <c r="CT235" s="17"/>
      <c r="CV235" s="17"/>
      <c r="CW235" s="17"/>
      <c r="CX235" s="17"/>
      <c r="CY235" s="17"/>
      <c r="CZ235" s="17"/>
      <c r="DA235" s="17"/>
      <c r="DB235" s="17"/>
      <c r="DC235" s="17"/>
      <c r="DD235" s="17"/>
      <c r="DE235" s="17"/>
      <c r="DF235" s="17"/>
      <c r="ET235" s="8"/>
      <c r="FD235" s="413"/>
      <c r="FE235" s="413"/>
      <c r="FF235" s="413"/>
      <c r="FG235" s="413"/>
      <c r="FH235" s="413"/>
      <c r="FI235" s="413"/>
      <c r="FJ235" s="413"/>
      <c r="FK235" s="413"/>
      <c r="FL235" s="413"/>
      <c r="FM235" s="413"/>
      <c r="FN235" s="413"/>
      <c r="FO235" s="413"/>
    </row>
    <row r="236" spans="2:171" hidden="1" outlineLevel="1">
      <c r="BX236" s="17"/>
      <c r="BY236" s="17"/>
      <c r="BZ236" s="17"/>
      <c r="CA236" s="17"/>
      <c r="CB236" s="17"/>
      <c r="CC236" s="17"/>
      <c r="CD236" s="17"/>
      <c r="CE236" s="17"/>
      <c r="CF236" s="17"/>
      <c r="CG236" s="17"/>
      <c r="CH236" s="17"/>
      <c r="CI236" s="17"/>
      <c r="CJ236" s="17"/>
      <c r="CK236" s="17"/>
      <c r="CL236" s="17"/>
      <c r="CM236" s="17"/>
      <c r="CN236" s="17"/>
      <c r="CP236" s="17"/>
      <c r="CQ236" s="17"/>
      <c r="CR236" s="17"/>
      <c r="CS236" s="17"/>
      <c r="CT236" s="17"/>
      <c r="CV236" s="17"/>
      <c r="CW236" s="17"/>
      <c r="CX236" s="17"/>
      <c r="CY236" s="17"/>
      <c r="CZ236" s="17"/>
      <c r="DA236" s="17"/>
      <c r="DB236" s="17"/>
      <c r="DC236" s="17"/>
      <c r="DD236" s="17"/>
      <c r="DE236" s="17"/>
      <c r="DF236" s="17"/>
      <c r="ET236" s="8"/>
      <c r="FD236" s="413"/>
      <c r="FE236" s="413"/>
      <c r="FF236" s="413"/>
      <c r="FG236" s="413"/>
      <c r="FH236" s="413"/>
      <c r="FI236" s="413"/>
      <c r="FJ236" s="413"/>
      <c r="FK236" s="413"/>
      <c r="FL236" s="413"/>
      <c r="FM236" s="413"/>
      <c r="FN236" s="413"/>
      <c r="FO236" s="413"/>
    </row>
    <row r="237" spans="2:171" hidden="1" outlineLevel="1">
      <c r="BX237" s="17"/>
      <c r="BY237" s="17"/>
      <c r="BZ237" s="17"/>
      <c r="CA237" s="17"/>
      <c r="CB237" s="17"/>
      <c r="CC237" s="17"/>
      <c r="CD237" s="17"/>
      <c r="CE237" s="17"/>
      <c r="CF237" s="17"/>
      <c r="CG237" s="17"/>
      <c r="CH237" s="17"/>
      <c r="CI237" s="17"/>
      <c r="CJ237" s="17"/>
      <c r="CK237" s="17"/>
      <c r="CL237" s="17"/>
      <c r="CM237" s="17"/>
      <c r="CN237" s="17"/>
      <c r="CP237" s="17"/>
      <c r="CQ237" s="17"/>
      <c r="CR237" s="17"/>
      <c r="CS237" s="17"/>
      <c r="CT237" s="17"/>
      <c r="CV237" s="17"/>
      <c r="CW237" s="17"/>
      <c r="CX237" s="17"/>
      <c r="CY237" s="17"/>
      <c r="CZ237" s="17"/>
      <c r="DA237" s="17"/>
      <c r="DB237" s="17"/>
      <c r="DC237" s="17"/>
      <c r="DD237" s="17"/>
      <c r="DE237" s="17"/>
      <c r="DF237" s="17"/>
      <c r="ET237" s="8"/>
      <c r="FD237" s="413"/>
      <c r="FE237" s="413"/>
      <c r="FF237" s="413"/>
      <c r="FG237" s="413"/>
      <c r="FH237" s="413"/>
      <c r="FI237" s="413"/>
      <c r="FJ237" s="413"/>
      <c r="FK237" s="413"/>
      <c r="FL237" s="413"/>
      <c r="FM237" s="413"/>
      <c r="FN237" s="413"/>
      <c r="FO237" s="413"/>
    </row>
    <row r="238" spans="2:171" hidden="1" outlineLevel="1">
      <c r="C238" s="120"/>
      <c r="BX238" s="114"/>
      <c r="BY238" s="114"/>
      <c r="BZ238" s="114"/>
      <c r="CA238" s="18"/>
      <c r="CB238" s="114"/>
      <c r="CC238" s="114"/>
      <c r="CD238" s="114"/>
      <c r="CE238" s="18"/>
      <c r="CF238" s="18"/>
      <c r="CG238" s="18"/>
      <c r="CH238" s="114"/>
      <c r="CI238" s="114"/>
      <c r="CJ238" s="114"/>
      <c r="CK238" s="114"/>
      <c r="CL238" s="18"/>
      <c r="CM238" s="18"/>
      <c r="CN238" s="114"/>
      <c r="CP238" s="114"/>
      <c r="CQ238" s="114"/>
      <c r="CR238" s="114"/>
      <c r="CS238" s="114"/>
      <c r="CT238" s="114"/>
      <c r="CV238" s="114"/>
      <c r="CW238" s="114"/>
      <c r="CX238" s="114"/>
      <c r="CY238" s="114"/>
      <c r="CZ238" s="114"/>
      <c r="DA238" s="18"/>
      <c r="DB238" s="18"/>
      <c r="DC238" s="18"/>
      <c r="DD238" s="18"/>
      <c r="DE238" s="18"/>
      <c r="DF238" s="18"/>
      <c r="ET238" s="8"/>
      <c r="FD238" s="413"/>
      <c r="FE238" s="413"/>
      <c r="FF238" s="413"/>
      <c r="FG238" s="413"/>
      <c r="FH238" s="413"/>
      <c r="FI238" s="413"/>
      <c r="FJ238" s="413"/>
      <c r="FK238" s="413"/>
      <c r="FL238" s="413"/>
      <c r="FM238" s="413"/>
      <c r="FN238" s="413"/>
      <c r="FO238" s="413"/>
    </row>
    <row r="239" spans="2:171" hidden="1" outlineLevel="1">
      <c r="BX239" s="17"/>
      <c r="BY239" s="17"/>
      <c r="BZ239" s="17"/>
      <c r="CA239" s="17"/>
      <c r="CB239" s="17"/>
      <c r="CC239" s="17"/>
      <c r="CD239" s="17"/>
      <c r="CE239" s="17"/>
      <c r="CF239" s="17"/>
      <c r="CG239" s="17"/>
      <c r="CH239" s="17"/>
      <c r="CI239" s="17"/>
      <c r="CJ239" s="17"/>
      <c r="CK239" s="17"/>
      <c r="CL239" s="17"/>
      <c r="CM239" s="17"/>
      <c r="CN239" s="17"/>
      <c r="CP239" s="17"/>
      <c r="CQ239" s="17"/>
      <c r="CR239" s="17"/>
      <c r="CS239" s="17"/>
      <c r="CT239" s="17"/>
      <c r="CV239" s="17"/>
      <c r="CW239" s="17"/>
      <c r="CX239" s="17"/>
      <c r="CY239" s="17"/>
      <c r="CZ239" s="17"/>
      <c r="DA239" s="17"/>
      <c r="DB239" s="17"/>
      <c r="DC239" s="17"/>
      <c r="DD239" s="17"/>
      <c r="DE239" s="17"/>
      <c r="DF239" s="17"/>
      <c r="FD239" s="413"/>
      <c r="FE239" s="413"/>
      <c r="FF239" s="413"/>
      <c r="FG239" s="413"/>
      <c r="FH239" s="413"/>
      <c r="FI239" s="413"/>
      <c r="FJ239" s="413"/>
      <c r="FK239" s="413"/>
      <c r="FL239" s="413"/>
      <c r="FM239" s="413"/>
      <c r="FN239" s="413"/>
      <c r="FO239" s="413"/>
    </row>
    <row r="240" spans="2:171" hidden="1" outlineLevel="1">
      <c r="C240" s="140"/>
      <c r="BX240" s="34"/>
      <c r="BY240" s="34"/>
      <c r="BZ240" s="34"/>
      <c r="CA240" s="34"/>
      <c r="CB240" s="34"/>
      <c r="CC240" s="34"/>
      <c r="CD240" s="34"/>
      <c r="CE240" s="34"/>
      <c r="CF240" s="34"/>
      <c r="CG240" s="34"/>
      <c r="CH240" s="34"/>
      <c r="CI240" s="34"/>
      <c r="CJ240" s="34"/>
      <c r="CK240" s="34"/>
      <c r="CL240" s="34"/>
      <c r="CM240" s="34"/>
      <c r="CN240" s="34"/>
      <c r="CP240" s="34"/>
      <c r="CQ240" s="34"/>
      <c r="CR240" s="34"/>
      <c r="CS240" s="34"/>
      <c r="CT240" s="34"/>
      <c r="CV240" s="34"/>
      <c r="CW240" s="34"/>
      <c r="CX240" s="34"/>
      <c r="CY240" s="34"/>
      <c r="CZ240" s="34"/>
      <c r="FD240" s="413"/>
      <c r="FE240" s="413"/>
      <c r="FF240" s="413"/>
      <c r="FG240" s="413"/>
      <c r="FH240" s="413"/>
      <c r="FI240" s="413"/>
      <c r="FJ240" s="413"/>
      <c r="FK240" s="413"/>
      <c r="FL240" s="413"/>
      <c r="FM240" s="413"/>
      <c r="FN240" s="413"/>
      <c r="FO240" s="413"/>
    </row>
    <row r="241" spans="94:171" hidden="1" outlineLevel="1">
      <c r="FD241" s="413"/>
      <c r="FE241" s="413"/>
      <c r="FF241" s="413"/>
      <c r="FG241" s="413"/>
      <c r="FH241" s="413"/>
      <c r="FI241" s="413"/>
      <c r="FJ241" s="413"/>
      <c r="FK241" s="413"/>
      <c r="FL241" s="413"/>
      <c r="FM241" s="413"/>
      <c r="FN241" s="413"/>
      <c r="FO241" s="413"/>
    </row>
    <row r="242" spans="94:171" hidden="1" outlineLevel="1">
      <c r="CP242" s="17"/>
      <c r="CQ242" s="17"/>
      <c r="CR242" s="17"/>
      <c r="FD242" s="413"/>
      <c r="FE242" s="413"/>
      <c r="FF242" s="413"/>
      <c r="FG242" s="413"/>
      <c r="FH242" s="413"/>
      <c r="FI242" s="413"/>
      <c r="FJ242" s="413"/>
      <c r="FK242" s="413"/>
      <c r="FL242" s="413"/>
      <c r="FM242" s="413"/>
      <c r="FN242" s="413"/>
      <c r="FO242" s="413"/>
    </row>
    <row r="243" spans="94:171" hidden="1" outlineLevel="1">
      <c r="CP243" s="33"/>
      <c r="CQ243" s="33"/>
      <c r="CR243" s="33"/>
      <c r="FD243" s="413"/>
      <c r="FE243" s="413"/>
      <c r="FF243" s="413"/>
      <c r="FG243" s="413"/>
      <c r="FH243" s="413"/>
      <c r="FI243" s="413"/>
      <c r="FJ243" s="413"/>
      <c r="FK243" s="413"/>
      <c r="FL243" s="413"/>
      <c r="FM243" s="413"/>
      <c r="FN243" s="413"/>
      <c r="FO243" s="413"/>
    </row>
    <row r="244" spans="94:171" collapsed="1">
      <c r="FD244" s="413"/>
      <c r="FE244" s="413"/>
      <c r="FF244" s="413"/>
      <c r="FG244" s="413"/>
      <c r="FH244" s="413"/>
      <c r="FI244" s="413"/>
      <c r="FJ244" s="413"/>
      <c r="FK244" s="413"/>
      <c r="FL244" s="413"/>
      <c r="FM244" s="413"/>
      <c r="FN244" s="413"/>
      <c r="FO244" s="413"/>
    </row>
  </sheetData>
  <mergeCells count="32">
    <mergeCell ref="GZ5:HD5"/>
    <mergeCell ref="HF5:HJ5"/>
    <mergeCell ref="HF6:HJ6"/>
    <mergeCell ref="GZ6:HD6"/>
    <mergeCell ref="GN6:GR6"/>
    <mergeCell ref="GT6:GX6"/>
    <mergeCell ref="GH6:GL6"/>
    <mergeCell ref="GB6:GF6"/>
    <mergeCell ref="FV6:FZ6"/>
    <mergeCell ref="FP6:FT6"/>
    <mergeCell ref="AN6:AR6"/>
    <mergeCell ref="AT6:AX6"/>
    <mergeCell ref="AZ6:BD6"/>
    <mergeCell ref="BF6:BJ6"/>
    <mergeCell ref="BL6:BP6"/>
    <mergeCell ref="CJ6:CN6"/>
    <mergeCell ref="CP6:CT6"/>
    <mergeCell ref="EL6:EP6"/>
    <mergeCell ref="CV6:CZ6"/>
    <mergeCell ref="DB6:DF6"/>
    <mergeCell ref="EF6:EJ6"/>
    <mergeCell ref="CP5:CT5"/>
    <mergeCell ref="DZ6:ED6"/>
    <mergeCell ref="DT6:DX6"/>
    <mergeCell ref="DH6:DL6"/>
    <mergeCell ref="FJ6:FN6"/>
    <mergeCell ref="FD6:FH6"/>
    <mergeCell ref="DN6:DR6"/>
    <mergeCell ref="EX6:FB6"/>
    <mergeCell ref="ER6:EV6"/>
    <mergeCell ref="ER5:EV5"/>
    <mergeCell ref="EX5:FB5"/>
  </mergeCells>
  <printOptions horizontalCentered="1" verticalCentered="1"/>
  <pageMargins left="0.5" right="0.5" top="0.6" bottom="0.6" header="0.5" footer="0.5"/>
  <pageSetup scale="89" orientation="landscape" r:id="rId1"/>
  <headerFooter alignWithMargins="0">
    <oddFooter>&amp;L_x000D_&amp;1#&amp;"Calibri"&amp;10&amp;K000000 Sensitivity: Public</oddFooter>
  </headerFooter>
  <ignoredErrors>
    <ignoredError sqref="FB81:FH81 FB56 FB50 EV50:EV60 FB60 FN81:FS81 GZ81:HD81 FH56:HD59 EV81 EV11:EV20 EX90:FB90 FD90:FH90 FN90:HD90 ER90:EV90 HF90:HJ90 HF81:HJ81 FH60:FQ60 FS60:HD60 FB11:FB20 FH50 FJ90:FM90 EY52 EY55 FN50:HJ50 FJ81:FM81 FU81:FY81 GA81:GY81 FE74" formula="1"/>
    <ignoredError sqref="HF93:HJ93" evalError="1"/>
    <ignoredError sqref="EY53:EY54 EY56:EY61"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787D-4229-4C42-B3BD-9C61307E9766}">
  <sheetPr>
    <pageSetUpPr fitToPage="1"/>
  </sheetPr>
  <dimension ref="A1:FT160"/>
  <sheetViews>
    <sheetView tabSelected="1" topLeftCell="A5" zoomScaleNormal="100" workbookViewId="0">
      <pane xSplit="3" ySplit="3" topLeftCell="EM8" activePane="bottomRight" state="frozen"/>
      <selection pane="topRight" activeCell="D5" sqref="D5"/>
      <selection pane="bottomLeft" activeCell="A8" sqref="A8"/>
      <selection pane="bottomRight" activeCell="EV15" sqref="EV15"/>
    </sheetView>
  </sheetViews>
  <sheetFormatPr defaultColWidth="9.15234375" defaultRowHeight="12.75" outlineLevelRow="1" outlineLevelCol="1"/>
  <cols>
    <col min="1" max="2" width="1.69140625" style="31" customWidth="1"/>
    <col min="3" max="3" width="27.84375" style="31" customWidth="1"/>
    <col min="4" max="8" width="8" style="31" hidden="1" customWidth="1"/>
    <col min="9" max="9" width="1.69140625" style="31" hidden="1" customWidth="1"/>
    <col min="10" max="14" width="8" style="31" hidden="1" customWidth="1"/>
    <col min="15" max="15" width="1.69140625" style="31" hidden="1" customWidth="1"/>
    <col min="16" max="20" width="8" style="31" hidden="1" customWidth="1"/>
    <col min="21" max="21" width="1.69140625" style="31" hidden="1" customWidth="1"/>
    <col min="22" max="26" width="8" style="31" hidden="1" customWidth="1"/>
    <col min="27" max="27" width="1.69140625" style="31" hidden="1" customWidth="1"/>
    <col min="28" max="32" width="8" style="31" hidden="1" customWidth="1"/>
    <col min="33" max="33" width="1.69140625" style="31" hidden="1" customWidth="1"/>
    <col min="34" max="38" width="8.69140625" style="31" hidden="1" customWidth="1"/>
    <col min="39" max="39" width="1.69140625" style="31" hidden="1" customWidth="1"/>
    <col min="40" max="44" width="8.69140625" style="31" hidden="1" customWidth="1"/>
    <col min="45" max="45" width="1.69140625" style="31" hidden="1" customWidth="1"/>
    <col min="46" max="50" width="8.69140625" style="31" hidden="1" customWidth="1"/>
    <col min="51" max="51" width="1.69140625" style="31" hidden="1" customWidth="1"/>
    <col min="52" max="56" width="8.69140625" style="31" hidden="1" customWidth="1"/>
    <col min="57" max="57" width="1.69140625" style="31" hidden="1" customWidth="1"/>
    <col min="58" max="62" width="8.69140625" style="31" hidden="1" customWidth="1"/>
    <col min="63" max="63" width="1.69140625" style="31" hidden="1" customWidth="1"/>
    <col min="64" max="68" width="8.15234375" style="31" hidden="1" customWidth="1"/>
    <col min="69" max="69" width="1.69140625" style="31" hidden="1" customWidth="1"/>
    <col min="70" max="74" width="8.15234375" style="31" hidden="1" customWidth="1"/>
    <col min="75" max="75" width="1.69140625" style="31" hidden="1" customWidth="1"/>
    <col min="76" max="76" width="7.3828125" style="31" hidden="1" customWidth="1" collapsed="1"/>
    <col min="77" max="80" width="7.3828125" style="31" hidden="1" customWidth="1"/>
    <col min="81" max="81" width="1.69140625" style="70" hidden="1" customWidth="1"/>
    <col min="82" max="82" width="7.3828125" style="31" hidden="1" customWidth="1" collapsed="1"/>
    <col min="83" max="85" width="7.3828125" style="31" hidden="1" customWidth="1"/>
    <col min="86" max="86" width="8.69140625" style="31" hidden="1" customWidth="1"/>
    <col min="87" max="87" width="1.69140625" style="31" hidden="1" customWidth="1"/>
    <col min="88" max="88" width="8" style="31" hidden="1" customWidth="1" collapsed="1"/>
    <col min="89" max="92" width="8" style="31" hidden="1" customWidth="1"/>
    <col min="93" max="93" width="1.69140625" style="31" hidden="1" customWidth="1"/>
    <col min="94" max="94" width="7.69140625" style="31" hidden="1" customWidth="1" collapsed="1"/>
    <col min="95" max="98" width="7.69140625" style="31" hidden="1" customWidth="1"/>
    <col min="99" max="99" width="1.69140625" style="31" hidden="1" customWidth="1"/>
    <col min="100" max="104" width="8.3046875" style="31" hidden="1" customWidth="1"/>
    <col min="105" max="105" width="1.69140625" style="31" hidden="1" customWidth="1"/>
    <col min="106" max="110" width="8" style="31" hidden="1" customWidth="1" outlineLevel="1"/>
    <col min="111" max="111" width="1.69140625" style="31" hidden="1" customWidth="1" outlineLevel="1"/>
    <col min="112" max="112" width="8" style="31" hidden="1" customWidth="1" outlineLevel="1" collapsed="1"/>
    <col min="113" max="113" width="8.53515625" style="31" hidden="1" customWidth="1" outlineLevel="1"/>
    <col min="114" max="114" width="8.69140625" style="31" hidden="1" customWidth="1" outlineLevel="1"/>
    <col min="115" max="115" width="8.3828125" style="31" hidden="1" customWidth="1" outlineLevel="1"/>
    <col min="116" max="116" width="8" style="31" hidden="1" customWidth="1" outlineLevel="1"/>
    <col min="117" max="117" width="1.69140625" style="31" hidden="1" customWidth="1" outlineLevel="1"/>
    <col min="118" max="121" width="8" style="31" hidden="1" customWidth="1" outlineLevel="1"/>
    <col min="122" max="122" width="8.15234375" style="31" hidden="1" customWidth="1" outlineLevel="1"/>
    <col min="123" max="123" width="1.69140625" style="31" hidden="1" customWidth="1" outlineLevel="1"/>
    <col min="124" max="127" width="8" style="31" hidden="1" customWidth="1" outlineLevel="1"/>
    <col min="128" max="128" width="8.15234375" style="31" hidden="1" customWidth="1" outlineLevel="1"/>
    <col min="129" max="129" width="1.69140625" style="31" hidden="1" customWidth="1" outlineLevel="1"/>
    <col min="130" max="133" width="8" style="31" hidden="1" customWidth="1" outlineLevel="1"/>
    <col min="134" max="134" width="9" style="31" hidden="1" customWidth="1" outlineLevel="1"/>
    <col min="135" max="135" width="1.69140625" style="31" customWidth="1" collapsed="1"/>
    <col min="136" max="139" width="8" style="31" customWidth="1" outlineLevel="1"/>
    <col min="140" max="140" width="9.53515625" style="31" customWidth="1" outlineLevel="1"/>
    <col min="141" max="141" width="1.69140625" style="31" customWidth="1" outlineLevel="1"/>
    <col min="142" max="142" width="8" style="31" customWidth="1" outlineLevel="1" collapsed="1"/>
    <col min="143" max="145" width="8" style="31" customWidth="1" outlineLevel="1"/>
    <col min="146" max="146" width="10.69140625" style="31" customWidth="1" outlineLevel="1"/>
    <col min="147" max="147" width="1.69140625" style="31" customWidth="1" outlineLevel="1"/>
    <col min="148" max="151" width="9.3046875" style="31" bestFit="1" customWidth="1"/>
    <col min="152" max="152" width="10.53515625" style="31" bestFit="1" customWidth="1"/>
    <col min="153" max="153" width="1.69140625" style="31" customWidth="1"/>
    <col min="154" max="157" width="8" style="31" customWidth="1"/>
    <col min="158" max="158" width="10" style="31" bestFit="1" customWidth="1"/>
    <col min="159" max="159" width="1.69140625" style="31" customWidth="1"/>
    <col min="160" max="160" width="9.3828125" style="31" bestFit="1" customWidth="1"/>
    <col min="161" max="163" width="8.3046875" style="31" bestFit="1" customWidth="1"/>
    <col min="164" max="164" width="9.53515625" style="31" bestFit="1" customWidth="1" collapsed="1"/>
    <col min="165" max="165" width="2.3046875" style="31" customWidth="1"/>
    <col min="166" max="169" width="8.3046875" style="31" customWidth="1"/>
    <col min="170" max="170" width="9.53515625" style="31" bestFit="1" customWidth="1"/>
    <col min="171" max="171" width="2.3046875" style="31" customWidth="1"/>
    <col min="172" max="16384" width="9.15234375" style="31"/>
  </cols>
  <sheetData>
    <row r="1" spans="2:176" s="8" customFormat="1" ht="12.75" customHeight="1">
      <c r="B1" s="9" t="str">
        <f>IS!EY2</f>
        <v>NeoGenomics</v>
      </c>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J1" s="10"/>
      <c r="FK1" s="10"/>
      <c r="FL1" s="10"/>
      <c r="FM1" s="10"/>
      <c r="FN1" s="10"/>
    </row>
    <row r="2" spans="2:176" s="8" customFormat="1">
      <c r="B2" s="9" t="s">
        <v>403</v>
      </c>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J2" s="10"/>
      <c r="FK2" s="10"/>
      <c r="FL2" s="10"/>
      <c r="FM2" s="10"/>
      <c r="FN2" s="10"/>
    </row>
    <row r="3" spans="2:176" s="8" customFormat="1">
      <c r="B3" s="10" t="str">
        <f>[44]IS!B3</f>
        <v>Dollars in millions, except per share amounts</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J3" s="10"/>
      <c r="FK3" s="10"/>
      <c r="FL3" s="10"/>
      <c r="FM3" s="10"/>
      <c r="FN3" s="10"/>
    </row>
    <row r="4" spans="2:176" s="8" customFormat="1">
      <c r="CC4" s="12"/>
      <c r="ER4" s="942" t="s">
        <v>13</v>
      </c>
      <c r="ES4" s="942"/>
      <c r="ET4" s="942"/>
      <c r="EU4" s="942"/>
      <c r="EV4" s="942"/>
    </row>
    <row r="5" spans="2:176" s="8" customFormat="1">
      <c r="D5" s="11" t="s">
        <v>13</v>
      </c>
      <c r="E5" s="11"/>
      <c r="F5" s="11"/>
      <c r="G5" s="11"/>
      <c r="H5" s="11"/>
      <c r="J5" s="11" t="s">
        <v>13</v>
      </c>
      <c r="K5" s="11"/>
      <c r="L5" s="11"/>
      <c r="M5" s="11"/>
      <c r="N5" s="11"/>
      <c r="P5" s="11" t="s">
        <v>13</v>
      </c>
      <c r="Q5" s="11"/>
      <c r="R5" s="11"/>
      <c r="S5" s="11"/>
      <c r="T5" s="11"/>
      <c r="U5" s="12"/>
      <c r="V5" s="11" t="s">
        <v>13</v>
      </c>
      <c r="W5" s="11"/>
      <c r="X5" s="11"/>
      <c r="Y5" s="11"/>
      <c r="Z5" s="11"/>
      <c r="AA5" s="10" t="s">
        <v>14</v>
      </c>
      <c r="AB5" s="11" t="s">
        <v>13</v>
      </c>
      <c r="AC5" s="11"/>
      <c r="AD5" s="11"/>
      <c r="AE5" s="11"/>
      <c r="AF5" s="11"/>
      <c r="AG5" s="10" t="s">
        <v>14</v>
      </c>
      <c r="AH5" s="11" t="s">
        <v>13</v>
      </c>
      <c r="AI5" s="11"/>
      <c r="AJ5" s="11"/>
      <c r="AK5" s="11"/>
      <c r="AL5" s="11"/>
      <c r="AM5" s="12"/>
      <c r="AN5" s="11" t="s">
        <v>13</v>
      </c>
      <c r="AO5" s="11"/>
      <c r="AP5" s="11"/>
      <c r="AQ5" s="11"/>
      <c r="AR5" s="11"/>
      <c r="AS5" s="12"/>
      <c r="AT5" s="11" t="s">
        <v>13</v>
      </c>
      <c r="AU5" s="11"/>
      <c r="AV5" s="11"/>
      <c r="AW5" s="11"/>
      <c r="AX5" s="11"/>
      <c r="AY5" s="12"/>
      <c r="AZ5" s="11" t="s">
        <v>13</v>
      </c>
      <c r="BA5" s="11"/>
      <c r="BB5" s="11"/>
      <c r="BC5" s="11"/>
      <c r="BD5" s="11"/>
      <c r="BE5" s="12"/>
      <c r="BF5" s="11" t="s">
        <v>13</v>
      </c>
      <c r="BG5" s="11"/>
      <c r="BH5" s="11"/>
      <c r="BI5" s="11"/>
      <c r="BJ5" s="11"/>
      <c r="BK5" s="12"/>
      <c r="BL5" s="11" t="s">
        <v>13</v>
      </c>
      <c r="BM5" s="11"/>
      <c r="BN5" s="11"/>
      <c r="BO5" s="11"/>
      <c r="BP5" s="11"/>
      <c r="BQ5" s="12"/>
      <c r="BR5" s="11" t="s">
        <v>13</v>
      </c>
      <c r="BS5" s="11"/>
      <c r="BT5" s="11"/>
      <c r="BU5" s="11"/>
      <c r="BV5" s="11"/>
      <c r="BW5" s="12"/>
      <c r="BX5" s="11" t="s">
        <v>13</v>
      </c>
      <c r="BY5" s="11"/>
      <c r="BZ5" s="11"/>
      <c r="CA5" s="11"/>
      <c r="CB5" s="11"/>
      <c r="CC5" s="12"/>
      <c r="CD5" s="11" t="s">
        <v>13</v>
      </c>
      <c r="CE5" s="11"/>
      <c r="CF5" s="11"/>
      <c r="CG5" s="11"/>
      <c r="CH5" s="11"/>
      <c r="CI5" s="12"/>
      <c r="CJ5" s="11" t="s">
        <v>13</v>
      </c>
      <c r="CK5" s="11"/>
      <c r="CL5" s="11"/>
      <c r="CM5" s="11"/>
      <c r="CN5" s="11"/>
      <c r="CP5" s="11" t="s">
        <v>13</v>
      </c>
      <c r="CQ5" s="11"/>
      <c r="CR5" s="11"/>
      <c r="CS5" s="11"/>
      <c r="CT5" s="11"/>
      <c r="CU5" s="12"/>
      <c r="CV5" s="11" t="s">
        <v>13</v>
      </c>
      <c r="CW5" s="11"/>
      <c r="CX5" s="11"/>
      <c r="CY5" s="11"/>
      <c r="CZ5" s="11"/>
      <c r="DA5" s="12"/>
      <c r="DB5" s="11" t="s">
        <v>13</v>
      </c>
      <c r="DC5" s="11"/>
      <c r="DD5" s="11"/>
      <c r="DE5" s="11"/>
      <c r="DF5" s="11"/>
      <c r="DG5" s="12"/>
      <c r="DH5" s="11" t="s">
        <v>13</v>
      </c>
      <c r="DI5" s="11"/>
      <c r="DJ5" s="11"/>
      <c r="DK5" s="11"/>
      <c r="DL5" s="11"/>
      <c r="DM5" s="12"/>
      <c r="DN5" s="11" t="s">
        <v>13</v>
      </c>
      <c r="DO5" s="11"/>
      <c r="DP5" s="11"/>
      <c r="DQ5" s="11"/>
      <c r="DR5" s="11"/>
      <c r="DS5" s="12"/>
      <c r="DT5" s="11" t="s">
        <v>13</v>
      </c>
      <c r="DU5" s="11"/>
      <c r="DV5" s="11"/>
      <c r="DW5" s="11"/>
      <c r="DX5" s="11"/>
      <c r="DY5" s="12"/>
      <c r="DZ5" s="11" t="s">
        <v>13</v>
      </c>
      <c r="EA5" s="11"/>
      <c r="EB5" s="11"/>
      <c r="EC5" s="11"/>
      <c r="ED5" s="11"/>
      <c r="EE5" s="10"/>
      <c r="EF5" s="11" t="s">
        <v>13</v>
      </c>
      <c r="EG5" s="11"/>
      <c r="EH5" s="11"/>
      <c r="EI5" s="11"/>
      <c r="EJ5" s="11"/>
      <c r="EK5" s="10"/>
      <c r="EL5" s="11" t="s">
        <v>13</v>
      </c>
      <c r="EM5" s="11"/>
      <c r="EN5" s="11"/>
      <c r="EO5" s="11"/>
      <c r="EP5" s="11"/>
      <c r="EQ5" s="10"/>
      <c r="ER5" s="937"/>
      <c r="ES5" s="937"/>
      <c r="ET5" s="937"/>
      <c r="EU5" s="937"/>
      <c r="EV5" s="937"/>
      <c r="EW5" s="23"/>
      <c r="EX5" s="937" t="s">
        <v>13</v>
      </c>
      <c r="EY5" s="937"/>
      <c r="EZ5" s="937"/>
      <c r="FA5" s="937"/>
      <c r="FB5" s="937"/>
      <c r="FD5" s="10" t="s">
        <v>15</v>
      </c>
      <c r="FE5" s="10"/>
      <c r="FF5" s="10"/>
      <c r="FG5" s="10"/>
      <c r="FH5" s="10"/>
      <c r="FJ5" s="10" t="s">
        <v>15</v>
      </c>
      <c r="FK5" s="10"/>
      <c r="FL5" s="10"/>
      <c r="FM5" s="10"/>
      <c r="FN5" s="10"/>
      <c r="FP5" s="10" t="s">
        <v>15</v>
      </c>
      <c r="FQ5" s="10"/>
      <c r="FR5" s="10"/>
      <c r="FS5" s="10"/>
      <c r="FT5" s="10"/>
    </row>
    <row r="6" spans="2:176" s="72" customFormat="1">
      <c r="D6" s="337">
        <v>2000</v>
      </c>
      <c r="E6" s="337"/>
      <c r="F6" s="337"/>
      <c r="G6" s="337"/>
      <c r="H6" s="337"/>
      <c r="J6" s="337">
        <v>2001</v>
      </c>
      <c r="K6" s="337"/>
      <c r="L6" s="337"/>
      <c r="M6" s="337"/>
      <c r="N6" s="337"/>
      <c r="P6" s="337">
        <v>2002</v>
      </c>
      <c r="Q6" s="337"/>
      <c r="R6" s="337"/>
      <c r="S6" s="337"/>
      <c r="T6" s="337"/>
      <c r="V6" s="337">
        <v>2003</v>
      </c>
      <c r="W6" s="337"/>
      <c r="X6" s="337"/>
      <c r="Y6" s="337"/>
      <c r="Z6" s="337"/>
      <c r="AB6" s="337">
        <v>2004</v>
      </c>
      <c r="AC6" s="337"/>
      <c r="AD6" s="337"/>
      <c r="AE6" s="337"/>
      <c r="AF6" s="337"/>
      <c r="AH6" s="337">
        <v>2005</v>
      </c>
      <c r="AI6" s="337"/>
      <c r="AJ6" s="337"/>
      <c r="AK6" s="337"/>
      <c r="AL6" s="337"/>
      <c r="AN6" s="337">
        <v>2006</v>
      </c>
      <c r="AO6" s="337"/>
      <c r="AP6" s="337"/>
      <c r="AQ6" s="337"/>
      <c r="AR6" s="337"/>
      <c r="AT6" s="337">
        <v>2007</v>
      </c>
      <c r="AU6" s="337"/>
      <c r="AV6" s="337"/>
      <c r="AW6" s="337"/>
      <c r="AX6" s="337"/>
      <c r="AZ6" s="337">
        <v>2008</v>
      </c>
      <c r="BA6" s="337"/>
      <c r="BB6" s="337"/>
      <c r="BC6" s="337"/>
      <c r="BD6" s="337"/>
      <c r="BF6" s="337">
        <v>2009</v>
      </c>
      <c r="BG6" s="337"/>
      <c r="BH6" s="337"/>
      <c r="BI6" s="337"/>
      <c r="BJ6" s="337"/>
      <c r="BL6" s="337">
        <v>2010</v>
      </c>
      <c r="BM6" s="337"/>
      <c r="BN6" s="337"/>
      <c r="BO6" s="337"/>
      <c r="BP6" s="337"/>
      <c r="BR6" s="337">
        <v>2011</v>
      </c>
      <c r="BS6" s="337"/>
      <c r="BT6" s="337"/>
      <c r="BU6" s="337"/>
      <c r="BV6" s="337"/>
      <c r="BX6" s="337">
        <v>2012</v>
      </c>
      <c r="BY6" s="337"/>
      <c r="BZ6" s="337"/>
      <c r="CA6" s="337"/>
      <c r="CB6" s="337"/>
      <c r="CC6" s="71"/>
      <c r="CD6" s="337">
        <v>2013</v>
      </c>
      <c r="CE6" s="337"/>
      <c r="CF6" s="337"/>
      <c r="CG6" s="337"/>
      <c r="CH6" s="337"/>
      <c r="CJ6" s="337">
        <v>2014</v>
      </c>
      <c r="CK6" s="337"/>
      <c r="CL6" s="337"/>
      <c r="CM6" s="337"/>
      <c r="CN6" s="337"/>
      <c r="CP6" s="337">
        <v>2015</v>
      </c>
      <c r="CQ6" s="337"/>
      <c r="CR6" s="337"/>
      <c r="CS6" s="337"/>
      <c r="CT6" s="337"/>
      <c r="CV6" s="943">
        <v>2016</v>
      </c>
      <c r="CW6" s="943"/>
      <c r="CX6" s="943"/>
      <c r="CY6" s="943"/>
      <c r="CZ6" s="943"/>
      <c r="DB6" s="943">
        <v>2017</v>
      </c>
      <c r="DC6" s="943"/>
      <c r="DD6" s="943"/>
      <c r="DE6" s="943"/>
      <c r="DF6" s="943"/>
      <c r="DH6" s="944">
        <v>2018</v>
      </c>
      <c r="DI6" s="944"/>
      <c r="DJ6" s="944"/>
      <c r="DK6" s="944"/>
      <c r="DL6" s="944"/>
      <c r="DN6" s="944">
        <v>2019</v>
      </c>
      <c r="DO6" s="944"/>
      <c r="DP6" s="944"/>
      <c r="DQ6" s="944"/>
      <c r="DR6" s="944"/>
      <c r="DT6" s="943">
        <v>2020</v>
      </c>
      <c r="DU6" s="943"/>
      <c r="DV6" s="943"/>
      <c r="DW6" s="943"/>
      <c r="DX6" s="943"/>
      <c r="DZ6" s="943">
        <v>2021</v>
      </c>
      <c r="EA6" s="943"/>
      <c r="EB6" s="943"/>
      <c r="EC6" s="943"/>
      <c r="ED6" s="943"/>
      <c r="EF6" s="943">
        <f>DZ6+1</f>
        <v>2022</v>
      </c>
      <c r="EG6" s="943"/>
      <c r="EH6" s="943"/>
      <c r="EI6" s="943"/>
      <c r="EJ6" s="943"/>
      <c r="EL6" s="943">
        <f>EF6+1</f>
        <v>2023</v>
      </c>
      <c r="EM6" s="943"/>
      <c r="EN6" s="943"/>
      <c r="EO6" s="943"/>
      <c r="EP6" s="943"/>
      <c r="ER6" s="943">
        <f>EL6+1</f>
        <v>2024</v>
      </c>
      <c r="ES6" s="943"/>
      <c r="ET6" s="943"/>
      <c r="EU6" s="943"/>
      <c r="EV6" s="943"/>
      <c r="EX6" s="943">
        <f>ER6+1</f>
        <v>2025</v>
      </c>
      <c r="EY6" s="943"/>
      <c r="EZ6" s="943"/>
      <c r="FA6" s="943"/>
      <c r="FB6" s="943"/>
      <c r="FD6" s="943">
        <f>EX6+1</f>
        <v>2026</v>
      </c>
      <c r="FE6" s="943"/>
      <c r="FF6" s="943"/>
      <c r="FG6" s="943"/>
      <c r="FH6" s="943"/>
      <c r="FJ6" s="943">
        <f>FD6+1</f>
        <v>2027</v>
      </c>
      <c r="FK6" s="943"/>
      <c r="FL6" s="943"/>
      <c r="FM6" s="943"/>
      <c r="FN6" s="943"/>
      <c r="FP6" s="943">
        <f>FJ6+1</f>
        <v>2028</v>
      </c>
      <c r="FQ6" s="943"/>
      <c r="FR6" s="943"/>
      <c r="FS6" s="943"/>
      <c r="FT6" s="943"/>
    </row>
    <row r="7" spans="2:176" s="16" customFormat="1">
      <c r="D7" s="16">
        <f>[44]IS!D7</f>
        <v>36616</v>
      </c>
      <c r="E7" s="16">
        <f>[44]IS!E7</f>
        <v>36707</v>
      </c>
      <c r="F7" s="16">
        <f>[44]IS!F7</f>
        <v>36799</v>
      </c>
      <c r="G7" s="16">
        <f>[44]IS!G7</f>
        <v>36891</v>
      </c>
      <c r="H7" s="16" t="s">
        <v>16</v>
      </c>
      <c r="J7" s="16">
        <f>[44]IS!J7</f>
        <v>36981</v>
      </c>
      <c r="K7" s="16">
        <f>[44]IS!K7</f>
        <v>37072</v>
      </c>
      <c r="L7" s="16">
        <f>[44]IS!L7</f>
        <v>37164</v>
      </c>
      <c r="M7" s="16">
        <f>[44]IS!M7</f>
        <v>37256</v>
      </c>
      <c r="N7" s="16" t="s">
        <v>16</v>
      </c>
      <c r="P7" s="16">
        <f>[44]IS!P7</f>
        <v>37346</v>
      </c>
      <c r="Q7" s="16">
        <f>[44]IS!Q7</f>
        <v>37437</v>
      </c>
      <c r="R7" s="16">
        <f>[44]IS!R7</f>
        <v>37529</v>
      </c>
      <c r="S7" s="16">
        <f>[44]IS!S7</f>
        <v>37621</v>
      </c>
      <c r="T7" s="16" t="s">
        <v>17</v>
      </c>
      <c r="V7" s="16">
        <f>[44]IS!V7</f>
        <v>37711</v>
      </c>
      <c r="W7" s="16">
        <f>[44]IS!W7</f>
        <v>37802</v>
      </c>
      <c r="X7" s="16">
        <f>[44]IS!X7</f>
        <v>37894</v>
      </c>
      <c r="Y7" s="16">
        <f>[44]IS!Y7</f>
        <v>37986</v>
      </c>
      <c r="Z7" s="16" t="s">
        <v>17</v>
      </c>
      <c r="AB7" s="16">
        <f>[44]IS!AB7</f>
        <v>38077</v>
      </c>
      <c r="AC7" s="16">
        <f>[44]IS!AC7</f>
        <v>38168</v>
      </c>
      <c r="AD7" s="16">
        <f>[44]IS!AD7</f>
        <v>38260</v>
      </c>
      <c r="AE7" s="16">
        <f>[44]IS!AE7</f>
        <v>38352</v>
      </c>
      <c r="AF7" s="16" t="s">
        <v>17</v>
      </c>
      <c r="AH7" s="16">
        <f>[44]IS!AH7</f>
        <v>38442</v>
      </c>
      <c r="AI7" s="16">
        <f>[44]IS!AI7</f>
        <v>38533</v>
      </c>
      <c r="AJ7" s="16">
        <f>[44]IS!AJ7</f>
        <v>38625</v>
      </c>
      <c r="AK7" s="16">
        <f>[44]IS!AK7</f>
        <v>38717</v>
      </c>
      <c r="AL7" s="16" t="s">
        <v>17</v>
      </c>
      <c r="AN7" s="16">
        <f>[44]IS!AN7</f>
        <v>38807</v>
      </c>
      <c r="AO7" s="16">
        <f>[44]IS!AO7</f>
        <v>38898</v>
      </c>
      <c r="AP7" s="16">
        <f>[44]IS!AP7</f>
        <v>38990</v>
      </c>
      <c r="AQ7" s="16">
        <f>[44]IS!AQ7</f>
        <v>39082</v>
      </c>
      <c r="AR7" s="16" t="s">
        <v>17</v>
      </c>
      <c r="AT7" s="16">
        <f>[44]IS!AT7</f>
        <v>39172</v>
      </c>
      <c r="AU7" s="16">
        <f>[44]IS!AU7</f>
        <v>39263</v>
      </c>
      <c r="AV7" s="16">
        <f>[44]IS!AV7</f>
        <v>39355</v>
      </c>
      <c r="AW7" s="16">
        <f>[44]IS!AW7</f>
        <v>39447</v>
      </c>
      <c r="AX7" s="16" t="s">
        <v>17</v>
      </c>
      <c r="AZ7" s="16">
        <f>[44]IS!AZ7</f>
        <v>39537</v>
      </c>
      <c r="BA7" s="16">
        <f>[44]IS!BA7</f>
        <v>39628</v>
      </c>
      <c r="BB7" s="16">
        <f>[44]IS!BB7</f>
        <v>39720</v>
      </c>
      <c r="BC7" s="16">
        <f>[44]IS!BC7</f>
        <v>39812</v>
      </c>
      <c r="BD7" s="16" t="s">
        <v>17</v>
      </c>
      <c r="BF7" s="16">
        <f>[44]IS!BF7</f>
        <v>39902</v>
      </c>
      <c r="BG7" s="16">
        <f>[44]IS!BG7</f>
        <v>39993</v>
      </c>
      <c r="BH7" s="16">
        <f>[44]IS!BH7</f>
        <v>40085</v>
      </c>
      <c r="BI7" s="16">
        <f>[44]IS!BI7</f>
        <v>40177</v>
      </c>
      <c r="BJ7" s="16" t="s">
        <v>17</v>
      </c>
      <c r="BL7" s="16">
        <f>[44]IS!BL7</f>
        <v>40267</v>
      </c>
      <c r="BM7" s="16">
        <f>[44]IS!BM7</f>
        <v>40358</v>
      </c>
      <c r="BN7" s="16">
        <f>[44]IS!BN7</f>
        <v>40450</v>
      </c>
      <c r="BO7" s="16">
        <f>[44]IS!BO7</f>
        <v>40542</v>
      </c>
      <c r="BP7" s="16" t="s">
        <v>17</v>
      </c>
      <c r="BR7" s="16">
        <f>[44]IS!BR7</f>
        <v>40632</v>
      </c>
      <c r="BS7" s="16">
        <f>[44]IS!BS7</f>
        <v>40723</v>
      </c>
      <c r="BT7" s="16">
        <f>[44]IS!BT7</f>
        <v>40815</v>
      </c>
      <c r="BU7" s="16">
        <f>[44]IS!BU7</f>
        <v>40907</v>
      </c>
      <c r="BV7" s="16" t="s">
        <v>17</v>
      </c>
      <c r="BX7" s="16">
        <f>[44]IS!BX7</f>
        <v>40997</v>
      </c>
      <c r="BY7" s="16">
        <f>[44]IS!BY7</f>
        <v>41088</v>
      </c>
      <c r="BZ7" s="16">
        <f>[44]IS!BZ7</f>
        <v>41180</v>
      </c>
      <c r="CA7" s="16">
        <f>[44]IS!CA7</f>
        <v>41272</v>
      </c>
      <c r="CB7" s="16" t="s">
        <v>17</v>
      </c>
      <c r="CD7" s="16">
        <f>[44]IS!CD7</f>
        <v>41362</v>
      </c>
      <c r="CE7" s="16">
        <f>[44]IS!CE7</f>
        <v>41453</v>
      </c>
      <c r="CF7" s="16">
        <f>[44]IS!CF7</f>
        <v>41545</v>
      </c>
      <c r="CG7" s="16">
        <f>[44]IS!CG7</f>
        <v>41637</v>
      </c>
      <c r="CH7" s="16" t="s">
        <v>17</v>
      </c>
      <c r="CJ7" s="16">
        <f>[44]IS!CJ7</f>
        <v>41727</v>
      </c>
      <c r="CK7" s="16">
        <f>[44]IS!CK7</f>
        <v>41818</v>
      </c>
      <c r="CL7" s="16">
        <f>[44]IS!CL7</f>
        <v>41910</v>
      </c>
      <c r="CM7" s="16">
        <f>[44]IS!CM7</f>
        <v>42002</v>
      </c>
      <c r="CN7" s="16" t="s">
        <v>17</v>
      </c>
      <c r="CP7" s="16">
        <f>[44]IS!CP7</f>
        <v>42092</v>
      </c>
      <c r="CQ7" s="16">
        <f>[44]IS!CQ7</f>
        <v>42183</v>
      </c>
      <c r="CR7" s="16">
        <f>[44]IS!CR7</f>
        <v>42275</v>
      </c>
      <c r="CS7" s="16">
        <f>[44]IS!CS7</f>
        <v>42367</v>
      </c>
      <c r="CT7" s="16" t="s">
        <v>17</v>
      </c>
      <c r="CV7" s="16">
        <f>[44]IS!CV7</f>
        <v>42457</v>
      </c>
      <c r="CW7" s="16">
        <f>[44]IS!CW7</f>
        <v>42548</v>
      </c>
      <c r="CX7" s="16">
        <f>[44]IS!CX7</f>
        <v>42640</v>
      </c>
      <c r="CY7" s="16">
        <f>[44]IS!CY7</f>
        <v>42732</v>
      </c>
      <c r="CZ7" s="16" t="s">
        <v>17</v>
      </c>
      <c r="DB7" s="16">
        <f>[44]IS!DB7</f>
        <v>42822</v>
      </c>
      <c r="DC7" s="16">
        <f>[44]IS!DC7</f>
        <v>42913</v>
      </c>
      <c r="DD7" s="16">
        <f>[44]IS!DD7</f>
        <v>43005</v>
      </c>
      <c r="DE7" s="16">
        <f>[44]IS!DE7</f>
        <v>43097</v>
      </c>
      <c r="DF7" s="16" t="s">
        <v>17</v>
      </c>
      <c r="DH7" s="16">
        <f>[44]IS!DH7</f>
        <v>43187</v>
      </c>
      <c r="DI7" s="16">
        <f>[44]IS!DI7</f>
        <v>43278</v>
      </c>
      <c r="DJ7" s="16">
        <f>[44]IS!DJ7</f>
        <v>43370</v>
      </c>
      <c r="DK7" s="16">
        <f>[44]IS!DK7</f>
        <v>43462</v>
      </c>
      <c r="DL7" s="16" t="s">
        <v>17</v>
      </c>
      <c r="DN7" s="16">
        <f>[44]IS!DN7</f>
        <v>43552</v>
      </c>
      <c r="DO7" s="16">
        <f>[44]IS!DO7</f>
        <v>43643</v>
      </c>
      <c r="DP7" s="16">
        <f>[44]IS!DP7</f>
        <v>43735</v>
      </c>
      <c r="DQ7" s="16">
        <f>[44]IS!DQ7</f>
        <v>43827</v>
      </c>
      <c r="DR7" s="16" t="s">
        <v>17</v>
      </c>
      <c r="DT7" s="16">
        <f>[44]IS!DT7</f>
        <v>43917</v>
      </c>
      <c r="DU7" s="16">
        <f>[44]IS!DU7</f>
        <v>44008</v>
      </c>
      <c r="DV7" s="16">
        <f>[44]IS!DV7</f>
        <v>44100</v>
      </c>
      <c r="DW7" s="16">
        <f>[44]IS!DW7</f>
        <v>44192</v>
      </c>
      <c r="DX7" s="16" t="s">
        <v>17</v>
      </c>
      <c r="DZ7" s="16">
        <f>IS!DZ7</f>
        <v>44285</v>
      </c>
      <c r="EA7" s="16">
        <f>IS!EA7</f>
        <v>44376</v>
      </c>
      <c r="EB7" s="16">
        <f>IS!EB7</f>
        <v>44468</v>
      </c>
      <c r="EC7" s="16">
        <f>IS!EC7</f>
        <v>44560</v>
      </c>
      <c r="ED7" s="16" t="s">
        <v>17</v>
      </c>
      <c r="EF7" s="16">
        <f>IS!EF7</f>
        <v>44650</v>
      </c>
      <c r="EG7" s="16">
        <f>IS!EG7</f>
        <v>44741</v>
      </c>
      <c r="EH7" s="16">
        <f>IS!EH7</f>
        <v>44833</v>
      </c>
      <c r="EI7" s="16">
        <f>IS!EI7</f>
        <v>44925</v>
      </c>
      <c r="EJ7" s="16" t="s">
        <v>17</v>
      </c>
      <c r="EL7" s="16">
        <f>IS!EL7</f>
        <v>45015</v>
      </c>
      <c r="EM7" s="16">
        <f>IS!EM7</f>
        <v>45106</v>
      </c>
      <c r="EN7" s="16">
        <f>IS!EN7</f>
        <v>45198</v>
      </c>
      <c r="EO7" s="16">
        <f>IS!EO7</f>
        <v>45290</v>
      </c>
      <c r="EP7" s="16" t="s">
        <v>17</v>
      </c>
      <c r="ER7" s="16">
        <f>IS!ER7</f>
        <v>45382</v>
      </c>
      <c r="ES7" s="16">
        <f>IS!ES7</f>
        <v>45473</v>
      </c>
      <c r="ET7" s="16">
        <f>IS!ET7</f>
        <v>45565</v>
      </c>
      <c r="EU7" s="16">
        <f>IS!EU7</f>
        <v>45657</v>
      </c>
      <c r="EV7" s="16" t="s">
        <v>17</v>
      </c>
      <c r="EX7" s="16">
        <f>IS!EX7</f>
        <v>45747</v>
      </c>
      <c r="EY7" s="16">
        <f>IS!EY7</f>
        <v>45838</v>
      </c>
      <c r="EZ7" s="16">
        <f>IS!EZ7</f>
        <v>45930</v>
      </c>
      <c r="FA7" s="16">
        <f>IS!FA7</f>
        <v>46022</v>
      </c>
      <c r="FB7" s="16" t="s">
        <v>17</v>
      </c>
      <c r="FD7" s="546">
        <f>IS!FD7</f>
        <v>46112</v>
      </c>
      <c r="FE7" s="16">
        <f>IS!FE7</f>
        <v>46203</v>
      </c>
      <c r="FF7" s="16">
        <f>IS!FF7</f>
        <v>46295</v>
      </c>
      <c r="FG7" s="16">
        <f>IS!FG7</f>
        <v>46387</v>
      </c>
      <c r="FH7" s="16" t="s">
        <v>17</v>
      </c>
      <c r="FJ7" s="16">
        <f>IS!FJ7</f>
        <v>46477</v>
      </c>
      <c r="FK7" s="16">
        <f>IS!FK7</f>
        <v>46568</v>
      </c>
      <c r="FL7" s="16">
        <f>IS!FL7</f>
        <v>46660</v>
      </c>
      <c r="FM7" s="16">
        <f>IS!FM7</f>
        <v>46752</v>
      </c>
      <c r="FN7" s="16" t="s">
        <v>17</v>
      </c>
      <c r="FP7" s="16">
        <f>IS!FP7</f>
        <v>46843</v>
      </c>
      <c r="FQ7" s="16">
        <f>IS!FQ7</f>
        <v>46934</v>
      </c>
      <c r="FR7" s="16">
        <f>IS!FR7</f>
        <v>47026</v>
      </c>
      <c r="FS7" s="16">
        <f>IS!FS7</f>
        <v>47118</v>
      </c>
      <c r="FT7" s="16" t="s">
        <v>17</v>
      </c>
    </row>
    <row r="8" spans="2:176">
      <c r="B8" s="25"/>
      <c r="C8" s="345"/>
      <c r="D8" s="15"/>
      <c r="E8" s="15"/>
      <c r="F8" s="15"/>
      <c r="G8" s="15"/>
      <c r="H8" s="15"/>
      <c r="I8" s="15"/>
      <c r="J8" s="15"/>
      <c r="K8" s="15"/>
      <c r="L8" s="15"/>
      <c r="M8" s="15"/>
      <c r="N8" s="15"/>
      <c r="O8" s="15"/>
      <c r="P8" s="15"/>
      <c r="Q8" s="15"/>
      <c r="R8" s="17"/>
      <c r="S8" s="15"/>
      <c r="T8" s="15"/>
      <c r="U8" s="15"/>
      <c r="V8" s="15"/>
      <c r="W8" s="15"/>
      <c r="X8" s="17"/>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339"/>
      <c r="BA8" s="339"/>
      <c r="BB8" s="339"/>
      <c r="BC8" s="339"/>
      <c r="BD8" s="17"/>
      <c r="BE8" s="17"/>
      <c r="BF8" s="339"/>
      <c r="BG8" s="339"/>
      <c r="BH8" s="339"/>
      <c r="BI8" s="339"/>
      <c r="BJ8" s="339"/>
      <c r="BK8" s="15"/>
      <c r="BL8" s="15"/>
      <c r="BM8" s="15"/>
      <c r="BN8" s="17"/>
      <c r="BO8" s="15"/>
      <c r="BP8" s="15"/>
      <c r="BQ8" s="15"/>
      <c r="BR8" s="15"/>
      <c r="BS8" s="15"/>
      <c r="BT8" s="15"/>
      <c r="BU8" s="15"/>
      <c r="BV8" s="15"/>
      <c r="BW8" s="15"/>
      <c r="BX8" s="15"/>
      <c r="BY8" s="15"/>
      <c r="BZ8" s="15"/>
      <c r="CA8" s="340"/>
      <c r="CB8" s="15"/>
      <c r="CC8" s="338"/>
      <c r="CD8" s="15"/>
      <c r="CE8" s="15"/>
      <c r="CF8" s="15"/>
      <c r="CG8" s="15"/>
      <c r="CH8" s="15"/>
      <c r="CI8" s="15"/>
      <c r="CJ8" s="15"/>
      <c r="CK8" s="15"/>
      <c r="CL8" s="341"/>
      <c r="CM8" s="15"/>
      <c r="CN8" s="15"/>
      <c r="CO8" s="15"/>
      <c r="CP8" s="15"/>
      <c r="CQ8" s="15"/>
      <c r="CR8" s="342"/>
      <c r="CS8" s="342"/>
      <c r="CT8" s="67"/>
      <c r="CU8" s="15"/>
      <c r="CV8" s="350"/>
      <c r="CW8" s="350"/>
      <c r="CX8" s="350"/>
      <c r="CY8" s="350"/>
      <c r="CZ8" s="67"/>
      <c r="DA8" s="344"/>
      <c r="DB8" s="350"/>
      <c r="DC8" s="350"/>
      <c r="DD8" s="350"/>
      <c r="DE8" s="350"/>
      <c r="DF8" s="67"/>
      <c r="DG8" s="344"/>
      <c r="DH8" s="67"/>
      <c r="DI8" s="67"/>
      <c r="DJ8" s="67"/>
      <c r="DK8" s="67"/>
      <c r="DL8" s="67"/>
      <c r="DM8" s="344"/>
      <c r="DN8" s="67"/>
      <c r="DO8" s="67"/>
      <c r="DP8" s="67"/>
      <c r="DQ8" s="67"/>
      <c r="DR8" s="67"/>
      <c r="DS8" s="344"/>
      <c r="DT8" s="67"/>
      <c r="DU8" s="67"/>
      <c r="DV8" s="67"/>
      <c r="DW8" s="67"/>
      <c r="DX8" s="67"/>
      <c r="DZ8" s="41"/>
      <c r="EA8" s="41"/>
      <c r="EB8" s="20">
        <f>EB9/DZ9</f>
        <v>1.0423867564125888</v>
      </c>
      <c r="EC8" s="41"/>
      <c r="ED8" s="109"/>
      <c r="EF8" s="41"/>
      <c r="EG8" s="41"/>
      <c r="EH8" s="20">
        <f>EH9/EF9</f>
        <v>1.0484380656080929</v>
      </c>
      <c r="EI8" s="41"/>
      <c r="EJ8" s="109"/>
      <c r="EL8" s="41"/>
      <c r="EM8" s="41"/>
      <c r="EN8" s="20">
        <f>EN9/EL9</f>
        <v>1.0822854742148933</v>
      </c>
      <c r="EO8" s="41"/>
      <c r="EP8" s="109"/>
      <c r="ER8" s="41"/>
      <c r="ES8" s="41"/>
      <c r="ET8" s="20"/>
      <c r="EU8" s="41"/>
      <c r="EV8" s="109"/>
      <c r="EX8" s="41"/>
      <c r="EY8" s="41"/>
      <c r="EZ8" s="352"/>
      <c r="FA8" s="41"/>
      <c r="FB8" s="109"/>
      <c r="FD8" s="881"/>
      <c r="FE8" s="41"/>
      <c r="FF8" s="41"/>
      <c r="FG8" s="41"/>
      <c r="FH8" s="109"/>
      <c r="FJ8" s="41"/>
      <c r="FK8" s="41"/>
      <c r="FL8" s="41"/>
      <c r="FM8" s="41"/>
      <c r="FN8" s="109"/>
    </row>
    <row r="9" spans="2:176">
      <c r="B9" s="27"/>
      <c r="C9" s="348"/>
      <c r="D9" s="15"/>
      <c r="E9" s="15"/>
      <c r="F9" s="15"/>
      <c r="G9" s="15"/>
      <c r="H9" s="15"/>
      <c r="I9" s="15"/>
      <c r="J9" s="15"/>
      <c r="K9" s="15"/>
      <c r="L9" s="15"/>
      <c r="M9" s="15"/>
      <c r="N9" s="15"/>
      <c r="O9" s="15"/>
      <c r="P9" s="15"/>
      <c r="Q9" s="15"/>
      <c r="R9" s="17"/>
      <c r="S9" s="15"/>
      <c r="T9" s="15"/>
      <c r="U9" s="15"/>
      <c r="V9" s="15"/>
      <c r="W9" s="15"/>
      <c r="X9" s="17"/>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339"/>
      <c r="BA9" s="339"/>
      <c r="BB9" s="339"/>
      <c r="BC9" s="339"/>
      <c r="BD9" s="17"/>
      <c r="BE9" s="17"/>
      <c r="BF9" s="339"/>
      <c r="BG9" s="339"/>
      <c r="BH9" s="339"/>
      <c r="BI9" s="339"/>
      <c r="BJ9" s="339"/>
      <c r="BK9" s="15"/>
      <c r="BL9" s="15"/>
      <c r="BM9" s="15"/>
      <c r="BN9" s="17"/>
      <c r="BO9" s="15"/>
      <c r="BP9" s="15"/>
      <c r="BQ9" s="15"/>
      <c r="BR9" s="15"/>
      <c r="BS9" s="15"/>
      <c r="BT9" s="15"/>
      <c r="BU9" s="15"/>
      <c r="BV9" s="15"/>
      <c r="BW9" s="15"/>
      <c r="BX9" s="15"/>
      <c r="BY9" s="15"/>
      <c r="BZ9" s="15"/>
      <c r="CA9" s="340"/>
      <c r="CB9" s="15"/>
      <c r="CC9" s="338"/>
      <c r="CD9" s="15"/>
      <c r="CE9" s="15"/>
      <c r="CF9" s="15"/>
      <c r="CG9" s="15"/>
      <c r="CH9" s="15"/>
      <c r="CI9" s="15"/>
      <c r="CJ9" s="15"/>
      <c r="CK9" s="15"/>
      <c r="CL9" s="341"/>
      <c r="CM9" s="15"/>
      <c r="CN9" s="15"/>
      <c r="CO9" s="15"/>
      <c r="CP9" s="15"/>
      <c r="CQ9" s="15"/>
      <c r="CR9" s="342"/>
      <c r="CS9" s="342"/>
      <c r="CT9" s="67"/>
      <c r="CU9" s="15"/>
      <c r="CV9" s="350"/>
      <c r="CW9" s="350"/>
      <c r="CX9" s="350"/>
      <c r="CY9" s="350"/>
      <c r="CZ9" s="67"/>
      <c r="DA9" s="344"/>
      <c r="DB9" s="350"/>
      <c r="DC9" s="350"/>
      <c r="DD9" s="350"/>
      <c r="DE9" s="350"/>
      <c r="DF9" s="67"/>
      <c r="DG9" s="344"/>
      <c r="DH9" s="67"/>
      <c r="DI9" s="67"/>
      <c r="DJ9" s="67"/>
      <c r="DK9" s="67"/>
      <c r="DL9" s="67"/>
      <c r="DM9" s="344"/>
      <c r="DN9" s="67"/>
      <c r="DO9" s="67"/>
      <c r="DP9" s="67"/>
      <c r="DQ9" s="67"/>
      <c r="DR9" s="67"/>
      <c r="DS9" s="344"/>
      <c r="DT9" s="357"/>
      <c r="DU9" s="357"/>
      <c r="DV9" s="357"/>
      <c r="DW9" s="67"/>
      <c r="DX9" s="67"/>
      <c r="DZ9" s="357">
        <f>SUM(DZ10:EA10)</f>
        <v>197.892</v>
      </c>
      <c r="EA9" s="357"/>
      <c r="EB9" s="357">
        <f>SUM(EB10:EC10)</f>
        <v>206.28</v>
      </c>
      <c r="EC9" s="357"/>
      <c r="ED9" s="357"/>
      <c r="EF9" s="357">
        <f>SUM(EF10:EG10)</f>
        <v>204.42599999999999</v>
      </c>
      <c r="EG9" s="357"/>
      <c r="EH9" s="357">
        <f>SUM(EH10:EI10)</f>
        <v>214.328</v>
      </c>
      <c r="EI9" s="357"/>
      <c r="EJ9" s="355"/>
      <c r="EL9" s="357">
        <f>SUM(EL10:EM10)</f>
        <v>238.02500000000001</v>
      </c>
      <c r="EM9" s="357"/>
      <c r="EN9" s="357">
        <f>SUM(EN10:EO10)</f>
        <v>257.61099999999999</v>
      </c>
      <c r="EO9" s="357"/>
      <c r="EP9" s="355"/>
      <c r="ER9" s="357"/>
      <c r="ES9" s="357"/>
      <c r="ET9" s="357"/>
      <c r="EU9" s="357"/>
      <c r="EV9" s="355"/>
      <c r="EX9" s="357"/>
      <c r="EY9" s="357"/>
      <c r="EZ9" s="889"/>
      <c r="FA9" s="357"/>
      <c r="FB9" s="355"/>
      <c r="FD9" s="564"/>
      <c r="FE9" s="357"/>
      <c r="FF9" s="357"/>
      <c r="FG9" s="357"/>
      <c r="FH9" s="355"/>
      <c r="FJ9" s="357"/>
      <c r="FK9" s="357"/>
      <c r="FL9" s="357"/>
      <c r="FM9" s="357"/>
      <c r="FN9" s="355"/>
    </row>
    <row r="10" spans="2:176">
      <c r="B10" s="891" t="s">
        <v>704</v>
      </c>
      <c r="C10" s="890"/>
      <c r="D10" s="15"/>
      <c r="E10" s="15"/>
      <c r="F10" s="15"/>
      <c r="G10" s="15"/>
      <c r="H10" s="15"/>
      <c r="I10" s="15"/>
      <c r="J10" s="15"/>
      <c r="K10" s="15"/>
      <c r="L10" s="15"/>
      <c r="M10" s="15"/>
      <c r="N10" s="15"/>
      <c r="O10" s="15"/>
      <c r="P10" s="15"/>
      <c r="Q10" s="15"/>
      <c r="R10" s="17"/>
      <c r="S10" s="15"/>
      <c r="T10" s="15"/>
      <c r="U10" s="15"/>
      <c r="V10" s="15"/>
      <c r="W10" s="15"/>
      <c r="X10" s="17"/>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339"/>
      <c r="BA10" s="339"/>
      <c r="BB10" s="339"/>
      <c r="BC10" s="339"/>
      <c r="BD10" s="17"/>
      <c r="BE10" s="17"/>
      <c r="BF10" s="339"/>
      <c r="BG10" s="339"/>
      <c r="BH10" s="339"/>
      <c r="BI10" s="339"/>
      <c r="BJ10" s="339"/>
      <c r="BK10" s="15"/>
      <c r="BL10" s="15"/>
      <c r="BM10" s="15"/>
      <c r="BN10" s="17"/>
      <c r="BO10" s="15"/>
      <c r="BP10" s="15"/>
      <c r="BQ10" s="15"/>
      <c r="BR10" s="15"/>
      <c r="BS10" s="15"/>
      <c r="BT10" s="15"/>
      <c r="BU10" s="15"/>
      <c r="BV10" s="15"/>
      <c r="BW10" s="15"/>
      <c r="BX10" s="15"/>
      <c r="BY10" s="15"/>
      <c r="BZ10" s="15"/>
      <c r="CA10" s="340"/>
      <c r="CB10" s="15"/>
      <c r="CC10" s="338"/>
      <c r="CD10" s="15"/>
      <c r="CE10" s="15"/>
      <c r="CF10" s="15"/>
      <c r="CG10" s="15"/>
      <c r="CH10" s="15"/>
      <c r="CI10" s="15"/>
      <c r="CJ10" s="15"/>
      <c r="CK10" s="15"/>
      <c r="CL10" s="341"/>
      <c r="CM10" s="15"/>
      <c r="CN10" s="15"/>
      <c r="CO10" s="15"/>
      <c r="CP10" s="15"/>
      <c r="CQ10" s="15"/>
      <c r="CR10" s="342"/>
      <c r="CS10" s="342"/>
      <c r="CT10" s="67"/>
      <c r="CU10" s="15"/>
      <c r="CV10" s="350"/>
      <c r="CW10" s="350"/>
      <c r="CX10" s="350"/>
      <c r="CY10" s="350"/>
      <c r="CZ10" s="67"/>
      <c r="DA10" s="344"/>
      <c r="DB10" s="350">
        <v>51.329000000000001</v>
      </c>
      <c r="DC10" s="350">
        <v>53.978000000000002</v>
      </c>
      <c r="DD10" s="350">
        <v>50.74</v>
      </c>
      <c r="DE10" s="350">
        <v>53.456000000000003</v>
      </c>
      <c r="DF10" s="67">
        <f>SUM(DB10:DE10)</f>
        <v>209.50299999999999</v>
      </c>
      <c r="DG10" s="344"/>
      <c r="DH10" s="350">
        <v>56.970999999999997</v>
      </c>
      <c r="DI10" s="350">
        <v>59.54</v>
      </c>
      <c r="DJ10" s="350">
        <v>59.448999999999998</v>
      </c>
      <c r="DK10" s="350">
        <v>65.912999999999997</v>
      </c>
      <c r="DL10" s="67">
        <f>SUM(DH10:DK10)</f>
        <v>241.87299999999999</v>
      </c>
      <c r="DM10" s="344"/>
      <c r="DN10" s="350">
        <v>86.21</v>
      </c>
      <c r="DO10" s="350">
        <v>88.981999999999999</v>
      </c>
      <c r="DP10" s="350">
        <v>92.564999999999998</v>
      </c>
      <c r="DQ10" s="350">
        <v>93.405000000000001</v>
      </c>
      <c r="DR10" s="67">
        <f>SUM(DN10:DQ10)</f>
        <v>361.16200000000003</v>
      </c>
      <c r="DS10" s="344"/>
      <c r="DT10" s="350">
        <v>92.981999999999999</v>
      </c>
      <c r="DU10" s="350">
        <v>73.884</v>
      </c>
      <c r="DV10" s="350">
        <v>108.733</v>
      </c>
      <c r="DW10" s="350">
        <v>106.738</v>
      </c>
      <c r="DX10" s="67">
        <f>SUM(DT10:DW10)</f>
        <v>382.33699999999999</v>
      </c>
      <c r="DZ10" s="350">
        <v>96.486999999999995</v>
      </c>
      <c r="EA10" s="350">
        <v>101.405</v>
      </c>
      <c r="EB10" s="350">
        <v>102.227</v>
      </c>
      <c r="EC10" s="350">
        <v>104.053</v>
      </c>
      <c r="ED10" s="67">
        <f>SUM(DZ10:EC10)</f>
        <v>404.17200000000003</v>
      </c>
      <c r="EF10" s="350">
        <v>98.790999999999997</v>
      </c>
      <c r="EG10" s="350">
        <v>105.63500000000001</v>
      </c>
      <c r="EH10" s="350">
        <v>106.16200000000001</v>
      </c>
      <c r="EI10" s="350">
        <v>108.166</v>
      </c>
      <c r="EJ10" s="67">
        <f>SUM(EF10:EI10)</f>
        <v>418.75399999999996</v>
      </c>
      <c r="EL10" s="350">
        <v>114.869</v>
      </c>
      <c r="EM10" s="350">
        <v>123.15600000000001</v>
      </c>
      <c r="EN10" s="350">
        <v>127.553</v>
      </c>
      <c r="EO10" s="350">
        <v>130.05799999999999</v>
      </c>
      <c r="EP10" s="67">
        <f>SUM(EL10:EO10)</f>
        <v>495.63599999999997</v>
      </c>
      <c r="ER10" s="350">
        <v>134.535</v>
      </c>
      <c r="ES10" s="350">
        <v>141.38800000000001</v>
      </c>
      <c r="ET10" s="350">
        <v>145.78299999999999</v>
      </c>
      <c r="EU10" s="358">
        <f>(EU19*EU25)/1000000</f>
        <v>149.580735</v>
      </c>
      <c r="EV10" s="67">
        <f>SUM(ER10:EU10)</f>
        <v>571.28673500000002</v>
      </c>
      <c r="EX10" s="358">
        <f>(EX19*EX25)/1000000</f>
        <v>149.70881700000001</v>
      </c>
      <c r="EY10" s="358">
        <f>(EY19*EY25)/1000000</f>
        <v>159.49732499999999</v>
      </c>
      <c r="EZ10" s="358">
        <f>(EZ19*EZ25)/1000000</f>
        <v>167.01041499999999</v>
      </c>
      <c r="FA10" s="358">
        <f>(FA19*FA25)/1000000</f>
        <v>169.92265599999999</v>
      </c>
      <c r="FB10" s="67">
        <f>SUM(EX10:FA10)</f>
        <v>646.13921299999993</v>
      </c>
      <c r="FD10" s="697">
        <f>(FD19*FD25)/1000000</f>
        <v>164.22308680814999</v>
      </c>
      <c r="FE10" s="358">
        <f>(FE19*FE25)/1000000</f>
        <v>175.44705750000003</v>
      </c>
      <c r="FF10" s="358">
        <f>(FF19*FF25)/1000000</f>
        <v>183.97867316400001</v>
      </c>
      <c r="FG10" s="358">
        <f>(FG19*FG25)/1000000</f>
        <v>189.12391612799999</v>
      </c>
      <c r="FH10" s="67">
        <f>SUM(FD10:FG10)</f>
        <v>712.7727336001501</v>
      </c>
      <c r="FJ10" s="358">
        <f>(FJ19*FJ25)/1000000</f>
        <v>180.99026397126212</v>
      </c>
      <c r="FK10" s="358">
        <f>(FK19*FK25)/1000000</f>
        <v>193.36020207075003</v>
      </c>
      <c r="FL10" s="358">
        <f>(FL19*FL25)/1000000</f>
        <v>202.7628956940444</v>
      </c>
      <c r="FM10" s="358">
        <f>(FM19*FM25)/1000000</f>
        <v>208.43346796466884</v>
      </c>
      <c r="FN10" s="67">
        <f>SUM(FJ10:FM10)</f>
        <v>785.54682970072531</v>
      </c>
      <c r="FP10" s="358">
        <f>(FP19*FP25)/1000000</f>
        <v>199.46936992272802</v>
      </c>
      <c r="FQ10" s="358">
        <f>(FQ19*FQ25)/1000000</f>
        <v>213.10227870217366</v>
      </c>
      <c r="FR10" s="358">
        <f>(FR19*FR25)/1000000</f>
        <v>223.46498734440635</v>
      </c>
      <c r="FS10" s="358">
        <f>(FS19*FS25)/1000000</f>
        <v>229.71452504386156</v>
      </c>
      <c r="FT10" s="67">
        <f>SUM(FP10:FS10)</f>
        <v>865.75116101316962</v>
      </c>
    </row>
    <row r="11" spans="2:176" s="381" customFormat="1">
      <c r="B11" s="560"/>
      <c r="C11" s="389" t="s">
        <v>125</v>
      </c>
      <c r="D11" s="378"/>
      <c r="E11" s="378"/>
      <c r="F11" s="378"/>
      <c r="G11" s="378"/>
      <c r="H11" s="378"/>
      <c r="I11" s="378"/>
      <c r="J11" s="378"/>
      <c r="K11" s="378"/>
      <c r="L11" s="378"/>
      <c r="M11" s="378"/>
      <c r="N11" s="378"/>
      <c r="O11" s="378"/>
      <c r="P11" s="378"/>
      <c r="Q11" s="378"/>
      <c r="R11" s="378"/>
      <c r="S11" s="378"/>
      <c r="T11" s="378"/>
      <c r="U11" s="378"/>
      <c r="V11" s="378"/>
      <c r="W11" s="378"/>
      <c r="X11" s="378"/>
      <c r="Y11" s="378"/>
      <c r="Z11" s="378"/>
      <c r="AA11" s="378"/>
      <c r="AB11" s="378"/>
      <c r="AC11" s="378"/>
      <c r="AD11" s="378"/>
      <c r="AE11" s="378"/>
      <c r="AF11" s="378"/>
      <c r="AG11" s="378"/>
      <c r="AH11" s="378"/>
      <c r="AI11" s="378"/>
      <c r="AJ11" s="378"/>
      <c r="AK11" s="378"/>
      <c r="AL11" s="378"/>
      <c r="AM11" s="378"/>
      <c r="AN11" s="378"/>
      <c r="AO11" s="378"/>
      <c r="AP11" s="378"/>
      <c r="AQ11" s="378"/>
      <c r="AR11" s="378"/>
      <c r="AS11" s="378"/>
      <c r="AT11" s="378"/>
      <c r="AU11" s="378"/>
      <c r="AV11" s="378"/>
      <c r="AW11" s="378"/>
      <c r="AX11" s="378"/>
      <c r="AY11" s="378"/>
      <c r="AZ11" s="383"/>
      <c r="BA11" s="383"/>
      <c r="BB11" s="383"/>
      <c r="BC11" s="383"/>
      <c r="BD11" s="378"/>
      <c r="BE11" s="378"/>
      <c r="BF11" s="383"/>
      <c r="BG11" s="383"/>
      <c r="BH11" s="383"/>
      <c r="BI11" s="383"/>
      <c r="BJ11" s="383"/>
      <c r="BK11" s="378"/>
      <c r="BL11" s="378"/>
      <c r="BM11" s="378"/>
      <c r="BN11" s="378"/>
      <c r="BO11" s="378"/>
      <c r="BP11" s="378"/>
      <c r="BQ11" s="378"/>
      <c r="BR11" s="378"/>
      <c r="BS11" s="378"/>
      <c r="BT11" s="378"/>
      <c r="BU11" s="378"/>
      <c r="BV11" s="378"/>
      <c r="BW11" s="378"/>
      <c r="BX11" s="378"/>
      <c r="BY11" s="378"/>
      <c r="BZ11" s="378"/>
      <c r="CA11" s="379"/>
      <c r="CB11" s="378"/>
      <c r="CC11" s="384"/>
      <c r="CD11" s="378"/>
      <c r="CE11" s="378"/>
      <c r="CF11" s="378"/>
      <c r="CG11" s="378"/>
      <c r="CH11" s="378"/>
      <c r="CI11" s="378"/>
      <c r="CJ11" s="378"/>
      <c r="CK11" s="378"/>
      <c r="CL11" s="378"/>
      <c r="CM11" s="378"/>
      <c r="CN11" s="378"/>
      <c r="CO11" s="378"/>
      <c r="CP11" s="378"/>
      <c r="CQ11" s="378"/>
      <c r="CR11" s="378"/>
      <c r="CS11" s="378"/>
      <c r="CT11" s="378"/>
      <c r="CU11" s="378"/>
      <c r="CV11" s="379"/>
      <c r="CW11" s="379"/>
      <c r="CX11" s="379"/>
      <c r="CY11" s="379"/>
      <c r="CZ11" s="378"/>
      <c r="DA11" s="378"/>
      <c r="DB11" s="379"/>
      <c r="DC11" s="379"/>
      <c r="DD11" s="379"/>
      <c r="DE11" s="379"/>
      <c r="DF11" s="378"/>
      <c r="DG11" s="378"/>
      <c r="DH11" s="390">
        <f>DH10/DB10-1</f>
        <v>0.1099183697325099</v>
      </c>
      <c r="DI11" s="390">
        <f>DI10/DC10-1</f>
        <v>0.10304198006595278</v>
      </c>
      <c r="DJ11" s="390">
        <f>DJ10/DD10-1</f>
        <v>0.17163973196688986</v>
      </c>
      <c r="DK11" s="390">
        <f>DK10/DE10-1</f>
        <v>0.23303277461837757</v>
      </c>
      <c r="DL11" s="390">
        <f>DL10/DF10-1</f>
        <v>0.15450852732419107</v>
      </c>
      <c r="DM11" s="378"/>
      <c r="DN11" s="390">
        <f>DN10/DH10-1</f>
        <v>0.5132260272770357</v>
      </c>
      <c r="DO11" s="390">
        <f>DO10/DI10-1</f>
        <v>0.4944910984212294</v>
      </c>
      <c r="DP11" s="390">
        <f>DP10/DJ10-1</f>
        <v>0.55704889905633403</v>
      </c>
      <c r="DQ11" s="390">
        <f>DQ10/DK10-1</f>
        <v>0.41709526193618873</v>
      </c>
      <c r="DR11" s="390">
        <f>DR10/DL10-1</f>
        <v>0.4931885741690889</v>
      </c>
      <c r="DS11" s="378"/>
      <c r="DT11" s="390">
        <f>DT10/DN10-1</f>
        <v>7.8552372114603974E-2</v>
      </c>
      <c r="DU11" s="390">
        <f>DU10/DO10-1</f>
        <v>-0.16967476568294715</v>
      </c>
      <c r="DV11" s="390">
        <f>DV10/DP10-1</f>
        <v>0.17466645060227948</v>
      </c>
      <c r="DW11" s="390">
        <f>DW10/DQ10-1</f>
        <v>0.14274396445586413</v>
      </c>
      <c r="DX11" s="390">
        <f>DX10/DR10-1</f>
        <v>5.8630199190390808E-2</v>
      </c>
      <c r="DZ11" s="390">
        <f>DZ10/DT10-1</f>
        <v>3.7695467940031424E-2</v>
      </c>
      <c r="EA11" s="390">
        <f>EA10/DU10-1</f>
        <v>0.37248930756320719</v>
      </c>
      <c r="EB11" s="390">
        <f>EB10/DV10-1</f>
        <v>-5.9834640817415186E-2</v>
      </c>
      <c r="EC11" s="390">
        <f>EC10/DW10-1</f>
        <v>-2.5155052558601509E-2</v>
      </c>
      <c r="ED11" s="390">
        <f>ED10/DX10-1</f>
        <v>5.7109304095601665E-2</v>
      </c>
      <c r="EE11" s="386"/>
      <c r="EF11" s="390">
        <f>EF10/DZ10-1</f>
        <v>2.3878864510245013E-2</v>
      </c>
      <c r="EG11" s="390">
        <f>EG10/EA10-1</f>
        <v>4.1713919431980662E-2</v>
      </c>
      <c r="EH11" s="390">
        <f>EH10/EB10-1</f>
        <v>3.8492766098975784E-2</v>
      </c>
      <c r="EI11" s="390">
        <f>EI10/EC10-1</f>
        <v>3.9527932880359051E-2</v>
      </c>
      <c r="EJ11" s="390">
        <f>EJ10/ED10-1</f>
        <v>3.6078699167680917E-2</v>
      </c>
      <c r="EK11" s="386"/>
      <c r="EL11" s="390">
        <f>EL10/EF10-1</f>
        <v>0.16274761871020638</v>
      </c>
      <c r="EM11" s="390">
        <f>EM10/EG10-1</f>
        <v>0.16586358687934877</v>
      </c>
      <c r="EN11" s="390">
        <f>EN10/EH10-1</f>
        <v>0.20149394321885405</v>
      </c>
      <c r="EO11" s="390">
        <f>EO10/EI10-1</f>
        <v>0.2023926187526579</v>
      </c>
      <c r="EP11" s="390">
        <f>EP10/EJ10-1</f>
        <v>0.18359705220726252</v>
      </c>
      <c r="ER11" s="390">
        <f>ER10/EL10-1</f>
        <v>0.17120371901905651</v>
      </c>
      <c r="ES11" s="390">
        <f>ES10/EM10-1</f>
        <v>0.14803988437428961</v>
      </c>
      <c r="ET11" s="390">
        <f>ET10/EN10-1</f>
        <v>0.14292098186636126</v>
      </c>
      <c r="EU11" s="390">
        <f>EU10/EO10-1</f>
        <v>0.15010791339248652</v>
      </c>
      <c r="EV11" s="390">
        <f>EV10/EP10-1</f>
        <v>0.15263365655440708</v>
      </c>
      <c r="EX11" s="390">
        <f>EX10/ER10-1</f>
        <v>0.1127871334596946</v>
      </c>
      <c r="EY11" s="390">
        <f>EY10/ES10-1</f>
        <v>0.12808247517469651</v>
      </c>
      <c r="EZ11" s="390">
        <f>EZ10/ET10-1</f>
        <v>0.1456096732815213</v>
      </c>
      <c r="FA11" s="390">
        <f>FA10/EU10-1</f>
        <v>0.13599292047869649</v>
      </c>
      <c r="FB11" s="390">
        <f>FB10/EV10-1</f>
        <v>0.13102435854737626</v>
      </c>
      <c r="FD11" s="901">
        <f>FD10/EX10-1</f>
        <v>9.694999999999987E-2</v>
      </c>
      <c r="FE11" s="898">
        <f>FE10/EY10-1</f>
        <v>0.10000000000000031</v>
      </c>
      <c r="FF11" s="898">
        <f>FF10/EZ10-1</f>
        <v>0.10160000000000013</v>
      </c>
      <c r="FG11" s="898">
        <f>FG10/FA10-1</f>
        <v>0.11299999999999999</v>
      </c>
      <c r="FH11" s="898">
        <f>FH10/FB10-1</f>
        <v>0.10312564113045131</v>
      </c>
      <c r="FI11" s="732"/>
      <c r="FJ11" s="898">
        <f>FJ10/FD10-1</f>
        <v>0.10210000000000008</v>
      </c>
      <c r="FK11" s="898">
        <f>FK10/FE10-1</f>
        <v>0.10210000000000008</v>
      </c>
      <c r="FL11" s="898">
        <f>FL10/FF10-1</f>
        <v>0.10209999999999986</v>
      </c>
      <c r="FM11" s="898">
        <f>FM10/FG10-1</f>
        <v>0.1021000000000003</v>
      </c>
      <c r="FN11" s="898">
        <f>FN10/FH10-1</f>
        <v>0.10209999999999986</v>
      </c>
      <c r="FP11" s="898">
        <f>FP10/FJ10-1</f>
        <v>0.10210000000000008</v>
      </c>
      <c r="FQ11" s="898">
        <f>FQ10/FK10-1</f>
        <v>0.1021000000000003</v>
      </c>
      <c r="FR11" s="898">
        <f>FR10/FL10-1</f>
        <v>0.10210000000000008</v>
      </c>
      <c r="FS11" s="898">
        <f>FS10/FM10-1</f>
        <v>0.10210000000000008</v>
      </c>
      <c r="FT11" s="898">
        <f>FT10/FN10-1</f>
        <v>0.1021000000000003</v>
      </c>
    </row>
    <row r="12" spans="2:176" s="381" customFormat="1">
      <c r="B12" s="560"/>
      <c r="C12" s="389" t="s">
        <v>653</v>
      </c>
      <c r="D12" s="378"/>
      <c r="E12" s="378"/>
      <c r="F12" s="378"/>
      <c r="G12" s="378"/>
      <c r="H12" s="378"/>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78"/>
      <c r="AQ12" s="378"/>
      <c r="AR12" s="378"/>
      <c r="AS12" s="378"/>
      <c r="AT12" s="378"/>
      <c r="AU12" s="378"/>
      <c r="AV12" s="378"/>
      <c r="AW12" s="378"/>
      <c r="AX12" s="378"/>
      <c r="AY12" s="378"/>
      <c r="AZ12" s="383"/>
      <c r="BA12" s="383"/>
      <c r="BB12" s="383"/>
      <c r="BC12" s="383"/>
      <c r="BD12" s="378"/>
      <c r="BE12" s="378"/>
      <c r="BF12" s="383"/>
      <c r="BG12" s="383"/>
      <c r="BH12" s="383"/>
      <c r="BI12" s="383"/>
      <c r="BJ12" s="383"/>
      <c r="BK12" s="378"/>
      <c r="BL12" s="378"/>
      <c r="BM12" s="378"/>
      <c r="BN12" s="378"/>
      <c r="BO12" s="378"/>
      <c r="BP12" s="378"/>
      <c r="BQ12" s="378"/>
      <c r="BR12" s="378"/>
      <c r="BS12" s="378"/>
      <c r="BT12" s="378"/>
      <c r="BU12" s="378"/>
      <c r="BV12" s="378"/>
      <c r="BW12" s="378"/>
      <c r="BX12" s="378"/>
      <c r="BY12" s="378"/>
      <c r="BZ12" s="378"/>
      <c r="CA12" s="379"/>
      <c r="CB12" s="378"/>
      <c r="CC12" s="384"/>
      <c r="CD12" s="378"/>
      <c r="CE12" s="378"/>
      <c r="CF12" s="378"/>
      <c r="CG12" s="378"/>
      <c r="CH12" s="378"/>
      <c r="CI12" s="378"/>
      <c r="CJ12" s="378"/>
      <c r="CK12" s="378"/>
      <c r="CL12" s="378"/>
      <c r="CM12" s="378"/>
      <c r="CN12" s="378"/>
      <c r="CO12" s="378"/>
      <c r="CP12" s="378"/>
      <c r="CQ12" s="378"/>
      <c r="CR12" s="378"/>
      <c r="CS12" s="378"/>
      <c r="CT12" s="378"/>
      <c r="CU12" s="378"/>
      <c r="CV12" s="379"/>
      <c r="CW12" s="379"/>
      <c r="CX12" s="379"/>
      <c r="CY12" s="379"/>
      <c r="CZ12" s="378"/>
      <c r="DA12" s="378"/>
      <c r="DB12" s="379"/>
      <c r="DC12" s="390">
        <f>DC10/DB10-1</f>
        <v>5.16082526447037E-2</v>
      </c>
      <c r="DD12" s="390">
        <f>DD10/DC10-1</f>
        <v>-5.9987402275000878E-2</v>
      </c>
      <c r="DE12" s="390">
        <f>DE10/DD10-1</f>
        <v>5.3527788726842829E-2</v>
      </c>
      <c r="DF12" s="378"/>
      <c r="DG12" s="378"/>
      <c r="DH12" s="390">
        <f>DH10/DE10-1</f>
        <v>6.5755013469021018E-2</v>
      </c>
      <c r="DI12" s="390">
        <f>DI10/DH10-1</f>
        <v>4.5093117551034734E-2</v>
      </c>
      <c r="DJ12" s="390">
        <f>DJ10/DI10-1</f>
        <v>-1.5283842794759916E-3</v>
      </c>
      <c r="DK12" s="390">
        <f>DK10/DJ10-1</f>
        <v>0.10873185419435138</v>
      </c>
      <c r="DL12" s="390"/>
      <c r="DM12" s="378"/>
      <c r="DN12" s="390">
        <f>DN10/DK10-1</f>
        <v>0.30793621895528944</v>
      </c>
      <c r="DO12" s="390">
        <f>DO10/DN10-1</f>
        <v>3.2154042454471732E-2</v>
      </c>
      <c r="DP12" s="390">
        <f>DP10/DO10-1</f>
        <v>4.0266570767121479E-2</v>
      </c>
      <c r="DQ12" s="390">
        <f>DQ10/DP10-1</f>
        <v>9.0747042618701812E-3</v>
      </c>
      <c r="DR12" s="390"/>
      <c r="DS12" s="378"/>
      <c r="DT12" s="390">
        <f>DT10/DQ10-1</f>
        <v>-4.5286654889995503E-3</v>
      </c>
      <c r="DU12" s="390">
        <f>DU10/DT10-1</f>
        <v>-0.2053945925017745</v>
      </c>
      <c r="DV12" s="390">
        <f>DV10/DU10-1</f>
        <v>0.47167180986411128</v>
      </c>
      <c r="DW12" s="390">
        <f>DW10/DV10-1</f>
        <v>-1.834769573174666E-2</v>
      </c>
      <c r="DX12" s="390"/>
      <c r="DZ12" s="390">
        <f>DZ10/DW10-1</f>
        <v>-9.6038898986302912E-2</v>
      </c>
      <c r="EA12" s="390">
        <f>EA10/DZ10-1</f>
        <v>5.0970597075253643E-2</v>
      </c>
      <c r="EB12" s="390">
        <f>EB10/EA10-1</f>
        <v>8.1061091662146811E-3</v>
      </c>
      <c r="EC12" s="894">
        <f>EC10/EB10-1</f>
        <v>1.7862208614162434E-2</v>
      </c>
      <c r="ED12" s="390"/>
      <c r="EE12" s="386"/>
      <c r="EF12" s="390">
        <f>EF10/EC10-1</f>
        <v>-5.0570382401276315E-2</v>
      </c>
      <c r="EG12" s="390">
        <f>EG10/EF10-1</f>
        <v>6.927756577016142E-2</v>
      </c>
      <c r="EH12" s="390">
        <f>EH10/EG10-1</f>
        <v>4.9888767927297462E-3</v>
      </c>
      <c r="EI12" s="894">
        <f>EI10/EH10-1</f>
        <v>1.8876810911625519E-2</v>
      </c>
      <c r="EJ12" s="390"/>
      <c r="EK12" s="386"/>
      <c r="EL12" s="390">
        <f>EL10/EI10-1</f>
        <v>6.1969565297782969E-2</v>
      </c>
      <c r="EM12" s="390">
        <f>EM10/EL10-1</f>
        <v>7.2143049909026757E-2</v>
      </c>
      <c r="EN12" s="390">
        <f>EN10/EM10-1</f>
        <v>3.5702686024229324E-2</v>
      </c>
      <c r="EO12" s="894">
        <f>EO10/EN10-1</f>
        <v>1.9638895204346474E-2</v>
      </c>
      <c r="EP12" s="390"/>
      <c r="ER12" s="390">
        <f>ER10/EO10-1</f>
        <v>3.4423103538421262E-2</v>
      </c>
      <c r="ES12" s="390">
        <f>ES10/ER10-1</f>
        <v>5.0938417512171652E-2</v>
      </c>
      <c r="ET12" s="390">
        <f>ET10/ES10-1</f>
        <v>3.1084674795597733E-2</v>
      </c>
      <c r="EU12" s="894">
        <f>EU10/ET10-1</f>
        <v>2.6050602607985862E-2</v>
      </c>
      <c r="EV12" s="390"/>
      <c r="EX12" s="390">
        <f>EX10/EU10-1</f>
        <v>8.5627336969573697E-4</v>
      </c>
      <c r="EY12" s="390">
        <f>EY10/EX10-1</f>
        <v>6.5383644037478206E-2</v>
      </c>
      <c r="EZ12" s="390">
        <f>EZ10/EY10-1</f>
        <v>4.7104802541359181E-2</v>
      </c>
      <c r="FA12" s="390">
        <f>FA10/EZ10-1</f>
        <v>1.7437481369051211E-2</v>
      </c>
      <c r="FB12" s="390"/>
      <c r="FD12" s="567"/>
      <c r="FE12" s="390"/>
      <c r="FF12" s="390"/>
      <c r="FG12" s="390"/>
      <c r="FH12" s="390"/>
      <c r="FJ12" s="390"/>
      <c r="FK12" s="390"/>
      <c r="FL12" s="390"/>
      <c r="FM12" s="390"/>
      <c r="FN12" s="390"/>
    </row>
    <row r="13" spans="2:176" s="372" customFormat="1">
      <c r="B13" s="373"/>
      <c r="C13" s="345" t="s">
        <v>654</v>
      </c>
      <c r="D13" s="373"/>
      <c r="E13" s="373"/>
      <c r="F13" s="373"/>
      <c r="G13" s="373"/>
      <c r="H13" s="373"/>
      <c r="I13" s="373"/>
      <c r="J13" s="373"/>
      <c r="K13" s="373"/>
      <c r="L13" s="373"/>
      <c r="M13" s="373"/>
      <c r="N13" s="373"/>
      <c r="O13" s="373"/>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5"/>
      <c r="BA13" s="375"/>
      <c r="BB13" s="375"/>
      <c r="BC13" s="375"/>
      <c r="BD13" s="373"/>
      <c r="BE13" s="373"/>
      <c r="BF13" s="375"/>
      <c r="BG13" s="375"/>
      <c r="BH13" s="375"/>
      <c r="BI13" s="375"/>
      <c r="BJ13" s="375"/>
      <c r="BK13" s="373"/>
      <c r="BL13" s="373"/>
      <c r="BM13" s="373"/>
      <c r="BN13" s="373"/>
      <c r="BO13" s="373"/>
      <c r="BP13" s="373"/>
      <c r="BQ13" s="373"/>
      <c r="BR13" s="373"/>
      <c r="BS13" s="373"/>
      <c r="BT13" s="373"/>
      <c r="BU13" s="373"/>
      <c r="BV13" s="373"/>
      <c r="BW13" s="373"/>
      <c r="BX13" s="373"/>
      <c r="BY13" s="373"/>
      <c r="BZ13" s="373"/>
      <c r="CA13" s="376"/>
      <c r="CB13" s="373"/>
      <c r="CC13" s="377"/>
      <c r="CD13" s="373"/>
      <c r="CE13" s="373"/>
      <c r="CF13" s="373"/>
      <c r="CG13" s="373"/>
      <c r="CH13" s="373"/>
      <c r="CI13" s="373"/>
      <c r="CJ13" s="373"/>
      <c r="CK13" s="373"/>
      <c r="CL13" s="373"/>
      <c r="CM13" s="373"/>
      <c r="CN13" s="373"/>
      <c r="CO13" s="373"/>
      <c r="CP13" s="373"/>
      <c r="CQ13" s="373"/>
      <c r="CR13" s="373"/>
      <c r="CS13" s="373"/>
      <c r="CT13" s="373"/>
      <c r="CU13" s="373"/>
      <c r="CV13" s="376"/>
      <c r="CW13" s="376"/>
      <c r="CX13" s="376"/>
      <c r="CY13" s="376"/>
      <c r="CZ13" s="373"/>
      <c r="DA13" s="373"/>
      <c r="DB13" s="486"/>
      <c r="DC13" s="486">
        <f>DC10-DB10</f>
        <v>2.6490000000000009</v>
      </c>
      <c r="DD13" s="486">
        <f>DD10-DC10</f>
        <v>-3.2379999999999995</v>
      </c>
      <c r="DE13" s="486">
        <f>DE10-DD10</f>
        <v>2.7160000000000011</v>
      </c>
      <c r="DF13" s="373"/>
      <c r="DG13" s="373"/>
      <c r="DH13" s="486">
        <f>DH10-DE10</f>
        <v>3.5149999999999935</v>
      </c>
      <c r="DI13" s="486">
        <f>DI10-DH10</f>
        <v>2.5690000000000026</v>
      </c>
      <c r="DJ13" s="486">
        <f>DJ10-DI10</f>
        <v>-9.100000000000108E-2</v>
      </c>
      <c r="DK13" s="486">
        <f>DK10-DJ10</f>
        <v>6.4639999999999986</v>
      </c>
      <c r="DL13" s="17"/>
      <c r="DM13" s="373"/>
      <c r="DN13" s="486">
        <f>DN10-DK10</f>
        <v>20.296999999999997</v>
      </c>
      <c r="DO13" s="486">
        <f>DO10-DN10</f>
        <v>2.7720000000000056</v>
      </c>
      <c r="DP13" s="486">
        <f>DP10-DO10</f>
        <v>3.5829999999999984</v>
      </c>
      <c r="DQ13" s="486">
        <f>DQ10-DP10</f>
        <v>0.84000000000000341</v>
      </c>
      <c r="DR13" s="17"/>
      <c r="DS13" s="354"/>
      <c r="DT13" s="486">
        <f>DT10-DQ10</f>
        <v>-0.42300000000000182</v>
      </c>
      <c r="DU13" s="486">
        <f>DU10-DT10</f>
        <v>-19.097999999999999</v>
      </c>
      <c r="DV13" s="486">
        <f>DV10-DU10</f>
        <v>34.849000000000004</v>
      </c>
      <c r="DW13" s="486">
        <f>DW10-DV10</f>
        <v>-1.9950000000000045</v>
      </c>
      <c r="DX13" s="17"/>
      <c r="DY13" s="31"/>
      <c r="DZ13" s="486">
        <f>DZ10-DW10</f>
        <v>-10.251000000000005</v>
      </c>
      <c r="EA13" s="486">
        <f>EA10-DZ10</f>
        <v>4.9180000000000064</v>
      </c>
      <c r="EB13" s="486">
        <f>EB10-EA10</f>
        <v>0.82200000000000273</v>
      </c>
      <c r="EC13" s="486">
        <f>EC10-EB10</f>
        <v>1.8259999999999934</v>
      </c>
      <c r="ED13" s="17"/>
      <c r="EE13" s="41"/>
      <c r="EF13" s="486">
        <f>EF10-EC10</f>
        <v>-5.2620000000000005</v>
      </c>
      <c r="EG13" s="486">
        <f>EG10-EF10</f>
        <v>6.8440000000000083</v>
      </c>
      <c r="EH13" s="486">
        <f>EH10-EG10</f>
        <v>0.52700000000000102</v>
      </c>
      <c r="EI13" s="486">
        <f>EI10-EH10</f>
        <v>2.0039999999999907</v>
      </c>
      <c r="EJ13" s="17"/>
      <c r="EK13" s="41"/>
      <c r="EL13" s="486">
        <f>EL10-EI10</f>
        <v>6.703000000000003</v>
      </c>
      <c r="EM13" s="486">
        <f>EM10-EL10</f>
        <v>8.2870000000000061</v>
      </c>
      <c r="EN13" s="486">
        <f>EN10-EM10</f>
        <v>4.3969999999999914</v>
      </c>
      <c r="EO13" s="486">
        <f>EO10-EN10</f>
        <v>2.5049999999999955</v>
      </c>
      <c r="EP13" s="17"/>
      <c r="ER13" s="486">
        <f>ER10-EO10</f>
        <v>4.4770000000000039</v>
      </c>
      <c r="ES13" s="486">
        <f>ES10-ER10</f>
        <v>6.8530000000000086</v>
      </c>
      <c r="ET13" s="486">
        <f>ET10-ES10</f>
        <v>4.3949999999999818</v>
      </c>
      <c r="EU13" s="486">
        <f>EU10-ET10</f>
        <v>3.7977350000000172</v>
      </c>
      <c r="EV13" s="17"/>
      <c r="EX13" s="486">
        <f>EX10-EU10</f>
        <v>0.12808200000000625</v>
      </c>
      <c r="EY13" s="486">
        <f>EY10-EX10</f>
        <v>9.7885079999999789</v>
      </c>
      <c r="EZ13" s="486">
        <f>EZ10-EY10</f>
        <v>7.5130900000000054</v>
      </c>
      <c r="FA13" s="486">
        <f>FA10-EZ10</f>
        <v>2.9122409999999945</v>
      </c>
      <c r="FB13" s="523"/>
      <c r="FD13" s="902"/>
      <c r="FE13" s="374"/>
      <c r="FF13" s="374"/>
      <c r="FG13" s="374"/>
      <c r="FH13" s="523"/>
      <c r="FJ13" s="374"/>
      <c r="FK13" s="374"/>
      <c r="FL13" s="374"/>
      <c r="FM13" s="374"/>
      <c r="FN13" s="523"/>
    </row>
    <row r="14" spans="2:176" s="381" customFormat="1">
      <c r="B14" s="377"/>
      <c r="C14" s="348" t="s">
        <v>660</v>
      </c>
      <c r="D14" s="378"/>
      <c r="E14" s="378"/>
      <c r="F14" s="378"/>
      <c r="G14" s="378"/>
      <c r="H14" s="378"/>
      <c r="I14" s="378"/>
      <c r="J14" s="378"/>
      <c r="K14" s="378"/>
      <c r="L14" s="378"/>
      <c r="M14" s="378"/>
      <c r="N14" s="378"/>
      <c r="O14" s="378"/>
      <c r="P14" s="378"/>
      <c r="Q14" s="378"/>
      <c r="R14" s="378"/>
      <c r="S14" s="378"/>
      <c r="T14" s="378"/>
      <c r="U14" s="378"/>
      <c r="V14" s="378"/>
      <c r="W14" s="378"/>
      <c r="X14" s="378"/>
      <c r="Y14" s="378"/>
      <c r="Z14" s="378"/>
      <c r="AA14" s="378"/>
      <c r="AB14" s="378"/>
      <c r="AC14" s="378"/>
      <c r="AD14" s="378"/>
      <c r="AE14" s="378"/>
      <c r="AF14" s="378"/>
      <c r="AG14" s="378"/>
      <c r="AH14" s="378"/>
      <c r="AI14" s="378"/>
      <c r="AJ14" s="378"/>
      <c r="AK14" s="378"/>
      <c r="AL14" s="378"/>
      <c r="AM14" s="378"/>
      <c r="AN14" s="378"/>
      <c r="AO14" s="378"/>
      <c r="AP14" s="378"/>
      <c r="AQ14" s="378"/>
      <c r="AR14" s="378"/>
      <c r="AS14" s="378"/>
      <c r="AT14" s="378"/>
      <c r="AU14" s="378"/>
      <c r="AV14" s="378"/>
      <c r="AW14" s="378"/>
      <c r="AX14" s="378"/>
      <c r="AY14" s="378"/>
      <c r="AZ14" s="677"/>
      <c r="BA14" s="677"/>
      <c r="BB14" s="677"/>
      <c r="BC14" s="677"/>
      <c r="BD14" s="378"/>
      <c r="BE14" s="378"/>
      <c r="BF14" s="677"/>
      <c r="BG14" s="677"/>
      <c r="BH14" s="677"/>
      <c r="BI14" s="677"/>
      <c r="BJ14" s="677"/>
      <c r="BK14" s="378"/>
      <c r="BL14" s="378"/>
      <c r="BM14" s="378"/>
      <c r="BN14" s="378"/>
      <c r="BO14" s="378"/>
      <c r="BP14" s="378"/>
      <c r="BQ14" s="378"/>
      <c r="BR14" s="378"/>
      <c r="BS14" s="378"/>
      <c r="BT14" s="378"/>
      <c r="BU14" s="378"/>
      <c r="BV14" s="378"/>
      <c r="BW14" s="378"/>
      <c r="BX14" s="378"/>
      <c r="BY14" s="378"/>
      <c r="BZ14" s="378"/>
      <c r="CA14" s="379"/>
      <c r="CB14" s="378"/>
      <c r="CC14" s="384"/>
      <c r="CD14" s="378"/>
      <c r="CE14" s="378"/>
      <c r="CF14" s="378"/>
      <c r="CG14" s="378"/>
      <c r="CH14" s="378"/>
      <c r="CI14" s="378"/>
      <c r="CJ14" s="378"/>
      <c r="CK14" s="378"/>
      <c r="CL14" s="378"/>
      <c r="CM14" s="378"/>
      <c r="CN14" s="378"/>
      <c r="CO14" s="378"/>
      <c r="CP14" s="378"/>
      <c r="CQ14" s="378"/>
      <c r="CR14" s="378"/>
      <c r="CS14" s="378"/>
      <c r="CT14" s="378"/>
      <c r="CU14" s="378"/>
      <c r="CV14" s="379"/>
      <c r="CW14" s="379"/>
      <c r="CX14" s="379"/>
      <c r="CY14" s="379"/>
      <c r="CZ14" s="378"/>
      <c r="DA14" s="378"/>
      <c r="DB14" s="679">
        <f>DB10/DB90</f>
        <v>0.91905102954341988</v>
      </c>
      <c r="DC14" s="679">
        <f>DC10/DC90</f>
        <v>0.88933190542878326</v>
      </c>
      <c r="DD14" s="679">
        <f>DD10/DD90</f>
        <v>0.8645425115011075</v>
      </c>
      <c r="DE14" s="679">
        <f>DE10/DE90</f>
        <v>0.8703070561036762</v>
      </c>
      <c r="DF14" s="679">
        <f>DF10/DF90</f>
        <v>0.8852601021731874</v>
      </c>
      <c r="DG14" s="378"/>
      <c r="DH14" s="679">
        <f>DH10/DH90</f>
        <v>0.89827034356621416</v>
      </c>
      <c r="DI14" s="679">
        <f>DI10/DI90</f>
        <v>0.87887107725917402</v>
      </c>
      <c r="DJ14" s="679">
        <f>DJ10/DJ90</f>
        <v>0.86038265601481989</v>
      </c>
      <c r="DK14" s="679">
        <f>DK10/DK90</f>
        <v>0.86188950637463224</v>
      </c>
      <c r="DL14" s="679">
        <f>DL10/DL90</f>
        <v>0.87400809424008086</v>
      </c>
      <c r="DM14" s="378"/>
      <c r="DN14" s="679">
        <f>DN10/DN90</f>
        <v>0.90199524990321933</v>
      </c>
      <c r="DO14" s="679">
        <f>DO10/DO90</f>
        <v>0.874834092003972</v>
      </c>
      <c r="DP14" s="679">
        <f>DP10/DP90</f>
        <v>0.88433391929073679</v>
      </c>
      <c r="DQ14" s="679">
        <f>DQ10/DQ90</f>
        <v>0.87402215817644202</v>
      </c>
      <c r="DR14" s="679">
        <f>DR10/DR90</f>
        <v>0.88340385979502478</v>
      </c>
      <c r="DS14" s="378"/>
      <c r="DT14" s="679">
        <f>DT10/DT90</f>
        <v>0.87694048854097895</v>
      </c>
      <c r="DU14" s="679">
        <f>DU10/DU90</f>
        <v>0.84946595076859399</v>
      </c>
      <c r="DV14" s="679">
        <f>DV10/DV90</f>
        <v>0.86678517904403563</v>
      </c>
      <c r="DW14" s="679">
        <f>DW10/DW90</f>
        <v>0.84714715429732457</v>
      </c>
      <c r="DX14" s="679">
        <f>DX10/DX90</f>
        <v>0.8602513679890561</v>
      </c>
      <c r="DZ14" s="679">
        <f>DZ10/DZ90</f>
        <v>0.83514666805155247</v>
      </c>
      <c r="EA14" s="679">
        <f>EA10/EA90</f>
        <v>0.83307318195261404</v>
      </c>
      <c r="EB14" s="679">
        <f>EB10/EB90</f>
        <v>0.84248392945442563</v>
      </c>
      <c r="EC14" s="679">
        <f>EC10/EC90</f>
        <v>0.82757770495975569</v>
      </c>
      <c r="ED14" s="679">
        <f>ED10/ED90</f>
        <v>0.83449886337592838</v>
      </c>
      <c r="EE14" s="386"/>
      <c r="EF14" s="679">
        <f>EF10/EF90</f>
        <v>0.84314963855627345</v>
      </c>
      <c r="EG14" s="679">
        <f>EG10/EG90</f>
        <v>0.84459351413585781</v>
      </c>
      <c r="EH14" s="679">
        <f>EH10/EH90</f>
        <v>0.82435433523318469</v>
      </c>
      <c r="EI14" s="679">
        <f>EI10/EI90</f>
        <v>0.77982769186402801</v>
      </c>
      <c r="EJ14" s="679">
        <f>EJ10/EJ90</f>
        <v>0.82152442086760002</v>
      </c>
      <c r="EK14" s="386"/>
      <c r="EL14" s="679">
        <f>EL10/EL90</f>
        <v>0.83711558081912263</v>
      </c>
      <c r="EM14" s="679">
        <f>EM10/EM90</f>
        <v>0.83826922684236682</v>
      </c>
      <c r="EN14" s="679">
        <f>EN10/EN90</f>
        <v>0.83941850823275455</v>
      </c>
      <c r="EO14" s="679">
        <f>EO10/EO90</f>
        <v>0.83610625385723103</v>
      </c>
      <c r="EP14" s="679">
        <f>EP10/EP90</f>
        <v>0.83772815701360459</v>
      </c>
      <c r="ER14" s="679">
        <f>ER10/ER90</f>
        <v>0.86107910906297991</v>
      </c>
      <c r="ES14" s="679">
        <f>ES10/ES90</f>
        <v>0.85949107001738578</v>
      </c>
      <c r="ET14" s="679">
        <f>ET10/ET90</f>
        <v>0.86866598341119272</v>
      </c>
      <c r="EU14" s="679">
        <f>EU10/EU90</f>
        <v>0.86965543604651163</v>
      </c>
      <c r="EV14" s="679"/>
      <c r="EX14" s="679">
        <f>EX10/EX90</f>
        <v>0.89093829856875062</v>
      </c>
      <c r="EY14" s="679">
        <f>EY10/EY90</f>
        <v>0.87959700545965902</v>
      </c>
      <c r="EZ14" s="679">
        <f>EZ10/EZ90</f>
        <v>0.88931354068488844</v>
      </c>
      <c r="FA14" s="679">
        <f>FA10/FA90</f>
        <v>0.89353029394752059</v>
      </c>
      <c r="FB14" s="679"/>
      <c r="FD14" s="926"/>
      <c r="FE14" s="679"/>
      <c r="FF14" s="679"/>
      <c r="FG14" s="679"/>
      <c r="FH14" s="679"/>
      <c r="FJ14" s="679"/>
      <c r="FK14" s="679"/>
      <c r="FL14" s="679"/>
      <c r="FM14" s="679"/>
      <c r="FN14" s="679"/>
    </row>
    <row r="15" spans="2:176">
      <c r="FD15" s="926"/>
    </row>
    <row r="16" spans="2:176" hidden="1" outlineLevel="1">
      <c r="C16" s="31" t="s">
        <v>633</v>
      </c>
      <c r="DB16" s="673">
        <v>94528</v>
      </c>
      <c r="DC16" s="673">
        <v>99247</v>
      </c>
      <c r="DD16" s="673">
        <v>98031</v>
      </c>
      <c r="DE16" s="673">
        <v>102714</v>
      </c>
      <c r="DF16" s="73">
        <f>SUM(DB16:DE16)</f>
        <v>394520</v>
      </c>
      <c r="DH16" s="673">
        <v>105229</v>
      </c>
      <c r="DI16" s="673">
        <v>109986</v>
      </c>
      <c r="DJ16" s="673">
        <v>108467</v>
      </c>
      <c r="DK16" s="673">
        <v>115915</v>
      </c>
      <c r="DL16" s="73">
        <f>SUM(DH16:DK16)</f>
        <v>439597</v>
      </c>
      <c r="DN16" s="673">
        <v>137111</v>
      </c>
      <c r="DO16" s="673">
        <v>144983</v>
      </c>
      <c r="DP16" s="673">
        <v>143312</v>
      </c>
      <c r="DQ16" s="673">
        <v>145679</v>
      </c>
      <c r="DR16" s="73">
        <f>SUM(DN16:DQ16)</f>
        <v>571085</v>
      </c>
      <c r="DT16" s="673">
        <v>144319</v>
      </c>
      <c r="DU16" s="673">
        <v>114413</v>
      </c>
      <c r="DV16" s="673">
        <v>147518</v>
      </c>
      <c r="DW16" s="673">
        <v>153170</v>
      </c>
      <c r="DX16" s="73">
        <f>SUM(DT16:DW16)</f>
        <v>559420</v>
      </c>
      <c r="DZ16" s="673">
        <v>151145</v>
      </c>
      <c r="EA16" s="673">
        <v>163128</v>
      </c>
      <c r="EB16" s="673">
        <v>159625</v>
      </c>
      <c r="EC16" s="673">
        <v>159553</v>
      </c>
      <c r="ED16" s="73">
        <f>SUM(DZ16:EC16)</f>
        <v>633451</v>
      </c>
      <c r="EF16" s="682"/>
      <c r="EG16" s="681"/>
      <c r="EH16" s="681"/>
      <c r="EI16" s="681"/>
      <c r="EJ16" s="73"/>
      <c r="EL16" s="681"/>
      <c r="EM16" s="681"/>
      <c r="EN16" s="681"/>
      <c r="EO16" s="681"/>
      <c r="EP16" s="73"/>
      <c r="ER16" s="681"/>
      <c r="ES16" s="681"/>
      <c r="FD16" s="640"/>
    </row>
    <row r="17" spans="2:176" s="381" customFormat="1" hidden="1" outlineLevel="1">
      <c r="B17" s="560"/>
      <c r="C17" s="389" t="s">
        <v>125</v>
      </c>
      <c r="D17" s="378"/>
      <c r="E17" s="378"/>
      <c r="F17" s="378"/>
      <c r="G17" s="378"/>
      <c r="H17" s="378"/>
      <c r="I17" s="378"/>
      <c r="J17" s="378"/>
      <c r="K17" s="378"/>
      <c r="L17" s="378"/>
      <c r="M17" s="378"/>
      <c r="N17" s="378"/>
      <c r="O17" s="378"/>
      <c r="P17" s="378"/>
      <c r="Q17" s="378"/>
      <c r="R17" s="378"/>
      <c r="S17" s="378"/>
      <c r="T17" s="378"/>
      <c r="U17" s="378"/>
      <c r="V17" s="378"/>
      <c r="W17" s="378"/>
      <c r="X17" s="378"/>
      <c r="Y17" s="378"/>
      <c r="Z17" s="378"/>
      <c r="AA17" s="378"/>
      <c r="AB17" s="378"/>
      <c r="AC17" s="378"/>
      <c r="AD17" s="378"/>
      <c r="AE17" s="378"/>
      <c r="AF17" s="378"/>
      <c r="AG17" s="378"/>
      <c r="AH17" s="378"/>
      <c r="AI17" s="378"/>
      <c r="AJ17" s="378"/>
      <c r="AK17" s="378"/>
      <c r="AL17" s="378"/>
      <c r="AM17" s="378"/>
      <c r="AN17" s="378"/>
      <c r="AO17" s="378"/>
      <c r="AP17" s="378"/>
      <c r="AQ17" s="378"/>
      <c r="AR17" s="378"/>
      <c r="AS17" s="378"/>
      <c r="AT17" s="378"/>
      <c r="AU17" s="378"/>
      <c r="AV17" s="378"/>
      <c r="AW17" s="378"/>
      <c r="AX17" s="378"/>
      <c r="AY17" s="378"/>
      <c r="AZ17" s="383"/>
      <c r="BA17" s="383"/>
      <c r="BB17" s="383"/>
      <c r="BC17" s="383"/>
      <c r="BD17" s="378"/>
      <c r="BE17" s="378"/>
      <c r="BF17" s="383"/>
      <c r="BG17" s="383"/>
      <c r="BH17" s="383"/>
      <c r="BI17" s="383"/>
      <c r="BJ17" s="383"/>
      <c r="BK17" s="378"/>
      <c r="BL17" s="378"/>
      <c r="BM17" s="378"/>
      <c r="BN17" s="378"/>
      <c r="BO17" s="378"/>
      <c r="BP17" s="378"/>
      <c r="BQ17" s="378"/>
      <c r="BR17" s="378"/>
      <c r="BS17" s="378"/>
      <c r="BT17" s="378"/>
      <c r="BU17" s="378"/>
      <c r="BV17" s="378"/>
      <c r="BW17" s="378"/>
      <c r="BX17" s="378"/>
      <c r="BY17" s="378"/>
      <c r="BZ17" s="378"/>
      <c r="CA17" s="379"/>
      <c r="CB17" s="378"/>
      <c r="CC17" s="384"/>
      <c r="CD17" s="378"/>
      <c r="CE17" s="378"/>
      <c r="CF17" s="378"/>
      <c r="CG17" s="378"/>
      <c r="CH17" s="378"/>
      <c r="CI17" s="378"/>
      <c r="CJ17" s="378"/>
      <c r="CK17" s="378"/>
      <c r="CL17" s="378"/>
      <c r="CM17" s="378"/>
      <c r="CN17" s="378"/>
      <c r="CO17" s="378"/>
      <c r="CP17" s="378"/>
      <c r="CQ17" s="378"/>
      <c r="CR17" s="378"/>
      <c r="CS17" s="378"/>
      <c r="CT17" s="378"/>
      <c r="CU17" s="378"/>
      <c r="CV17" s="379"/>
      <c r="CW17" s="379"/>
      <c r="CX17" s="379"/>
      <c r="CY17" s="379"/>
      <c r="CZ17" s="378"/>
      <c r="DA17" s="378"/>
      <c r="DB17" s="379"/>
      <c r="DC17" s="379"/>
      <c r="DD17" s="379"/>
      <c r="DE17" s="379"/>
      <c r="DF17" s="378"/>
      <c r="DG17" s="378"/>
      <c r="DH17" s="390">
        <f>DH16/DB16-1</f>
        <v>0.11320455314827349</v>
      </c>
      <c r="DI17" s="390">
        <f>DI16/DC16-1</f>
        <v>0.10820478200852413</v>
      </c>
      <c r="DJ17" s="390">
        <f>DJ16/DD16-1</f>
        <v>0.10645612102294177</v>
      </c>
      <c r="DK17" s="390">
        <f>DK16/DE16-1</f>
        <v>0.12852191522090473</v>
      </c>
      <c r="DL17" s="390">
        <f>DL16/DF16-1</f>
        <v>0.11425783230254494</v>
      </c>
      <c r="DM17" s="378"/>
      <c r="DN17" s="390">
        <f>DN16/DH16-1</f>
        <v>0.30297731613908718</v>
      </c>
      <c r="DO17" s="390">
        <f>DO16/DI16-1</f>
        <v>0.31819504300547341</v>
      </c>
      <c r="DP17" s="390">
        <f>DP16/DJ16-1</f>
        <v>0.32124978103939439</v>
      </c>
      <c r="DQ17" s="390">
        <f>DQ16/DK16-1</f>
        <v>0.25677436052279679</v>
      </c>
      <c r="DR17" s="390">
        <f>DR16/DL16-1</f>
        <v>0.2991103214990094</v>
      </c>
      <c r="DS17" s="378"/>
      <c r="DT17" s="390">
        <f>DT16/DN16-1</f>
        <v>5.257054503285663E-2</v>
      </c>
      <c r="DU17" s="390">
        <f>DU16/DO16-1</f>
        <v>-0.21085230682217915</v>
      </c>
      <c r="DV17" s="390">
        <f>DV16/DP16-1</f>
        <v>2.9348554203416422E-2</v>
      </c>
      <c r="DW17" s="390">
        <f>DW16/DQ16-1</f>
        <v>5.142127554417586E-2</v>
      </c>
      <c r="DX17" s="390">
        <f>DX16/DR16-1</f>
        <v>-2.0426031151229651E-2</v>
      </c>
      <c r="DZ17" s="390">
        <f>DZ16/DT16-1</f>
        <v>4.7297999570396154E-2</v>
      </c>
      <c r="EA17" s="390">
        <f>EA16/DU16-1</f>
        <v>0.42578203525823111</v>
      </c>
      <c r="EB17" s="390">
        <f>EB16/DV16-1</f>
        <v>8.2071340446589591E-2</v>
      </c>
      <c r="EC17" s="390">
        <f>EC16/DW16-1</f>
        <v>4.1672651302474328E-2</v>
      </c>
      <c r="ED17" s="390">
        <f>ED16/DX16-1</f>
        <v>0.13233527582138649</v>
      </c>
      <c r="EE17" s="386"/>
      <c r="EF17" s="390"/>
      <c r="EG17" s="390"/>
      <c r="EH17" s="390"/>
      <c r="EI17" s="390"/>
      <c r="EJ17" s="390"/>
      <c r="EK17" s="386"/>
      <c r="EL17" s="390"/>
      <c r="EM17" s="390"/>
      <c r="EN17" s="390"/>
      <c r="EO17" s="390"/>
      <c r="EP17" s="390"/>
      <c r="ER17" s="390"/>
      <c r="ES17" s="390"/>
      <c r="ET17" s="390"/>
      <c r="EU17" s="390"/>
      <c r="EV17" s="390"/>
      <c r="EX17" s="390"/>
      <c r="EY17" s="390"/>
      <c r="EZ17" s="390"/>
      <c r="FA17" s="390"/>
      <c r="FB17" s="390"/>
      <c r="FD17" s="567"/>
      <c r="FE17" s="390"/>
      <c r="FF17" s="390"/>
      <c r="FG17" s="390"/>
      <c r="FH17" s="390"/>
      <c r="FJ17" s="390"/>
      <c r="FK17" s="390"/>
      <c r="FL17" s="390"/>
      <c r="FM17" s="390"/>
      <c r="FN17" s="390"/>
    </row>
    <row r="18" spans="2:176" hidden="1" outlineLevel="1">
      <c r="C18" s="389"/>
      <c r="DH18" s="159"/>
      <c r="DI18" s="159"/>
      <c r="DJ18" s="159"/>
      <c r="DK18" s="159"/>
      <c r="DN18" s="159"/>
      <c r="DO18" s="159"/>
      <c r="DP18" s="159"/>
      <c r="DQ18" s="159"/>
      <c r="DT18" s="159"/>
      <c r="DU18" s="159"/>
      <c r="DV18" s="159"/>
      <c r="DW18" s="159"/>
      <c r="DZ18" s="159"/>
      <c r="EA18" s="159"/>
      <c r="EB18" s="159"/>
      <c r="EC18" s="159"/>
      <c r="EF18" s="159"/>
      <c r="EG18" s="159"/>
      <c r="EH18" s="159"/>
      <c r="EI18" s="159"/>
      <c r="EL18" s="159"/>
      <c r="EM18" s="159"/>
      <c r="EN18" s="159"/>
      <c r="EO18" s="159"/>
      <c r="ER18" s="159"/>
      <c r="ES18" s="159"/>
      <c r="FD18" s="640"/>
    </row>
    <row r="19" spans="2:176" s="381" customFormat="1" collapsed="1">
      <c r="C19" s="373" t="s">
        <v>560</v>
      </c>
      <c r="D19" s="378"/>
      <c r="E19" s="378"/>
      <c r="F19" s="378"/>
      <c r="G19" s="378"/>
      <c r="H19" s="378"/>
      <c r="I19" s="378"/>
      <c r="J19" s="378"/>
      <c r="K19" s="378"/>
      <c r="L19" s="378"/>
      <c r="M19" s="378"/>
      <c r="N19" s="378"/>
      <c r="O19" s="378"/>
      <c r="P19" s="378"/>
      <c r="Q19" s="378"/>
      <c r="R19" s="378"/>
      <c r="S19" s="378"/>
      <c r="T19" s="378"/>
      <c r="U19" s="378"/>
      <c r="V19" s="378"/>
      <c r="W19" s="378"/>
      <c r="X19" s="378"/>
      <c r="Y19" s="378"/>
      <c r="Z19" s="378"/>
      <c r="AA19" s="378"/>
      <c r="AB19" s="378"/>
      <c r="AC19" s="378"/>
      <c r="AD19" s="378"/>
      <c r="AE19" s="378"/>
      <c r="AF19" s="378"/>
      <c r="AG19" s="378"/>
      <c r="AH19" s="378"/>
      <c r="AI19" s="378"/>
      <c r="AJ19" s="378"/>
      <c r="AK19" s="378"/>
      <c r="AL19" s="378"/>
      <c r="AM19" s="378"/>
      <c r="AN19" s="378"/>
      <c r="AO19" s="378"/>
      <c r="AP19" s="378"/>
      <c r="AQ19" s="378"/>
      <c r="AR19" s="378"/>
      <c r="AS19" s="378"/>
      <c r="AT19" s="378"/>
      <c r="AU19" s="378"/>
      <c r="AV19" s="378"/>
      <c r="AW19" s="378"/>
      <c r="AX19" s="378"/>
      <c r="AY19" s="378"/>
      <c r="AZ19" s="383"/>
      <c r="BA19" s="383"/>
      <c r="BB19" s="383"/>
      <c r="BC19" s="383"/>
      <c r="BD19" s="378"/>
      <c r="BE19" s="378"/>
      <c r="BF19" s="383"/>
      <c r="BG19" s="383"/>
      <c r="BH19" s="383"/>
      <c r="BI19" s="383"/>
      <c r="BJ19" s="383"/>
      <c r="BK19" s="378"/>
      <c r="BL19" s="378"/>
      <c r="BM19" s="378"/>
      <c r="BN19" s="378"/>
      <c r="BO19" s="378"/>
      <c r="BP19" s="378"/>
      <c r="BQ19" s="378"/>
      <c r="BR19" s="378"/>
      <c r="BS19" s="378"/>
      <c r="BT19" s="378"/>
      <c r="BU19" s="378"/>
      <c r="BV19" s="378"/>
      <c r="BW19" s="378"/>
      <c r="BX19" s="378"/>
      <c r="BY19" s="378"/>
      <c r="BZ19" s="378"/>
      <c r="CA19" s="379"/>
      <c r="CB19" s="378"/>
      <c r="CC19" s="384"/>
      <c r="CD19" s="378"/>
      <c r="CE19" s="378"/>
      <c r="CF19" s="378"/>
      <c r="CG19" s="378"/>
      <c r="CH19" s="378"/>
      <c r="CI19" s="378"/>
      <c r="CJ19" s="378"/>
      <c r="CK19" s="378"/>
      <c r="CL19" s="378"/>
      <c r="CM19" s="378"/>
      <c r="CN19" s="378"/>
      <c r="CO19" s="378"/>
      <c r="CP19" s="378"/>
      <c r="CQ19" s="378"/>
      <c r="CR19" s="378"/>
      <c r="CS19" s="378"/>
      <c r="CT19" s="378"/>
      <c r="CU19" s="378"/>
      <c r="CV19" s="379"/>
      <c r="CW19" s="379"/>
      <c r="CX19" s="379"/>
      <c r="CY19" s="379"/>
      <c r="CZ19" s="378"/>
      <c r="DA19" s="378"/>
      <c r="DB19" s="673">
        <v>155567</v>
      </c>
      <c r="DC19" s="673">
        <v>163620</v>
      </c>
      <c r="DD19" s="673">
        <v>163289</v>
      </c>
      <c r="DE19" s="673">
        <v>174918</v>
      </c>
      <c r="DF19" s="73">
        <f>SUM(DB19:DE19)</f>
        <v>657394</v>
      </c>
      <c r="DG19" s="378"/>
      <c r="DH19" s="673">
        <v>178794</v>
      </c>
      <c r="DI19" s="673">
        <v>187189</v>
      </c>
      <c r="DJ19" s="673">
        <v>185738</v>
      </c>
      <c r="DK19" s="673">
        <v>198181</v>
      </c>
      <c r="DL19" s="73">
        <f>SUM(DH19:DK19)</f>
        <v>749902</v>
      </c>
      <c r="DM19" s="378"/>
      <c r="DN19" s="673">
        <v>234317</v>
      </c>
      <c r="DO19" s="673">
        <v>250330</v>
      </c>
      <c r="DP19" s="673">
        <v>250518</v>
      </c>
      <c r="DQ19" s="673">
        <v>252374</v>
      </c>
      <c r="DR19" s="73">
        <f>SUM(DN19:DQ19)</f>
        <v>987539</v>
      </c>
      <c r="DS19" s="378"/>
      <c r="DT19" s="673">
        <v>250376</v>
      </c>
      <c r="DU19" s="673">
        <v>204844</v>
      </c>
      <c r="DV19" s="673">
        <v>255458</v>
      </c>
      <c r="DW19" s="673">
        <v>265391</v>
      </c>
      <c r="DX19" s="73">
        <f>SUM(DT19:DW19)</f>
        <v>976069</v>
      </c>
      <c r="DZ19" s="673">
        <v>260941</v>
      </c>
      <c r="EA19" s="673">
        <v>281335</v>
      </c>
      <c r="EB19" s="673">
        <v>272732</v>
      </c>
      <c r="EC19" s="673">
        <v>271760</v>
      </c>
      <c r="ED19" s="73">
        <f>SUM(DZ19:EC19)</f>
        <v>1086768</v>
      </c>
      <c r="EE19" s="386"/>
      <c r="EF19" s="673">
        <v>266035</v>
      </c>
      <c r="EG19" s="673">
        <v>272982</v>
      </c>
      <c r="EH19" s="673">
        <v>270899</v>
      </c>
      <c r="EI19" s="673">
        <v>278089</v>
      </c>
      <c r="EJ19" s="73">
        <f>SUM(EF19:EI19)</f>
        <v>1088005</v>
      </c>
      <c r="EK19" s="386"/>
      <c r="EL19" s="673">
        <v>285476</v>
      </c>
      <c r="EM19" s="673">
        <v>295116</v>
      </c>
      <c r="EN19" s="673">
        <v>289637</v>
      </c>
      <c r="EO19" s="673">
        <v>294850</v>
      </c>
      <c r="EP19" s="73">
        <f>SUM(EL19:EO19)</f>
        <v>1165079</v>
      </c>
      <c r="ER19" s="673">
        <v>300827</v>
      </c>
      <c r="ES19" s="673">
        <v>311670</v>
      </c>
      <c r="ET19" s="681">
        <v>314564</v>
      </c>
      <c r="EU19" s="681">
        <v>321679</v>
      </c>
      <c r="EV19" s="563">
        <f>SUM(ER19:EU19)</f>
        <v>1248740</v>
      </c>
      <c r="EX19" s="681">
        <v>326163</v>
      </c>
      <c r="EY19" s="681">
        <v>343005</v>
      </c>
      <c r="EZ19" s="681">
        <v>347215</v>
      </c>
      <c r="FA19" s="681">
        <v>342586</v>
      </c>
      <c r="FB19" s="563">
        <f>SUM(EX19:FA19)</f>
        <v>1358969</v>
      </c>
      <c r="FD19" s="568">
        <f>EX19*(1+FD20)</f>
        <v>335947.89</v>
      </c>
      <c r="FE19" s="562">
        <f>EY19*(1+FE20)</f>
        <v>343005</v>
      </c>
      <c r="FF19" s="562">
        <f>EZ19*(1+FF20)</f>
        <v>354159.3</v>
      </c>
      <c r="FG19" s="562">
        <f>FA19*(1+FG20)</f>
        <v>359715.3</v>
      </c>
      <c r="FH19" s="563">
        <f>SUM(FD19:FG19)</f>
        <v>1392827.49</v>
      </c>
      <c r="FJ19" s="562">
        <f>FD19*(1+FJ20)</f>
        <v>346026.32670000003</v>
      </c>
      <c r="FK19" s="562">
        <f>FE19*(1+FK20)</f>
        <v>353295.15</v>
      </c>
      <c r="FL19" s="562">
        <f>FF19*(1+FL20)</f>
        <v>364784.07899999997</v>
      </c>
      <c r="FM19" s="562">
        <f>FG19*(1+FM20)</f>
        <v>370506.75900000002</v>
      </c>
      <c r="FN19" s="563">
        <f>SUM(FJ19:FM19)</f>
        <v>1434612.3147</v>
      </c>
      <c r="FP19" s="562">
        <f>FJ19*(1+FP20)</f>
        <v>356407.11650100007</v>
      </c>
      <c r="FQ19" s="562">
        <f>FK19*(1+FQ20)</f>
        <v>363894.00450000004</v>
      </c>
      <c r="FR19" s="562">
        <f>FL19*(1+FR20)</f>
        <v>375727.60136999999</v>
      </c>
      <c r="FS19" s="562">
        <f>FM19*(1+FS20)</f>
        <v>381621.96177000005</v>
      </c>
      <c r="FT19" s="563">
        <f>SUM(FP19:FS19)</f>
        <v>1477650.6841410003</v>
      </c>
    </row>
    <row r="20" spans="2:176" s="381" customFormat="1">
      <c r="B20" s="560"/>
      <c r="C20" s="389" t="s">
        <v>125</v>
      </c>
      <c r="D20" s="378"/>
      <c r="E20" s="378"/>
      <c r="F20" s="378"/>
      <c r="G20" s="378"/>
      <c r="H20" s="378"/>
      <c r="I20" s="378"/>
      <c r="J20" s="378"/>
      <c r="K20" s="378"/>
      <c r="L20" s="378"/>
      <c r="M20" s="378"/>
      <c r="N20" s="378"/>
      <c r="O20" s="378"/>
      <c r="P20" s="378"/>
      <c r="Q20" s="378"/>
      <c r="R20" s="378"/>
      <c r="S20" s="378"/>
      <c r="T20" s="378"/>
      <c r="U20" s="378"/>
      <c r="V20" s="378"/>
      <c r="W20" s="378"/>
      <c r="X20" s="378"/>
      <c r="Y20" s="378"/>
      <c r="Z20" s="378"/>
      <c r="AA20" s="378"/>
      <c r="AB20" s="378"/>
      <c r="AC20" s="378"/>
      <c r="AD20" s="378"/>
      <c r="AE20" s="378"/>
      <c r="AF20" s="378"/>
      <c r="AG20" s="378"/>
      <c r="AH20" s="378"/>
      <c r="AI20" s="378"/>
      <c r="AJ20" s="378"/>
      <c r="AK20" s="378"/>
      <c r="AL20" s="378"/>
      <c r="AM20" s="378"/>
      <c r="AN20" s="378"/>
      <c r="AO20" s="378"/>
      <c r="AP20" s="378"/>
      <c r="AQ20" s="378"/>
      <c r="AR20" s="378"/>
      <c r="AS20" s="378"/>
      <c r="AT20" s="378"/>
      <c r="AU20" s="378"/>
      <c r="AV20" s="378"/>
      <c r="AW20" s="378"/>
      <c r="AX20" s="378"/>
      <c r="AY20" s="378"/>
      <c r="AZ20" s="383"/>
      <c r="BA20" s="383"/>
      <c r="BB20" s="383"/>
      <c r="BC20" s="383"/>
      <c r="BD20" s="378"/>
      <c r="BE20" s="378"/>
      <c r="BF20" s="383"/>
      <c r="BG20" s="383"/>
      <c r="BH20" s="383"/>
      <c r="BI20" s="383"/>
      <c r="BJ20" s="383"/>
      <c r="BK20" s="378"/>
      <c r="BL20" s="378"/>
      <c r="BM20" s="378"/>
      <c r="BN20" s="378"/>
      <c r="BO20" s="378"/>
      <c r="BP20" s="378"/>
      <c r="BQ20" s="378"/>
      <c r="BR20" s="378"/>
      <c r="BS20" s="378"/>
      <c r="BT20" s="378"/>
      <c r="BU20" s="378"/>
      <c r="BV20" s="378"/>
      <c r="BW20" s="378"/>
      <c r="BX20" s="378"/>
      <c r="BY20" s="378"/>
      <c r="BZ20" s="378"/>
      <c r="CA20" s="379"/>
      <c r="CB20" s="378"/>
      <c r="CC20" s="384"/>
      <c r="CD20" s="378"/>
      <c r="CE20" s="378"/>
      <c r="CF20" s="378"/>
      <c r="CG20" s="378"/>
      <c r="CH20" s="378"/>
      <c r="CI20" s="378"/>
      <c r="CJ20" s="378"/>
      <c r="CK20" s="378"/>
      <c r="CL20" s="378"/>
      <c r="CM20" s="378"/>
      <c r="CN20" s="378"/>
      <c r="CO20" s="378"/>
      <c r="CP20" s="378"/>
      <c r="CQ20" s="378"/>
      <c r="CR20" s="378"/>
      <c r="CS20" s="378"/>
      <c r="CT20" s="378"/>
      <c r="CU20" s="378"/>
      <c r="CV20" s="379"/>
      <c r="CW20" s="379"/>
      <c r="CX20" s="379"/>
      <c r="CY20" s="379"/>
      <c r="CZ20" s="378"/>
      <c r="DA20" s="378"/>
      <c r="DB20" s="379"/>
      <c r="DC20" s="379"/>
      <c r="DD20" s="379"/>
      <c r="DE20" s="379"/>
      <c r="DF20" s="378"/>
      <c r="DG20" s="378"/>
      <c r="DH20" s="898">
        <f>DH19/DB19-1</f>
        <v>0.14930544395662326</v>
      </c>
      <c r="DI20" s="898">
        <f>DI19/DC19-1</f>
        <v>0.14404718249602744</v>
      </c>
      <c r="DJ20" s="898">
        <f>DJ19/DD19-1</f>
        <v>0.13748017318986583</v>
      </c>
      <c r="DK20" s="898">
        <f>DK19/DE19-1</f>
        <v>0.13299374564081456</v>
      </c>
      <c r="DL20" s="898">
        <f>DL19/DF19-1</f>
        <v>0.14071926424640324</v>
      </c>
      <c r="DM20" s="899"/>
      <c r="DN20" s="898">
        <f>DN19/DH19-1</f>
        <v>0.31054174077429897</v>
      </c>
      <c r="DO20" s="898">
        <f>DO19/DI19-1</f>
        <v>0.33731148732030203</v>
      </c>
      <c r="DP20" s="898">
        <f>DP19/DJ19-1</f>
        <v>0.34877084926078661</v>
      </c>
      <c r="DQ20" s="898">
        <f>DQ19/DK19-1</f>
        <v>0.27345204636165921</v>
      </c>
      <c r="DR20" s="898">
        <f>DR19/DL19-1</f>
        <v>0.31689074039007759</v>
      </c>
      <c r="DS20" s="899"/>
      <c r="DT20" s="898">
        <f>DT19/DN19-1</f>
        <v>6.8535360217141683E-2</v>
      </c>
      <c r="DU20" s="898">
        <f>DU19/DO19-1</f>
        <v>-0.18170415052131184</v>
      </c>
      <c r="DV20" s="898">
        <f>DV19/DP19-1</f>
        <v>1.9719141937904583E-2</v>
      </c>
      <c r="DW20" s="898">
        <f>DW19/DQ19-1</f>
        <v>5.1578213286630259E-2</v>
      </c>
      <c r="DX20" s="898">
        <f>DX19/DR19-1</f>
        <v>-1.1614731165047631E-2</v>
      </c>
      <c r="DY20" s="732"/>
      <c r="DZ20" s="898">
        <f>DZ19/DT19-1</f>
        <v>4.2196536409240482E-2</v>
      </c>
      <c r="EA20" s="898">
        <f>EA19/DU19-1</f>
        <v>0.37341098592099353</v>
      </c>
      <c r="EB20" s="898">
        <f>EB19/DV19-1</f>
        <v>6.7619726138934855E-2</v>
      </c>
      <c r="EC20" s="898">
        <f>EC19/DW19-1</f>
        <v>2.3998553078288243E-2</v>
      </c>
      <c r="ED20" s="898">
        <f>ED19/DX19-1</f>
        <v>0.11341308862385757</v>
      </c>
      <c r="EE20" s="732"/>
      <c r="EF20" s="898">
        <f>EF19/DZ19-1</f>
        <v>1.9521654320325377E-2</v>
      </c>
      <c r="EG20" s="898">
        <f>EG19/EA19-1</f>
        <v>-2.9690582401763033E-2</v>
      </c>
      <c r="EH20" s="898">
        <f>EH19/EB19-1</f>
        <v>-6.720883504685915E-3</v>
      </c>
      <c r="EI20" s="898">
        <f>EI19/EC19-1</f>
        <v>2.3288931410067715E-2</v>
      </c>
      <c r="EJ20" s="898">
        <f>EJ19/ED19-1</f>
        <v>1.1382374158974695E-3</v>
      </c>
      <c r="EK20" s="732"/>
      <c r="EL20" s="898">
        <f>EL19/EF19-1</f>
        <v>7.3076850790309456E-2</v>
      </c>
      <c r="EM20" s="898">
        <f>EM19/EG19-1</f>
        <v>8.1082269160603904E-2</v>
      </c>
      <c r="EN20" s="898">
        <f>EN19/EH19-1</f>
        <v>6.9169690548876117E-2</v>
      </c>
      <c r="EO20" s="898">
        <f>EO19/EI19-1</f>
        <v>6.0272071171459496E-2</v>
      </c>
      <c r="EP20" s="898">
        <f>EP19/EJ19-1</f>
        <v>7.0839747979099421E-2</v>
      </c>
      <c r="EQ20" s="732"/>
      <c r="ER20" s="898">
        <f>ER19/EL19-1</f>
        <v>5.3773346971374147E-2</v>
      </c>
      <c r="ES20" s="898">
        <f>ES19/EM19-1</f>
        <v>5.6093197251250393E-2</v>
      </c>
      <c r="ET20" s="898">
        <f>ET19/EN19-1</f>
        <v>8.6062899422380434E-2</v>
      </c>
      <c r="EU20" s="898">
        <f>EU19/EO19-1</f>
        <v>9.099202984568433E-2</v>
      </c>
      <c r="EV20" s="898">
        <f>EV19/EP19-1</f>
        <v>7.1807147841476793E-2</v>
      </c>
      <c r="EW20" s="732"/>
      <c r="EX20" s="898">
        <f>EX19/ER19-1</f>
        <v>8.422116365884702E-2</v>
      </c>
      <c r="EY20" s="898">
        <f>EY19/ES19-1</f>
        <v>0.10053903166811051</v>
      </c>
      <c r="EZ20" s="898">
        <f>EZ19/ET19-1</f>
        <v>0.10379763736473335</v>
      </c>
      <c r="FA20" s="898">
        <f>FA19/EU19-1</f>
        <v>6.4993362948778222E-2</v>
      </c>
      <c r="FB20" s="898">
        <f>FB19/EV19-1</f>
        <v>8.8272178355782716E-2</v>
      </c>
      <c r="FD20" s="900">
        <v>0.03</v>
      </c>
      <c r="FE20" s="897">
        <v>0</v>
      </c>
      <c r="FF20" s="897">
        <v>0.02</v>
      </c>
      <c r="FG20" s="897">
        <v>0.05</v>
      </c>
      <c r="FH20" s="898">
        <f>FH19/FB19-1</f>
        <v>2.4914836173599353E-2</v>
      </c>
      <c r="FJ20" s="897">
        <v>0.03</v>
      </c>
      <c r="FK20" s="897">
        <v>0.03</v>
      </c>
      <c r="FL20" s="897">
        <v>0.03</v>
      </c>
      <c r="FM20" s="897">
        <v>0.03</v>
      </c>
      <c r="FN20" s="898">
        <f>FN19/FH19-1</f>
        <v>3.0000000000000027E-2</v>
      </c>
      <c r="FP20" s="897">
        <v>0.03</v>
      </c>
      <c r="FQ20" s="897">
        <v>0.03</v>
      </c>
      <c r="FR20" s="897">
        <v>0.03</v>
      </c>
      <c r="FS20" s="897">
        <v>0.03</v>
      </c>
      <c r="FT20" s="898">
        <f>FT19/FN19-1</f>
        <v>3.0000000000000249E-2</v>
      </c>
    </row>
    <row r="21" spans="2:176">
      <c r="C21" s="389"/>
      <c r="DH21" s="159"/>
      <c r="DI21" s="159"/>
      <c r="DJ21" s="159"/>
      <c r="DK21" s="159"/>
      <c r="DN21" s="159"/>
      <c r="DO21" s="159"/>
      <c r="DP21" s="159"/>
      <c r="DQ21" s="159"/>
      <c r="DT21" s="159"/>
      <c r="DU21" s="159"/>
      <c r="DV21" s="159"/>
      <c r="DW21" s="159"/>
      <c r="DZ21" s="159"/>
      <c r="EA21" s="159"/>
      <c r="EB21" s="159"/>
      <c r="EC21" s="159"/>
      <c r="EF21" s="159"/>
      <c r="EG21" s="159"/>
      <c r="EH21" s="159"/>
      <c r="EI21" s="159"/>
      <c r="EL21" s="159"/>
      <c r="EM21" s="159"/>
      <c r="EN21" s="159"/>
      <c r="EO21" s="159"/>
      <c r="ER21" s="159"/>
      <c r="ES21" s="159"/>
      <c r="ET21" s="150"/>
      <c r="EU21" s="150"/>
      <c r="EX21" s="150"/>
      <c r="EY21" s="150"/>
      <c r="FD21" s="640"/>
    </row>
    <row r="22" spans="2:176" hidden="1" outlineLevel="1">
      <c r="C22" s="31" t="s">
        <v>634</v>
      </c>
      <c r="DB22" s="674">
        <f>DB19/DB16</f>
        <v>1.6457240182802979</v>
      </c>
      <c r="DC22" s="674">
        <f>DC19/DC16</f>
        <v>1.6486140639011759</v>
      </c>
      <c r="DD22" s="674">
        <f>DD19/DD16</f>
        <v>1.6656873846028297</v>
      </c>
      <c r="DE22" s="674">
        <f>DE19/DE16</f>
        <v>1.702961621590046</v>
      </c>
      <c r="DF22" s="674">
        <f>DF19/DF16</f>
        <v>1.6663134948798539</v>
      </c>
      <c r="DH22" s="674">
        <f>DH19/DH16</f>
        <v>1.6990943561185605</v>
      </c>
      <c r="DI22" s="674">
        <f>DI19/DI16</f>
        <v>1.7019347917007619</v>
      </c>
      <c r="DJ22" s="674">
        <f>DJ19/DJ16</f>
        <v>1.7123917873638987</v>
      </c>
      <c r="DK22" s="674">
        <f>DK19/DK16</f>
        <v>1.7097097010740629</v>
      </c>
      <c r="DL22" s="674">
        <f>DL19/DL16</f>
        <v>1.7058851630015675</v>
      </c>
      <c r="DN22" s="674">
        <f>DN19/DN16</f>
        <v>1.7089584351364953</v>
      </c>
      <c r="DO22" s="674">
        <f>DO19/DO16</f>
        <v>1.7266162239710863</v>
      </c>
      <c r="DP22" s="674">
        <f>DP19/DP16</f>
        <v>1.7480601763983477</v>
      </c>
      <c r="DQ22" s="674">
        <f>DQ19/DQ16</f>
        <v>1.7323979434235546</v>
      </c>
      <c r="DR22" s="674">
        <f>DR19/DR16</f>
        <v>1.7292329513119764</v>
      </c>
      <c r="DT22" s="674">
        <f>DT19/DT16</f>
        <v>1.7348789833632439</v>
      </c>
      <c r="DU22" s="674">
        <f>DU19/DU16</f>
        <v>1.7903909520771242</v>
      </c>
      <c r="DV22" s="674">
        <f>DV19/DV16</f>
        <v>1.7317073170731707</v>
      </c>
      <c r="DW22" s="674">
        <f>DW19/DW16</f>
        <v>1.7326565254292616</v>
      </c>
      <c r="DX22" s="674">
        <f>DX19/DX16</f>
        <v>1.7447874584390977</v>
      </c>
      <c r="DZ22" s="674">
        <f>DZ19/DZ16</f>
        <v>1.7264282642495616</v>
      </c>
      <c r="EA22" s="674">
        <f>EA19/EA16</f>
        <v>1.7246272865479868</v>
      </c>
      <c r="EB22" s="674">
        <f>EB19/EB16</f>
        <v>1.7085794831636649</v>
      </c>
      <c r="EC22" s="674">
        <f>EC19/EC16</f>
        <v>1.7032584783739573</v>
      </c>
      <c r="ED22" s="674">
        <f>ED19/ED16</f>
        <v>1.7156307275543017</v>
      </c>
      <c r="EF22" s="683"/>
      <c r="EG22" s="674"/>
      <c r="EH22" s="674"/>
      <c r="EI22" s="674"/>
      <c r="EJ22" s="674"/>
      <c r="EL22" s="674"/>
      <c r="EM22" s="674"/>
      <c r="EN22" s="674"/>
      <c r="EO22" s="674"/>
      <c r="EP22" s="674"/>
      <c r="ER22" s="674"/>
      <c r="ES22" s="674"/>
      <c r="EV22" s="674"/>
      <c r="FB22" s="674"/>
      <c r="FD22" s="640"/>
      <c r="FH22" s="674"/>
      <c r="FN22" s="674"/>
      <c r="FT22" s="674"/>
    </row>
    <row r="23" spans="2:176" s="381" customFormat="1" hidden="1" outlineLevel="1">
      <c r="B23" s="378"/>
      <c r="C23" s="389" t="s">
        <v>125</v>
      </c>
      <c r="D23" s="378"/>
      <c r="E23" s="378"/>
      <c r="F23" s="378"/>
      <c r="G23" s="378"/>
      <c r="H23" s="378"/>
      <c r="I23" s="378"/>
      <c r="J23" s="378"/>
      <c r="K23" s="378"/>
      <c r="L23" s="378"/>
      <c r="M23" s="378"/>
      <c r="N23" s="378"/>
      <c r="O23" s="378"/>
      <c r="P23" s="378"/>
      <c r="Q23" s="378"/>
      <c r="R23" s="378"/>
      <c r="S23" s="378"/>
      <c r="T23" s="378"/>
      <c r="U23" s="378"/>
      <c r="V23" s="378"/>
      <c r="W23" s="378"/>
      <c r="X23" s="378"/>
      <c r="Y23" s="378"/>
      <c r="Z23" s="378"/>
      <c r="AA23" s="378"/>
      <c r="AB23" s="378"/>
      <c r="AC23" s="378"/>
      <c r="AD23" s="378"/>
      <c r="AE23" s="378"/>
      <c r="AF23" s="378"/>
      <c r="AG23" s="378"/>
      <c r="AH23" s="378"/>
      <c r="AI23" s="378"/>
      <c r="AJ23" s="378"/>
      <c r="AK23" s="378"/>
      <c r="AL23" s="378"/>
      <c r="AM23" s="378"/>
      <c r="AN23" s="378"/>
      <c r="AO23" s="378"/>
      <c r="AP23" s="378"/>
      <c r="AQ23" s="378"/>
      <c r="AR23" s="378"/>
      <c r="AS23" s="378"/>
      <c r="AT23" s="378"/>
      <c r="AU23" s="378"/>
      <c r="AV23" s="378"/>
      <c r="AW23" s="378"/>
      <c r="AX23" s="378"/>
      <c r="AY23" s="378"/>
      <c r="AZ23" s="383"/>
      <c r="BA23" s="383"/>
      <c r="BB23" s="383"/>
      <c r="BC23" s="383"/>
      <c r="BD23" s="378"/>
      <c r="BE23" s="378"/>
      <c r="BF23" s="383"/>
      <c r="BG23" s="383"/>
      <c r="BH23" s="383"/>
      <c r="BI23" s="383"/>
      <c r="BJ23" s="383"/>
      <c r="BK23" s="378"/>
      <c r="BL23" s="378"/>
      <c r="BM23" s="378"/>
      <c r="BN23" s="378"/>
      <c r="BO23" s="378"/>
      <c r="BP23" s="378"/>
      <c r="BQ23" s="378"/>
      <c r="BR23" s="378"/>
      <c r="BS23" s="378"/>
      <c r="BT23" s="378"/>
      <c r="BU23" s="378"/>
      <c r="BV23" s="378"/>
      <c r="BW23" s="378"/>
      <c r="BX23" s="378"/>
      <c r="BY23" s="378"/>
      <c r="BZ23" s="378"/>
      <c r="CA23" s="379"/>
      <c r="CB23" s="378"/>
      <c r="CC23" s="384"/>
      <c r="CD23" s="378"/>
      <c r="CE23" s="378"/>
      <c r="CF23" s="378"/>
      <c r="CG23" s="378"/>
      <c r="CH23" s="378"/>
      <c r="CI23" s="378"/>
      <c r="CJ23" s="378"/>
      <c r="CK23" s="378"/>
      <c r="CL23" s="378"/>
      <c r="CM23" s="378"/>
      <c r="CN23" s="378"/>
      <c r="CO23" s="378"/>
      <c r="CP23" s="378"/>
      <c r="CQ23" s="378"/>
      <c r="CR23" s="378"/>
      <c r="CS23" s="378"/>
      <c r="CT23" s="378"/>
      <c r="CU23" s="378"/>
      <c r="CV23" s="379"/>
      <c r="CW23" s="379"/>
      <c r="CX23" s="379"/>
      <c r="CY23" s="379"/>
      <c r="CZ23" s="378"/>
      <c r="DA23" s="378"/>
      <c r="DB23" s="379"/>
      <c r="DC23" s="379"/>
      <c r="DD23" s="379"/>
      <c r="DE23" s="379"/>
      <c r="DF23" s="378"/>
      <c r="DG23" s="378"/>
      <c r="DH23" s="390">
        <f>DH22/DB22-1</f>
        <v>3.2429700998124922E-2</v>
      </c>
      <c r="DI23" s="390">
        <f>DI22/DC22-1</f>
        <v>3.2342759271027477E-2</v>
      </c>
      <c r="DJ23" s="390">
        <f>DJ22/DD22-1</f>
        <v>2.8039116579012369E-2</v>
      </c>
      <c r="DK23" s="390">
        <f>DK22/DE22-1</f>
        <v>3.9625552322877233E-3</v>
      </c>
      <c r="DL23" s="390">
        <f>DL22/DF22-1</f>
        <v>2.374803315420948E-2</v>
      </c>
      <c r="DM23" s="378"/>
      <c r="DN23" s="390">
        <f>DN22/DH22-1</f>
        <v>5.8054921920100977E-3</v>
      </c>
      <c r="DO23" s="390">
        <f>DO22/DI22-1</f>
        <v>1.4501984676898116E-2</v>
      </c>
      <c r="DP23" s="390">
        <f>DP22/DJ22-1</f>
        <v>2.0829572588267231E-2</v>
      </c>
      <c r="DQ23" s="390">
        <f>DQ22/DK22-1</f>
        <v>1.3270230808913652E-2</v>
      </c>
      <c r="DR23" s="390">
        <f>DR22/DL22-1</f>
        <v>1.3686611981153396E-2</v>
      </c>
      <c r="DS23" s="378"/>
      <c r="DT23" s="390">
        <f>DT22/DN22-1</f>
        <v>1.5167453867699354E-2</v>
      </c>
      <c r="DU23" s="390">
        <f>DU22/DO22-1</f>
        <v>3.6936249770294083E-2</v>
      </c>
      <c r="DV23" s="390">
        <f>DV22/DP22-1</f>
        <v>-9.3548606312111593E-3</v>
      </c>
      <c r="DW23" s="390">
        <f>DW22/DQ22-1</f>
        <v>1.4926247556967809E-4</v>
      </c>
      <c r="DX23" s="390">
        <f>DX22/DR22-1</f>
        <v>8.9950328064938301E-3</v>
      </c>
      <c r="DZ23" s="390">
        <f>DZ22/DT22-1</f>
        <v>-4.8710712359312236E-3</v>
      </c>
      <c r="EA23" s="390">
        <f>EA22/DU22-1</f>
        <v>-3.6731455469455776E-2</v>
      </c>
      <c r="EB23" s="390">
        <f>EB22/DV22-1</f>
        <v>-1.3355509722390635E-2</v>
      </c>
      <c r="EC23" s="390">
        <f>EC22/DW22-1</f>
        <v>-1.6967036815344061E-2</v>
      </c>
      <c r="ED23" s="390">
        <f>ED22/DX22-1</f>
        <v>-1.6710763677129981E-2</v>
      </c>
      <c r="EE23" s="386"/>
      <c r="EF23" s="390"/>
      <c r="EG23" s="390"/>
      <c r="EH23" s="390"/>
      <c r="EI23" s="390"/>
      <c r="EJ23" s="390"/>
      <c r="EK23" s="386"/>
      <c r="EL23" s="390"/>
      <c r="EM23" s="390"/>
      <c r="EN23" s="390"/>
      <c r="EO23" s="390"/>
      <c r="EP23" s="390"/>
      <c r="ER23" s="390"/>
      <c r="ES23" s="390"/>
      <c r="ET23" s="561"/>
      <c r="EU23" s="561"/>
      <c r="EV23" s="390"/>
      <c r="EX23" s="561"/>
      <c r="EY23" s="561"/>
      <c r="EZ23" s="561"/>
      <c r="FA23" s="561"/>
      <c r="FB23" s="390"/>
      <c r="FD23" s="566"/>
      <c r="FE23" s="561"/>
      <c r="FF23" s="561"/>
      <c r="FG23" s="561"/>
      <c r="FH23" s="390"/>
      <c r="FJ23" s="561"/>
      <c r="FK23" s="561"/>
      <c r="FL23" s="561"/>
      <c r="FM23" s="561"/>
      <c r="FN23" s="390"/>
      <c r="FP23" s="561"/>
      <c r="FQ23" s="561"/>
      <c r="FR23" s="561"/>
      <c r="FS23" s="561"/>
      <c r="FT23" s="390"/>
    </row>
    <row r="24" spans="2:176" s="381" customFormat="1" hidden="1" outlineLevel="1">
      <c r="B24" s="378"/>
      <c r="C24" s="389"/>
      <c r="D24" s="378"/>
      <c r="E24" s="378"/>
      <c r="F24" s="378"/>
      <c r="G24" s="378"/>
      <c r="H24" s="378"/>
      <c r="I24" s="378"/>
      <c r="J24" s="378"/>
      <c r="K24" s="378"/>
      <c r="L24" s="378"/>
      <c r="M24" s="378"/>
      <c r="N24" s="378"/>
      <c r="O24" s="378"/>
      <c r="P24" s="378"/>
      <c r="Q24" s="378"/>
      <c r="R24" s="378"/>
      <c r="S24" s="378"/>
      <c r="T24" s="378"/>
      <c r="U24" s="378"/>
      <c r="V24" s="378"/>
      <c r="W24" s="378"/>
      <c r="X24" s="378"/>
      <c r="Y24" s="378"/>
      <c r="Z24" s="378"/>
      <c r="AA24" s="378"/>
      <c r="AB24" s="378"/>
      <c r="AC24" s="378"/>
      <c r="AD24" s="378"/>
      <c r="AE24" s="378"/>
      <c r="AF24" s="378"/>
      <c r="AG24" s="378"/>
      <c r="AH24" s="378"/>
      <c r="AI24" s="378"/>
      <c r="AJ24" s="378"/>
      <c r="AK24" s="378"/>
      <c r="AL24" s="378"/>
      <c r="AM24" s="378"/>
      <c r="AN24" s="378"/>
      <c r="AO24" s="378"/>
      <c r="AP24" s="378"/>
      <c r="AQ24" s="378"/>
      <c r="AR24" s="378"/>
      <c r="AS24" s="378"/>
      <c r="AT24" s="378"/>
      <c r="AU24" s="378"/>
      <c r="AV24" s="378"/>
      <c r="AW24" s="378"/>
      <c r="AX24" s="378"/>
      <c r="AY24" s="378"/>
      <c r="AZ24" s="383"/>
      <c r="BA24" s="383"/>
      <c r="BB24" s="383"/>
      <c r="BC24" s="383"/>
      <c r="BD24" s="378"/>
      <c r="BE24" s="378"/>
      <c r="BF24" s="383"/>
      <c r="BG24" s="383"/>
      <c r="BH24" s="383"/>
      <c r="BI24" s="383"/>
      <c r="BJ24" s="383"/>
      <c r="BK24" s="378"/>
      <c r="BL24" s="378"/>
      <c r="BM24" s="378"/>
      <c r="BN24" s="378"/>
      <c r="BO24" s="378"/>
      <c r="BP24" s="378"/>
      <c r="BQ24" s="378"/>
      <c r="BR24" s="378"/>
      <c r="BS24" s="378"/>
      <c r="BT24" s="378"/>
      <c r="BU24" s="378"/>
      <c r="BV24" s="378"/>
      <c r="BW24" s="378"/>
      <c r="BX24" s="378"/>
      <c r="BY24" s="378"/>
      <c r="BZ24" s="378"/>
      <c r="CA24" s="379"/>
      <c r="CB24" s="378"/>
      <c r="CC24" s="384"/>
      <c r="CD24" s="378"/>
      <c r="CE24" s="378"/>
      <c r="CF24" s="378"/>
      <c r="CG24" s="378"/>
      <c r="CH24" s="378"/>
      <c r="CI24" s="378"/>
      <c r="CJ24" s="378"/>
      <c r="CK24" s="378"/>
      <c r="CL24" s="378"/>
      <c r="CM24" s="378"/>
      <c r="CN24" s="378"/>
      <c r="CO24" s="378"/>
      <c r="CP24" s="378"/>
      <c r="CQ24" s="378"/>
      <c r="CR24" s="378"/>
      <c r="CS24" s="378"/>
      <c r="CT24" s="378"/>
      <c r="CU24" s="378"/>
      <c r="CV24" s="379"/>
      <c r="CW24" s="379"/>
      <c r="CX24" s="379"/>
      <c r="CY24" s="379"/>
      <c r="CZ24" s="378"/>
      <c r="DA24" s="378"/>
      <c r="DB24" s="379"/>
      <c r="DC24" s="379"/>
      <c r="DD24" s="379"/>
      <c r="DE24" s="379"/>
      <c r="DF24" s="378"/>
      <c r="DG24" s="378"/>
      <c r="DH24" s="390"/>
      <c r="DI24" s="390"/>
      <c r="DJ24" s="390"/>
      <c r="DK24" s="390"/>
      <c r="DL24" s="390"/>
      <c r="DM24" s="378"/>
      <c r="DN24" s="390"/>
      <c r="DO24" s="390"/>
      <c r="DP24" s="390"/>
      <c r="DQ24" s="390"/>
      <c r="DR24" s="390"/>
      <c r="DS24" s="378"/>
      <c r="DT24" s="390"/>
      <c r="DU24" s="390"/>
      <c r="DV24" s="390"/>
      <c r="DW24" s="390"/>
      <c r="DX24" s="390"/>
      <c r="DZ24" s="390"/>
      <c r="EA24" s="390"/>
      <c r="EB24" s="390"/>
      <c r="EC24" s="390"/>
      <c r="ED24" s="390"/>
      <c r="EE24" s="386"/>
      <c r="EF24" s="390"/>
      <c r="EG24" s="390"/>
      <c r="EH24" s="390"/>
      <c r="EI24" s="390"/>
      <c r="EJ24" s="390"/>
      <c r="EK24" s="386"/>
      <c r="EL24" s="390"/>
      <c r="EM24" s="390"/>
      <c r="EN24" s="390"/>
      <c r="EO24" s="390"/>
      <c r="EP24" s="390"/>
      <c r="ER24" s="390"/>
      <c r="ES24" s="390"/>
      <c r="ET24" s="390"/>
      <c r="EU24" s="390"/>
      <c r="EV24" s="390"/>
      <c r="EX24" s="390"/>
      <c r="EY24" s="390"/>
      <c r="EZ24" s="390"/>
      <c r="FA24" s="390"/>
      <c r="FB24" s="390"/>
      <c r="FD24" s="567"/>
      <c r="FE24" s="390"/>
      <c r="FF24" s="390"/>
      <c r="FG24" s="390"/>
      <c r="FH24" s="390"/>
      <c r="FJ24" s="390"/>
      <c r="FK24" s="390"/>
      <c r="FL24" s="390"/>
      <c r="FM24" s="390"/>
      <c r="FN24" s="390"/>
      <c r="FP24" s="390"/>
      <c r="FQ24" s="390"/>
      <c r="FR24" s="390"/>
      <c r="FS24" s="390"/>
      <c r="FT24" s="390"/>
    </row>
    <row r="25" spans="2:176" s="381" customFormat="1" collapsed="1">
      <c r="C25" s="377" t="s">
        <v>559</v>
      </c>
      <c r="D25" s="378"/>
      <c r="E25" s="378"/>
      <c r="F25" s="378"/>
      <c r="G25" s="378"/>
      <c r="H25" s="378"/>
      <c r="I25" s="378"/>
      <c r="J25" s="378"/>
      <c r="K25" s="378"/>
      <c r="L25" s="378"/>
      <c r="M25" s="378"/>
      <c r="N25" s="378"/>
      <c r="O25" s="378"/>
      <c r="P25" s="378"/>
      <c r="Q25" s="378"/>
      <c r="R25" s="378"/>
      <c r="S25" s="378"/>
      <c r="T25" s="378"/>
      <c r="U25" s="378"/>
      <c r="V25" s="378"/>
      <c r="W25" s="378"/>
      <c r="X25" s="378"/>
      <c r="Y25" s="378"/>
      <c r="Z25" s="378"/>
      <c r="AA25" s="378"/>
      <c r="AB25" s="378"/>
      <c r="AC25" s="378"/>
      <c r="AD25" s="378"/>
      <c r="AE25" s="378"/>
      <c r="AF25" s="378"/>
      <c r="AG25" s="378"/>
      <c r="AH25" s="378"/>
      <c r="AI25" s="378"/>
      <c r="AJ25" s="378"/>
      <c r="AK25" s="378"/>
      <c r="AL25" s="378"/>
      <c r="AM25" s="378"/>
      <c r="AN25" s="378"/>
      <c r="AO25" s="378"/>
      <c r="AP25" s="378"/>
      <c r="AQ25" s="378"/>
      <c r="AR25" s="378"/>
      <c r="AS25" s="378"/>
      <c r="AT25" s="378"/>
      <c r="AU25" s="378"/>
      <c r="AV25" s="378"/>
      <c r="AW25" s="378"/>
      <c r="AX25" s="378"/>
      <c r="AY25" s="378"/>
      <c r="AZ25" s="677"/>
      <c r="BA25" s="677"/>
      <c r="BB25" s="677"/>
      <c r="BC25" s="677"/>
      <c r="BD25" s="378"/>
      <c r="BE25" s="378"/>
      <c r="BF25" s="677"/>
      <c r="BG25" s="677"/>
      <c r="BH25" s="677"/>
      <c r="BI25" s="677"/>
      <c r="BJ25" s="677"/>
      <c r="BK25" s="378"/>
      <c r="BL25" s="378"/>
      <c r="BM25" s="378"/>
      <c r="BN25" s="378"/>
      <c r="BO25" s="378"/>
      <c r="BP25" s="378"/>
      <c r="BQ25" s="378"/>
      <c r="BR25" s="378"/>
      <c r="BS25" s="378"/>
      <c r="BT25" s="378"/>
      <c r="BU25" s="378"/>
      <c r="BV25" s="378"/>
      <c r="BW25" s="378"/>
      <c r="BX25" s="378"/>
      <c r="BY25" s="378"/>
      <c r="BZ25" s="378"/>
      <c r="CA25" s="379"/>
      <c r="CB25" s="378"/>
      <c r="CC25" s="384"/>
      <c r="CD25" s="378"/>
      <c r="CE25" s="378"/>
      <c r="CF25" s="378"/>
      <c r="CG25" s="378"/>
      <c r="CH25" s="378"/>
      <c r="CI25" s="378"/>
      <c r="CJ25" s="378"/>
      <c r="CK25" s="378"/>
      <c r="CL25" s="378"/>
      <c r="CM25" s="378"/>
      <c r="CN25" s="378"/>
      <c r="CO25" s="378"/>
      <c r="CP25" s="378"/>
      <c r="CQ25" s="378"/>
      <c r="CR25" s="378"/>
      <c r="CS25" s="378"/>
      <c r="CT25" s="378"/>
      <c r="CU25" s="378"/>
      <c r="CV25" s="379"/>
      <c r="CW25" s="379"/>
      <c r="CX25" s="379"/>
      <c r="CY25" s="379"/>
      <c r="CZ25" s="378"/>
      <c r="DA25" s="378"/>
      <c r="DB25" s="354">
        <f>DB10/DB19*1000000</f>
        <v>329.94786812113114</v>
      </c>
      <c r="DC25" s="354">
        <f>DC10/DC19*1000000</f>
        <v>329.89854541009657</v>
      </c>
      <c r="DD25" s="354">
        <f>DD10/DD19*1000000</f>
        <v>310.73740423421049</v>
      </c>
      <c r="DE25" s="354">
        <f>DE10/DE19*1000000</f>
        <v>305.60605540882017</v>
      </c>
      <c r="DF25" s="354">
        <f>DF10/DF19*1000000</f>
        <v>318.68711914011993</v>
      </c>
      <c r="DG25" s="378"/>
      <c r="DH25" s="354">
        <f>DH10/DH19*1000000</f>
        <v>318.64044654742327</v>
      </c>
      <c r="DI25" s="354">
        <f>DI10/DI19*1000000</f>
        <v>318.07424581572633</v>
      </c>
      <c r="DJ25" s="354">
        <f>DJ10/DJ19*1000000</f>
        <v>320.06912963421593</v>
      </c>
      <c r="DK25" s="354">
        <f>DK10/DK19*1000000</f>
        <v>332.58990518768195</v>
      </c>
      <c r="DL25" s="354">
        <f>DL10/DL19*1000000</f>
        <v>322.53947849185624</v>
      </c>
      <c r="DM25" s="378"/>
      <c r="DN25" s="354">
        <f>DN10/DN19*1000000</f>
        <v>367.92038136370815</v>
      </c>
      <c r="DO25" s="354">
        <f>DO10/DO19*1000000</f>
        <v>355.45879439140339</v>
      </c>
      <c r="DP25" s="354">
        <f>DP10/DP19*1000000</f>
        <v>369.49440758747875</v>
      </c>
      <c r="DQ25" s="354">
        <f>DQ10/DQ19*1000000</f>
        <v>370.10547837732889</v>
      </c>
      <c r="DR25" s="354">
        <f>DR10/DR19*1000000</f>
        <v>365.71922729127664</v>
      </c>
      <c r="DS25" s="378"/>
      <c r="DT25" s="354">
        <f>DT10/DT19*1000000</f>
        <v>371.36946033166117</v>
      </c>
      <c r="DU25" s="354">
        <f>DU10/DU19*1000000</f>
        <v>360.68422799789107</v>
      </c>
      <c r="DV25" s="354">
        <f>DV10/DV19*1000000</f>
        <v>425.63943975134856</v>
      </c>
      <c r="DW25" s="354">
        <f>DW10/DW19*1000000</f>
        <v>402.19148350923729</v>
      </c>
      <c r="DX25" s="354">
        <f>DX10/DX19*1000000</f>
        <v>391.71103682219189</v>
      </c>
      <c r="DZ25" s="354">
        <f>DZ10/DZ19*1000000</f>
        <v>369.76557919223114</v>
      </c>
      <c r="EA25" s="354">
        <f>EA10/EA19*1000000</f>
        <v>360.44217747525192</v>
      </c>
      <c r="EB25" s="354">
        <f>EB10/EB19*1000000</f>
        <v>374.82583635216992</v>
      </c>
      <c r="EC25" s="354">
        <f>EC10/EC19*1000000</f>
        <v>382.88563438327935</v>
      </c>
      <c r="ED25" s="354">
        <f>ED10/ED19*1000000</f>
        <v>371.90274281171332</v>
      </c>
      <c r="EE25" s="386"/>
      <c r="EF25" s="354">
        <f>EF10/EF19*1000000</f>
        <v>371.34587554269177</v>
      </c>
      <c r="EG25" s="354">
        <f>EG10/EG19*1000000</f>
        <v>386.9669062429025</v>
      </c>
      <c r="EH25" s="354">
        <f>EH10/EH19*1000000</f>
        <v>391.88775152363058</v>
      </c>
      <c r="EI25" s="354">
        <f>EI10/EI19*1000000</f>
        <v>388.96180719122293</v>
      </c>
      <c r="EJ25" s="354">
        <f>EJ10/EJ19*1000000</f>
        <v>384.88242241533811</v>
      </c>
      <c r="EK25" s="386"/>
      <c r="EL25" s="354">
        <f>EL10/EL19*1000000</f>
        <v>402.37708248679394</v>
      </c>
      <c r="EM25" s="354">
        <f>EM10/EM19*1000000</f>
        <v>417.31386980034966</v>
      </c>
      <c r="EN25" s="354">
        <f>EN10/EN19*1000000</f>
        <v>440.38917679716337</v>
      </c>
      <c r="EO25" s="354">
        <f>EO10/EO19*1000000</f>
        <v>441.09886382906558</v>
      </c>
      <c r="EP25" s="354">
        <f>EP10/EP19*1000000</f>
        <v>425.40977907935854</v>
      </c>
      <c r="ER25" s="354">
        <f>ER10/ER19*1000000</f>
        <v>447.21717133103078</v>
      </c>
      <c r="ES25" s="354">
        <f>ES10/ES19*1000000</f>
        <v>453.64648506433088</v>
      </c>
      <c r="ET25" s="354">
        <f>ET10/ET19*1000000</f>
        <v>463.444640836205</v>
      </c>
      <c r="EU25" s="633">
        <v>465</v>
      </c>
      <c r="EV25" s="354">
        <f>EV10/EV19*1000000</f>
        <v>457.49053846277047</v>
      </c>
      <c r="EX25" s="633">
        <v>459</v>
      </c>
      <c r="EY25" s="633">
        <v>465</v>
      </c>
      <c r="EZ25" s="633">
        <v>481</v>
      </c>
      <c r="FA25" s="633">
        <v>496</v>
      </c>
      <c r="FB25" s="354">
        <f>FB10/FB19*1000000</f>
        <v>475.46280525898675</v>
      </c>
      <c r="FD25" s="680">
        <f>EX25*(1+FD26)</f>
        <v>488.83499999999998</v>
      </c>
      <c r="FE25" s="678">
        <f>EY25*(1+FE26)</f>
        <v>511.50000000000006</v>
      </c>
      <c r="FF25" s="678">
        <f>EZ25*(1+FF26)</f>
        <v>519.48</v>
      </c>
      <c r="FG25" s="678">
        <f>FA25*(1+FG26)</f>
        <v>525.76</v>
      </c>
      <c r="FH25" s="354">
        <f>FH10/FH19*1000000</f>
        <v>511.74516493794232</v>
      </c>
      <c r="FJ25" s="678">
        <f>FD25*(1+FJ26)</f>
        <v>523.05345</v>
      </c>
      <c r="FK25" s="678">
        <f>FE25*(1+FK26)</f>
        <v>547.30500000000006</v>
      </c>
      <c r="FL25" s="678">
        <f>FF25*(1+FL26)</f>
        <v>555.84360000000004</v>
      </c>
      <c r="FM25" s="678">
        <f>FG25*(1+FM26)</f>
        <v>562.56320000000005</v>
      </c>
      <c r="FN25" s="354">
        <f>FN10/FN19*1000000</f>
        <v>547.56732648359809</v>
      </c>
      <c r="FP25" s="678">
        <f>FJ25*(1+FP26)</f>
        <v>559.66719150000006</v>
      </c>
      <c r="FQ25" s="678">
        <f>FK25*(1+FQ26)</f>
        <v>585.61635000000012</v>
      </c>
      <c r="FR25" s="678">
        <f>FL25*(1+FR26)</f>
        <v>594.75265200000013</v>
      </c>
      <c r="FS25" s="678">
        <f>FM25*(1+FS26)</f>
        <v>601.94262400000014</v>
      </c>
      <c r="FT25" s="354">
        <f>FT10/FT19*1000000</f>
        <v>585.89703933745</v>
      </c>
    </row>
    <row r="26" spans="2:176" s="381" customFormat="1">
      <c r="B26" s="560"/>
      <c r="C26" s="389" t="s">
        <v>125</v>
      </c>
      <c r="D26" s="378"/>
      <c r="E26" s="378"/>
      <c r="F26" s="378"/>
      <c r="G26" s="378"/>
      <c r="H26" s="378"/>
      <c r="I26" s="378"/>
      <c r="J26" s="378"/>
      <c r="K26" s="378"/>
      <c r="L26" s="378"/>
      <c r="M26" s="378"/>
      <c r="N26" s="378"/>
      <c r="O26" s="378"/>
      <c r="P26" s="378"/>
      <c r="Q26" s="378"/>
      <c r="R26" s="378"/>
      <c r="S26" s="378"/>
      <c r="T26" s="378"/>
      <c r="U26" s="378"/>
      <c r="V26" s="378"/>
      <c r="W26" s="378"/>
      <c r="X26" s="378"/>
      <c r="Y26" s="378"/>
      <c r="Z26" s="378"/>
      <c r="AA26" s="378"/>
      <c r="AB26" s="378"/>
      <c r="AC26" s="378"/>
      <c r="AD26" s="378"/>
      <c r="AE26" s="378"/>
      <c r="AF26" s="378"/>
      <c r="AG26" s="378"/>
      <c r="AH26" s="378"/>
      <c r="AI26" s="378"/>
      <c r="AJ26" s="378"/>
      <c r="AK26" s="378"/>
      <c r="AL26" s="378"/>
      <c r="AM26" s="378"/>
      <c r="AN26" s="378"/>
      <c r="AO26" s="378"/>
      <c r="AP26" s="378"/>
      <c r="AQ26" s="378"/>
      <c r="AR26" s="378"/>
      <c r="AS26" s="378"/>
      <c r="AT26" s="378"/>
      <c r="AU26" s="378"/>
      <c r="AV26" s="378"/>
      <c r="AW26" s="378"/>
      <c r="AX26" s="378"/>
      <c r="AY26" s="378"/>
      <c r="AZ26" s="383"/>
      <c r="BA26" s="383"/>
      <c r="BB26" s="383"/>
      <c r="BC26" s="383"/>
      <c r="BD26" s="378"/>
      <c r="BE26" s="378"/>
      <c r="BF26" s="383"/>
      <c r="BG26" s="383"/>
      <c r="BH26" s="383"/>
      <c r="BI26" s="383"/>
      <c r="BJ26" s="383"/>
      <c r="BK26" s="378"/>
      <c r="BL26" s="378"/>
      <c r="BM26" s="378"/>
      <c r="BN26" s="378"/>
      <c r="BO26" s="378"/>
      <c r="BP26" s="378"/>
      <c r="BQ26" s="378"/>
      <c r="BR26" s="378"/>
      <c r="BS26" s="378"/>
      <c r="BT26" s="378"/>
      <c r="BU26" s="378"/>
      <c r="BV26" s="378"/>
      <c r="BW26" s="378"/>
      <c r="BX26" s="378"/>
      <c r="BY26" s="378"/>
      <c r="BZ26" s="378"/>
      <c r="CA26" s="379"/>
      <c r="CB26" s="378"/>
      <c r="CC26" s="384"/>
      <c r="CD26" s="378"/>
      <c r="CE26" s="378"/>
      <c r="CF26" s="378"/>
      <c r="CG26" s="378"/>
      <c r="CH26" s="378"/>
      <c r="CI26" s="378"/>
      <c r="CJ26" s="378"/>
      <c r="CK26" s="378"/>
      <c r="CL26" s="378"/>
      <c r="CM26" s="378"/>
      <c r="CN26" s="378"/>
      <c r="CO26" s="378"/>
      <c r="CP26" s="378"/>
      <c r="CQ26" s="378"/>
      <c r="CR26" s="378"/>
      <c r="CS26" s="378"/>
      <c r="CT26" s="378"/>
      <c r="CU26" s="378"/>
      <c r="CV26" s="379"/>
      <c r="CW26" s="379"/>
      <c r="CX26" s="379"/>
      <c r="CY26" s="379"/>
      <c r="CZ26" s="378"/>
      <c r="DA26" s="378"/>
      <c r="DB26" s="379"/>
      <c r="DC26" s="379"/>
      <c r="DD26" s="379"/>
      <c r="DE26" s="379"/>
      <c r="DF26" s="378"/>
      <c r="DG26" s="378"/>
      <c r="DH26" s="898">
        <f>DH25/DB25-1</f>
        <v>-3.4270327728126659E-2</v>
      </c>
      <c r="DI26" s="898">
        <f>DI25/DC25-1</f>
        <v>-3.5842230161007405E-2</v>
      </c>
      <c r="DJ26" s="898">
        <f>DJ25/DD25-1</f>
        <v>3.0030904785997015E-2</v>
      </c>
      <c r="DK26" s="898">
        <f>DK25/DE25-1</f>
        <v>8.8296188185029711E-2</v>
      </c>
      <c r="DL26" s="898">
        <f>DL25/DF25-1</f>
        <v>1.2088217942823443E-2</v>
      </c>
      <c r="DM26" s="899"/>
      <c r="DN26" s="898">
        <f>DN25/DH25-1</f>
        <v>0.15465687219011137</v>
      </c>
      <c r="DO26" s="898">
        <f>DO25/DI25-1</f>
        <v>0.11753403196728951</v>
      </c>
      <c r="DP26" s="898">
        <f>DP25/DJ25-1</f>
        <v>0.15442063409785067</v>
      </c>
      <c r="DQ26" s="898">
        <f>DQ25/DK25-1</f>
        <v>0.11279829184375489</v>
      </c>
      <c r="DR26" s="898">
        <f>DR25/DL25-1</f>
        <v>0.13387430587201954</v>
      </c>
      <c r="DS26" s="899"/>
      <c r="DT26" s="898">
        <f>DT25/DN25-1</f>
        <v>9.3745254208774664E-3</v>
      </c>
      <c r="DU26" s="898">
        <f>DU25/DO25-1</f>
        <v>1.4700532632577978E-2</v>
      </c>
      <c r="DV26" s="898">
        <f>DV25/DP25-1</f>
        <v>0.15195096599825364</v>
      </c>
      <c r="DW26" s="898">
        <f>DW25/DQ25-1</f>
        <v>8.6694218287674651E-2</v>
      </c>
      <c r="DX26" s="898">
        <f>DX25/DR25-1</f>
        <v>7.1070393874079985E-2</v>
      </c>
      <c r="DY26" s="732"/>
      <c r="DZ26" s="898">
        <f>DZ25/DT25-1</f>
        <v>-4.3188288503789307E-3</v>
      </c>
      <c r="EA26" s="898">
        <f>EA25/DU25-1</f>
        <v>-6.7108707243102028E-4</v>
      </c>
      <c r="EB26" s="898">
        <f>EB25/DV25-1</f>
        <v>-0.11938180218652461</v>
      </c>
      <c r="EC26" s="898">
        <f>EC25/DW25-1</f>
        <v>-4.8001635831541711E-2</v>
      </c>
      <c r="ED26" s="898">
        <f>ED25/DX25-1</f>
        <v>-5.0568638992600223E-2</v>
      </c>
      <c r="EE26" s="732"/>
      <c r="EF26" s="898">
        <f>EF25/DZ25-1</f>
        <v>4.2737789545279625E-3</v>
      </c>
      <c r="EG26" s="898">
        <f>EG25/EA25-1</f>
        <v>7.3589414406064479E-2</v>
      </c>
      <c r="EH26" s="898">
        <f>EH25/EB25-1</f>
        <v>4.5519581407483356E-2</v>
      </c>
      <c r="EI26" s="898">
        <f>EI25/EC25-1</f>
        <v>1.5869419644668925E-2</v>
      </c>
      <c r="EJ26" s="898">
        <f>EJ25/ED25-1</f>
        <v>3.4900736427738943E-2</v>
      </c>
      <c r="EK26" s="732"/>
      <c r="EL26" s="898">
        <f>EL25/EF25-1</f>
        <v>8.3564162113696883E-2</v>
      </c>
      <c r="EM26" s="898">
        <f>EM25/EG25-1</f>
        <v>7.8422632705438922E-2</v>
      </c>
      <c r="EN26" s="898">
        <f>EN25/EH25-1</f>
        <v>0.1237635651662059</v>
      </c>
      <c r="EO26" s="898">
        <f>EO25/EI25-1</f>
        <v>0.13404158370801378</v>
      </c>
      <c r="EP26" s="898">
        <f>EP25/EJ25-1</f>
        <v>0.10529801909292225</v>
      </c>
      <c r="EQ26" s="732"/>
      <c r="ER26" s="898">
        <f>ER25/EL25-1</f>
        <v>0.11143797894033525</v>
      </c>
      <c r="ES26" s="898">
        <f>ES25/EM25-1</f>
        <v>8.7063042695809223E-2</v>
      </c>
      <c r="ET26" s="898">
        <f>ET25/EN25-1</f>
        <v>5.2352476522511404E-2</v>
      </c>
      <c r="EU26" s="898">
        <f>EU25/EO25-1</f>
        <v>5.4185440342001456E-2</v>
      </c>
      <c r="EV26" s="898">
        <f>EV25/EP25-1</f>
        <v>7.5411429076310377E-2</v>
      </c>
      <c r="EW26" s="732"/>
      <c r="EX26" s="898">
        <f>EX25/ER25-1</f>
        <v>2.634699520570849E-2</v>
      </c>
      <c r="EY26" s="898">
        <f>EY25/ES25-1</f>
        <v>2.5027230033666248E-2</v>
      </c>
      <c r="EZ26" s="898">
        <f>EZ25/ET25-1</f>
        <v>3.7880164353868429E-2</v>
      </c>
      <c r="FA26" s="898">
        <f>FA25/EU25-1</f>
        <v>6.6666666666666652E-2</v>
      </c>
      <c r="FB26" s="898">
        <f>FB25/EV25-1</f>
        <v>3.9284455710506094E-2</v>
      </c>
      <c r="FD26" s="900">
        <v>6.5000000000000002E-2</v>
      </c>
      <c r="FE26" s="897">
        <v>0.1</v>
      </c>
      <c r="FF26" s="897">
        <v>0.08</v>
      </c>
      <c r="FG26" s="897">
        <v>0.06</v>
      </c>
      <c r="FH26" s="898">
        <f>FH25/FB25-1</f>
        <v>7.6309564654994277E-2</v>
      </c>
      <c r="FJ26" s="897">
        <v>7.0000000000000007E-2</v>
      </c>
      <c r="FK26" s="897">
        <v>7.0000000000000007E-2</v>
      </c>
      <c r="FL26" s="897">
        <v>7.0000000000000007E-2</v>
      </c>
      <c r="FM26" s="897">
        <v>7.0000000000000007E-2</v>
      </c>
      <c r="FN26" s="898">
        <f>FN25/FH25-1</f>
        <v>6.9999999999999618E-2</v>
      </c>
      <c r="FP26" s="897">
        <v>7.0000000000000007E-2</v>
      </c>
      <c r="FQ26" s="897">
        <v>7.0000000000000007E-2</v>
      </c>
      <c r="FR26" s="897">
        <v>7.0000000000000007E-2</v>
      </c>
      <c r="FS26" s="897">
        <v>7.0000000000000007E-2</v>
      </c>
      <c r="FT26" s="898">
        <f>FT25/FN25-1</f>
        <v>7.0000000000000062E-2</v>
      </c>
    </row>
    <row r="27" spans="2:176" s="381" customFormat="1">
      <c r="B27" s="560"/>
      <c r="C27" s="389"/>
      <c r="D27" s="378"/>
      <c r="E27" s="378"/>
      <c r="F27" s="378"/>
      <c r="G27" s="378"/>
      <c r="H27" s="378"/>
      <c r="I27" s="378"/>
      <c r="J27" s="378"/>
      <c r="K27" s="378"/>
      <c r="L27" s="378"/>
      <c r="M27" s="378"/>
      <c r="N27" s="378"/>
      <c r="O27" s="378"/>
      <c r="P27" s="378"/>
      <c r="Q27" s="378"/>
      <c r="R27" s="378"/>
      <c r="S27" s="378"/>
      <c r="T27" s="378"/>
      <c r="U27" s="378"/>
      <c r="V27" s="378"/>
      <c r="W27" s="378"/>
      <c r="X27" s="378"/>
      <c r="Y27" s="378"/>
      <c r="Z27" s="378"/>
      <c r="AA27" s="378"/>
      <c r="AB27" s="378"/>
      <c r="AC27" s="378"/>
      <c r="AD27" s="378"/>
      <c r="AE27" s="378"/>
      <c r="AF27" s="378"/>
      <c r="AG27" s="378"/>
      <c r="AH27" s="378"/>
      <c r="AI27" s="378"/>
      <c r="AJ27" s="378"/>
      <c r="AK27" s="378"/>
      <c r="AL27" s="378"/>
      <c r="AM27" s="378"/>
      <c r="AN27" s="378"/>
      <c r="AO27" s="378"/>
      <c r="AP27" s="378"/>
      <c r="AQ27" s="378"/>
      <c r="AR27" s="378"/>
      <c r="AS27" s="378"/>
      <c r="AT27" s="378"/>
      <c r="AU27" s="378"/>
      <c r="AV27" s="378"/>
      <c r="AW27" s="378"/>
      <c r="AX27" s="378"/>
      <c r="AY27" s="378"/>
      <c r="AZ27" s="383"/>
      <c r="BA27" s="383"/>
      <c r="BB27" s="383"/>
      <c r="BC27" s="383"/>
      <c r="BD27" s="378"/>
      <c r="BE27" s="378"/>
      <c r="BF27" s="383"/>
      <c r="BG27" s="383"/>
      <c r="BH27" s="383"/>
      <c r="BI27" s="383"/>
      <c r="BJ27" s="383"/>
      <c r="BK27" s="378"/>
      <c r="BL27" s="378"/>
      <c r="BM27" s="378"/>
      <c r="BN27" s="378"/>
      <c r="BO27" s="378"/>
      <c r="BP27" s="378"/>
      <c r="BQ27" s="378"/>
      <c r="BR27" s="378"/>
      <c r="BS27" s="378"/>
      <c r="BT27" s="378"/>
      <c r="BU27" s="378"/>
      <c r="BV27" s="378"/>
      <c r="BW27" s="378"/>
      <c r="BX27" s="378"/>
      <c r="BY27" s="378"/>
      <c r="BZ27" s="378"/>
      <c r="CA27" s="379"/>
      <c r="CB27" s="378"/>
      <c r="CC27" s="384"/>
      <c r="CD27" s="378"/>
      <c r="CE27" s="378"/>
      <c r="CF27" s="378"/>
      <c r="CG27" s="378"/>
      <c r="CH27" s="378"/>
      <c r="CI27" s="378"/>
      <c r="CJ27" s="378"/>
      <c r="CK27" s="378"/>
      <c r="CL27" s="378"/>
      <c r="CM27" s="378"/>
      <c r="CN27" s="378"/>
      <c r="CO27" s="378"/>
      <c r="CP27" s="378"/>
      <c r="CQ27" s="378"/>
      <c r="CR27" s="378"/>
      <c r="CS27" s="378"/>
      <c r="CT27" s="378"/>
      <c r="CU27" s="378"/>
      <c r="CV27" s="379"/>
      <c r="CW27" s="379"/>
      <c r="CX27" s="379"/>
      <c r="CY27" s="379"/>
      <c r="CZ27" s="378"/>
      <c r="DA27" s="378"/>
      <c r="DB27" s="379"/>
      <c r="DC27" s="379"/>
      <c r="DD27" s="379"/>
      <c r="DE27" s="379"/>
      <c r="DF27" s="378"/>
      <c r="DG27" s="378"/>
      <c r="DH27" s="390"/>
      <c r="DI27" s="390"/>
      <c r="DJ27" s="390"/>
      <c r="DK27" s="390"/>
      <c r="DL27" s="390"/>
      <c r="DM27" s="378"/>
      <c r="DN27" s="390"/>
      <c r="DO27" s="390"/>
      <c r="DP27" s="390"/>
      <c r="DQ27" s="390"/>
      <c r="DR27" s="390"/>
      <c r="DS27" s="378"/>
      <c r="DT27" s="390"/>
      <c r="DU27" s="390"/>
      <c r="DV27" s="390"/>
      <c r="DW27" s="390"/>
      <c r="DX27" s="390"/>
      <c r="DZ27" s="390"/>
      <c r="EA27" s="390"/>
      <c r="EB27" s="390"/>
      <c r="EC27" s="390"/>
      <c r="ED27" s="390"/>
      <c r="EE27" s="386"/>
      <c r="EF27" s="390"/>
      <c r="EG27" s="390"/>
      <c r="EH27" s="390"/>
      <c r="EI27" s="390"/>
      <c r="EJ27" s="390"/>
      <c r="EK27" s="386"/>
      <c r="EL27" s="390"/>
      <c r="EM27" s="390"/>
      <c r="EN27" s="390"/>
      <c r="EO27" s="390"/>
      <c r="EP27" s="390"/>
      <c r="ER27" s="390"/>
      <c r="ES27" s="390"/>
      <c r="ET27" s="390"/>
      <c r="EU27" s="390"/>
      <c r="EV27" s="390"/>
      <c r="EX27" s="390"/>
      <c r="EY27" s="390"/>
      <c r="EZ27" s="390"/>
      <c r="FA27" s="390"/>
      <c r="FB27" s="390"/>
      <c r="FD27" s="567"/>
      <c r="FE27" s="390"/>
      <c r="FF27" s="390"/>
      <c r="FG27" s="390"/>
      <c r="FH27" s="390"/>
      <c r="FJ27" s="390"/>
      <c r="FK27" s="390"/>
      <c r="FL27" s="390"/>
      <c r="FM27" s="390"/>
      <c r="FN27" s="390"/>
      <c r="FP27" s="390"/>
      <c r="FQ27" s="390"/>
      <c r="FR27" s="390"/>
      <c r="FS27" s="390"/>
      <c r="FT27" s="390"/>
    </row>
    <row r="28" spans="2:176" s="381" customFormat="1" hidden="1" outlineLevel="1">
      <c r="B28" s="560"/>
      <c r="C28" s="377" t="s">
        <v>637</v>
      </c>
      <c r="D28" s="378"/>
      <c r="E28" s="378"/>
      <c r="F28" s="378"/>
      <c r="G28" s="378"/>
      <c r="H28" s="378"/>
      <c r="I28" s="378"/>
      <c r="J28" s="378"/>
      <c r="K28" s="378"/>
      <c r="L28" s="378"/>
      <c r="M28" s="378"/>
      <c r="N28" s="378"/>
      <c r="O28" s="378"/>
      <c r="P28" s="378"/>
      <c r="Q28" s="378"/>
      <c r="R28" s="378"/>
      <c r="S28" s="378"/>
      <c r="T28" s="378"/>
      <c r="U28" s="378"/>
      <c r="V28" s="378"/>
      <c r="W28" s="378"/>
      <c r="X28" s="378"/>
      <c r="Y28" s="378"/>
      <c r="Z28" s="378"/>
      <c r="AA28" s="378"/>
      <c r="AB28" s="378"/>
      <c r="AC28" s="378"/>
      <c r="AD28" s="378"/>
      <c r="AE28" s="378"/>
      <c r="AF28" s="378"/>
      <c r="AG28" s="378"/>
      <c r="AH28" s="378"/>
      <c r="AI28" s="378"/>
      <c r="AJ28" s="378"/>
      <c r="AK28" s="378"/>
      <c r="AL28" s="378"/>
      <c r="AM28" s="378"/>
      <c r="AN28" s="378"/>
      <c r="AO28" s="378"/>
      <c r="AP28" s="378"/>
      <c r="AQ28" s="378"/>
      <c r="AR28" s="378"/>
      <c r="AS28" s="378"/>
      <c r="AT28" s="378"/>
      <c r="AU28" s="378"/>
      <c r="AV28" s="378"/>
      <c r="AW28" s="378"/>
      <c r="AX28" s="378"/>
      <c r="AY28" s="378"/>
      <c r="AZ28" s="383"/>
      <c r="BA28" s="383"/>
      <c r="BB28" s="383"/>
      <c r="BC28" s="383"/>
      <c r="BD28" s="378"/>
      <c r="BE28" s="378"/>
      <c r="BF28" s="383"/>
      <c r="BG28" s="383"/>
      <c r="BH28" s="383"/>
      <c r="BI28" s="383"/>
      <c r="BJ28" s="383"/>
      <c r="BK28" s="378"/>
      <c r="BL28" s="378"/>
      <c r="BM28" s="378"/>
      <c r="BN28" s="378"/>
      <c r="BO28" s="378"/>
      <c r="BP28" s="378"/>
      <c r="BQ28" s="378"/>
      <c r="BR28" s="378"/>
      <c r="BS28" s="378"/>
      <c r="BT28" s="378"/>
      <c r="BU28" s="378"/>
      <c r="BV28" s="378"/>
      <c r="BW28" s="378"/>
      <c r="BX28" s="378"/>
      <c r="BY28" s="378"/>
      <c r="BZ28" s="378"/>
      <c r="CA28" s="379"/>
      <c r="CB28" s="378"/>
      <c r="CC28" s="384"/>
      <c r="CD28" s="378"/>
      <c r="CE28" s="378"/>
      <c r="CF28" s="378"/>
      <c r="CG28" s="378"/>
      <c r="CH28" s="378"/>
      <c r="CI28" s="378"/>
      <c r="CJ28" s="378"/>
      <c r="CK28" s="378"/>
      <c r="CL28" s="378"/>
      <c r="CM28" s="378"/>
      <c r="CN28" s="378"/>
      <c r="CO28" s="378"/>
      <c r="CP28" s="378"/>
      <c r="CQ28" s="378"/>
      <c r="CR28" s="378"/>
      <c r="CS28" s="378"/>
      <c r="CT28" s="378"/>
      <c r="CU28" s="378"/>
      <c r="CV28" s="379"/>
      <c r="CW28" s="379"/>
      <c r="CX28" s="379"/>
      <c r="CY28" s="379"/>
      <c r="CZ28" s="378"/>
      <c r="DA28" s="378"/>
      <c r="DB28" s="379"/>
      <c r="DC28" s="379"/>
      <c r="DD28" s="379"/>
      <c r="DE28" s="379"/>
      <c r="DF28" s="378"/>
      <c r="DG28" s="378"/>
      <c r="DH28" s="390"/>
      <c r="DI28" s="390"/>
      <c r="DJ28" s="390"/>
      <c r="DK28" s="390"/>
      <c r="DL28" s="390"/>
      <c r="DM28" s="378"/>
      <c r="DN28" s="390"/>
      <c r="DO28" s="390"/>
      <c r="DP28" s="390"/>
      <c r="DQ28" s="390"/>
      <c r="DR28" s="390"/>
      <c r="DS28" s="378"/>
      <c r="DT28" s="390"/>
      <c r="DU28" s="633">
        <v>351</v>
      </c>
      <c r="DV28" s="633">
        <v>359</v>
      </c>
      <c r="DW28" s="633">
        <v>369</v>
      </c>
      <c r="DX28" s="633">
        <v>363</v>
      </c>
      <c r="DZ28" s="633">
        <v>355</v>
      </c>
      <c r="EA28" s="633">
        <v>360</v>
      </c>
      <c r="EB28" s="633"/>
      <c r="EC28" s="633"/>
      <c r="ED28" s="633"/>
      <c r="EE28" s="386"/>
      <c r="EF28" s="633"/>
      <c r="EG28" s="633"/>
      <c r="EH28" s="633"/>
      <c r="EI28" s="633"/>
      <c r="EJ28" s="633"/>
      <c r="EK28" s="386"/>
      <c r="EL28" s="633"/>
      <c r="EM28" s="633"/>
      <c r="EN28" s="633"/>
      <c r="EO28" s="633"/>
      <c r="EP28" s="633"/>
      <c r="ER28" s="633"/>
      <c r="ES28" s="633"/>
      <c r="ET28" s="633"/>
      <c r="EU28" s="633"/>
      <c r="EV28" s="390"/>
      <c r="EX28" s="633"/>
      <c r="EY28" s="390"/>
      <c r="EZ28" s="390"/>
      <c r="FA28" s="390"/>
      <c r="FB28" s="390"/>
      <c r="FD28" s="567"/>
      <c r="FE28" s="390"/>
      <c r="FF28" s="390"/>
      <c r="FG28" s="390"/>
      <c r="FH28" s="390"/>
      <c r="FJ28" s="390"/>
      <c r="FK28" s="390"/>
      <c r="FL28" s="390"/>
      <c r="FM28" s="390"/>
      <c r="FN28" s="390"/>
      <c r="FP28" s="390"/>
      <c r="FQ28" s="390"/>
      <c r="FR28" s="390"/>
      <c r="FS28" s="390"/>
      <c r="FT28" s="390"/>
    </row>
    <row r="29" spans="2:176" s="381" customFormat="1" hidden="1" outlineLevel="1">
      <c r="B29" s="560"/>
      <c r="C29" s="389" t="s">
        <v>125</v>
      </c>
      <c r="D29" s="378"/>
      <c r="E29" s="378"/>
      <c r="F29" s="378"/>
      <c r="G29" s="378"/>
      <c r="H29" s="378"/>
      <c r="I29" s="378"/>
      <c r="J29" s="378"/>
      <c r="K29" s="378"/>
      <c r="L29" s="378"/>
      <c r="M29" s="378"/>
      <c r="N29" s="378"/>
      <c r="O29" s="378"/>
      <c r="P29" s="378"/>
      <c r="Q29" s="378"/>
      <c r="R29" s="378"/>
      <c r="S29" s="378"/>
      <c r="T29" s="378"/>
      <c r="U29" s="378"/>
      <c r="V29" s="378"/>
      <c r="W29" s="378"/>
      <c r="X29" s="378"/>
      <c r="Y29" s="378"/>
      <c r="Z29" s="378"/>
      <c r="AA29" s="378"/>
      <c r="AB29" s="378"/>
      <c r="AC29" s="378"/>
      <c r="AD29" s="378"/>
      <c r="AE29" s="378"/>
      <c r="AF29" s="378"/>
      <c r="AG29" s="378"/>
      <c r="AH29" s="378"/>
      <c r="AI29" s="378"/>
      <c r="AJ29" s="378"/>
      <c r="AK29" s="378"/>
      <c r="AL29" s="378"/>
      <c r="AM29" s="378"/>
      <c r="AN29" s="378"/>
      <c r="AO29" s="378"/>
      <c r="AP29" s="378"/>
      <c r="AQ29" s="378"/>
      <c r="AR29" s="378"/>
      <c r="AS29" s="378"/>
      <c r="AT29" s="378"/>
      <c r="AU29" s="378"/>
      <c r="AV29" s="378"/>
      <c r="AW29" s="378"/>
      <c r="AX29" s="378"/>
      <c r="AY29" s="378"/>
      <c r="AZ29" s="383"/>
      <c r="BA29" s="383"/>
      <c r="BB29" s="383"/>
      <c r="BC29" s="383"/>
      <c r="BD29" s="378"/>
      <c r="BE29" s="378"/>
      <c r="BF29" s="383"/>
      <c r="BG29" s="383"/>
      <c r="BH29" s="383"/>
      <c r="BI29" s="383"/>
      <c r="BJ29" s="383"/>
      <c r="BK29" s="378"/>
      <c r="BL29" s="378"/>
      <c r="BM29" s="378"/>
      <c r="BN29" s="378"/>
      <c r="BO29" s="378"/>
      <c r="BP29" s="378"/>
      <c r="BQ29" s="378"/>
      <c r="BR29" s="378"/>
      <c r="BS29" s="378"/>
      <c r="BT29" s="378"/>
      <c r="BU29" s="378"/>
      <c r="BV29" s="378"/>
      <c r="BW29" s="378"/>
      <c r="BX29" s="378"/>
      <c r="BY29" s="378"/>
      <c r="BZ29" s="378"/>
      <c r="CA29" s="379"/>
      <c r="CB29" s="378"/>
      <c r="CC29" s="384"/>
      <c r="CD29" s="378"/>
      <c r="CE29" s="378"/>
      <c r="CF29" s="378"/>
      <c r="CG29" s="378"/>
      <c r="CH29" s="378"/>
      <c r="CI29" s="378"/>
      <c r="CJ29" s="378"/>
      <c r="CK29" s="378"/>
      <c r="CL29" s="378"/>
      <c r="CM29" s="378"/>
      <c r="CN29" s="378"/>
      <c r="CO29" s="378"/>
      <c r="CP29" s="378"/>
      <c r="CQ29" s="378"/>
      <c r="CR29" s="378"/>
      <c r="CS29" s="378"/>
      <c r="CT29" s="378"/>
      <c r="CU29" s="378"/>
      <c r="CV29" s="379"/>
      <c r="CW29" s="379"/>
      <c r="CX29" s="379"/>
      <c r="CY29" s="379"/>
      <c r="CZ29" s="378"/>
      <c r="DA29" s="378"/>
      <c r="DB29" s="379"/>
      <c r="DC29" s="379"/>
      <c r="DD29" s="379"/>
      <c r="DE29" s="379"/>
      <c r="DF29" s="378"/>
      <c r="DG29" s="378"/>
      <c r="DH29" s="390"/>
      <c r="DI29" s="390"/>
      <c r="DJ29" s="390"/>
      <c r="DK29" s="390"/>
      <c r="DL29" s="390"/>
      <c r="DM29" s="378"/>
      <c r="DN29" s="390"/>
      <c r="DO29" s="390"/>
      <c r="DP29" s="390"/>
      <c r="DQ29" s="390"/>
      <c r="DR29" s="390"/>
      <c r="DS29" s="378"/>
      <c r="DT29" s="390"/>
      <c r="DU29" s="390">
        <f>DU28/DO25-1</f>
        <v>-1.2543772897889549E-2</v>
      </c>
      <c r="DV29" s="390">
        <f>DV28/DP25-1</f>
        <v>-2.8402074218117024E-2</v>
      </c>
      <c r="DW29" s="390">
        <f>DW28/DQ25-1</f>
        <v>-2.9869278946523803E-3</v>
      </c>
      <c r="DX29" s="390">
        <f>DX28/DR25-1</f>
        <v>-7.4352866580649213E-3</v>
      </c>
      <c r="DZ29" s="390">
        <f>DZ28/DT25-1</f>
        <v>-4.4078638876341669E-2</v>
      </c>
      <c r="EA29" s="390">
        <f>EA28/DU25-1</f>
        <v>-1.8970277732661689E-3</v>
      </c>
      <c r="EB29" s="390"/>
      <c r="EC29" s="390"/>
      <c r="ED29" s="390"/>
      <c r="EE29" s="386"/>
      <c r="EF29" s="390"/>
      <c r="EG29" s="390"/>
      <c r="EH29" s="390"/>
      <c r="EI29" s="390"/>
      <c r="EJ29" s="390"/>
      <c r="EK29" s="386"/>
      <c r="EL29" s="390"/>
      <c r="EM29" s="390"/>
      <c r="EN29" s="390"/>
      <c r="EO29" s="390"/>
      <c r="EP29" s="390"/>
      <c r="ER29" s="390"/>
      <c r="ES29" s="390"/>
      <c r="ET29" s="390"/>
      <c r="EU29" s="390"/>
      <c r="EV29" s="390"/>
      <c r="EX29" s="390"/>
      <c r="EY29" s="390"/>
      <c r="EZ29" s="390"/>
      <c r="FA29" s="390"/>
      <c r="FB29" s="390"/>
      <c r="FD29" s="567"/>
      <c r="FE29" s="390"/>
      <c r="FF29" s="390"/>
      <c r="FG29" s="390"/>
      <c r="FH29" s="390"/>
      <c r="FJ29" s="390"/>
      <c r="FK29" s="390"/>
      <c r="FL29" s="390"/>
      <c r="FM29" s="390"/>
      <c r="FN29" s="390"/>
      <c r="FP29" s="390"/>
      <c r="FQ29" s="390"/>
      <c r="FR29" s="390"/>
      <c r="FS29" s="390"/>
      <c r="FT29" s="390"/>
    </row>
    <row r="30" spans="2:176" s="381" customFormat="1" hidden="1" outlineLevel="1">
      <c r="B30" s="560"/>
      <c r="C30" s="374"/>
      <c r="D30" s="378"/>
      <c r="E30" s="378"/>
      <c r="F30" s="378"/>
      <c r="G30" s="378"/>
      <c r="H30" s="378"/>
      <c r="I30" s="378"/>
      <c r="J30" s="378"/>
      <c r="K30" s="378"/>
      <c r="L30" s="378"/>
      <c r="M30" s="378"/>
      <c r="N30" s="378"/>
      <c r="O30" s="378"/>
      <c r="P30" s="378"/>
      <c r="Q30" s="378"/>
      <c r="R30" s="378"/>
      <c r="S30" s="378"/>
      <c r="T30" s="378"/>
      <c r="U30" s="378"/>
      <c r="V30" s="378"/>
      <c r="W30" s="378"/>
      <c r="X30" s="378"/>
      <c r="Y30" s="378"/>
      <c r="Z30" s="378"/>
      <c r="AA30" s="378"/>
      <c r="AB30" s="378"/>
      <c r="AC30" s="378"/>
      <c r="AD30" s="378"/>
      <c r="AE30" s="378"/>
      <c r="AF30" s="378"/>
      <c r="AG30" s="378"/>
      <c r="AH30" s="378"/>
      <c r="AI30" s="378"/>
      <c r="AJ30" s="378"/>
      <c r="AK30" s="378"/>
      <c r="AL30" s="378"/>
      <c r="AM30" s="378"/>
      <c r="AN30" s="378"/>
      <c r="AO30" s="378"/>
      <c r="AP30" s="378"/>
      <c r="AQ30" s="378"/>
      <c r="AR30" s="378"/>
      <c r="AS30" s="378"/>
      <c r="AT30" s="378"/>
      <c r="AU30" s="378"/>
      <c r="AV30" s="378"/>
      <c r="AW30" s="378"/>
      <c r="AX30" s="378"/>
      <c r="AY30" s="378"/>
      <c r="AZ30" s="383"/>
      <c r="BA30" s="383"/>
      <c r="BB30" s="383"/>
      <c r="BC30" s="383"/>
      <c r="BD30" s="378"/>
      <c r="BE30" s="378"/>
      <c r="BF30" s="383"/>
      <c r="BG30" s="383"/>
      <c r="BH30" s="383"/>
      <c r="BI30" s="383"/>
      <c r="BJ30" s="383"/>
      <c r="BK30" s="378"/>
      <c r="BL30" s="378"/>
      <c r="BM30" s="378"/>
      <c r="BN30" s="378"/>
      <c r="BO30" s="378"/>
      <c r="BP30" s="378"/>
      <c r="BQ30" s="378"/>
      <c r="BR30" s="378"/>
      <c r="BS30" s="378"/>
      <c r="BT30" s="378"/>
      <c r="BU30" s="378"/>
      <c r="BV30" s="378"/>
      <c r="BW30" s="378"/>
      <c r="BX30" s="378"/>
      <c r="BY30" s="378"/>
      <c r="BZ30" s="378"/>
      <c r="CA30" s="379"/>
      <c r="CB30" s="378"/>
      <c r="CC30" s="384"/>
      <c r="CD30" s="378"/>
      <c r="CE30" s="378"/>
      <c r="CF30" s="378"/>
      <c r="CG30" s="378"/>
      <c r="CH30" s="378"/>
      <c r="CI30" s="378"/>
      <c r="CJ30" s="378"/>
      <c r="CK30" s="378"/>
      <c r="CL30" s="378"/>
      <c r="CM30" s="378"/>
      <c r="CN30" s="378"/>
      <c r="CO30" s="378"/>
      <c r="CP30" s="378"/>
      <c r="CQ30" s="378"/>
      <c r="CR30" s="378"/>
      <c r="CS30" s="378"/>
      <c r="CT30" s="378"/>
      <c r="CU30" s="378"/>
      <c r="CV30" s="379"/>
      <c r="CW30" s="379"/>
      <c r="CX30" s="379"/>
      <c r="CY30" s="379"/>
      <c r="CZ30" s="378"/>
      <c r="DA30" s="378"/>
      <c r="DB30" s="379"/>
      <c r="DC30" s="379"/>
      <c r="DD30" s="379"/>
      <c r="DE30" s="379"/>
      <c r="DF30" s="378"/>
      <c r="DG30" s="378"/>
      <c r="DH30" s="390"/>
      <c r="DI30" s="390"/>
      <c r="DJ30" s="390"/>
      <c r="DK30" s="390"/>
      <c r="DL30" s="390"/>
      <c r="DM30" s="378"/>
      <c r="DN30" s="390"/>
      <c r="DO30" s="390"/>
      <c r="DP30" s="390"/>
      <c r="DQ30" s="390"/>
      <c r="DR30" s="390"/>
      <c r="DS30" s="378"/>
      <c r="DT30" s="390"/>
      <c r="DU30" s="390"/>
      <c r="DV30" s="390"/>
      <c r="DW30" s="390"/>
      <c r="DX30" s="390"/>
      <c r="DZ30" s="390"/>
      <c r="EA30" s="390"/>
      <c r="EB30" s="390"/>
      <c r="EC30" s="390"/>
      <c r="ED30" s="390"/>
      <c r="EE30" s="386"/>
      <c r="EF30" s="390"/>
      <c r="EG30" s="390"/>
      <c r="EH30" s="390"/>
      <c r="EI30" s="390"/>
      <c r="EJ30" s="390"/>
      <c r="EK30" s="386"/>
      <c r="EL30" s="390"/>
      <c r="EM30" s="390"/>
      <c r="EN30" s="390"/>
      <c r="EO30" s="390"/>
      <c r="EP30" s="390"/>
      <c r="ER30" s="390"/>
      <c r="ES30" s="390"/>
      <c r="ET30" s="390"/>
      <c r="EU30" s="390"/>
      <c r="EV30" s="390"/>
      <c r="EX30" s="390"/>
      <c r="EY30" s="390"/>
      <c r="EZ30" s="390"/>
      <c r="FA30" s="390"/>
      <c r="FB30" s="390"/>
      <c r="FD30" s="567"/>
      <c r="FE30" s="390"/>
      <c r="FF30" s="390"/>
      <c r="FG30" s="390"/>
      <c r="FH30" s="390"/>
      <c r="FJ30" s="390"/>
      <c r="FK30" s="390"/>
      <c r="FL30" s="390"/>
      <c r="FM30" s="390"/>
      <c r="FN30" s="390"/>
      <c r="FP30" s="390"/>
      <c r="FQ30" s="390"/>
      <c r="FR30" s="390"/>
      <c r="FS30" s="390"/>
      <c r="FT30" s="390"/>
    </row>
    <row r="31" spans="2:176" s="381" customFormat="1" hidden="1" outlineLevel="1">
      <c r="B31" s="378"/>
      <c r="C31" s="377" t="s">
        <v>638</v>
      </c>
      <c r="D31" s="378"/>
      <c r="E31" s="378"/>
      <c r="F31" s="378"/>
      <c r="G31" s="378"/>
      <c r="H31" s="378"/>
      <c r="I31" s="378"/>
      <c r="J31" s="378"/>
      <c r="K31" s="378"/>
      <c r="L31" s="378"/>
      <c r="M31" s="378"/>
      <c r="N31" s="378"/>
      <c r="O31" s="378"/>
      <c r="P31" s="378"/>
      <c r="Q31" s="378"/>
      <c r="R31" s="378"/>
      <c r="S31" s="378"/>
      <c r="T31" s="378"/>
      <c r="U31" s="378"/>
      <c r="V31" s="378"/>
      <c r="W31" s="378"/>
      <c r="X31" s="378"/>
      <c r="Y31" s="378"/>
      <c r="Z31" s="378"/>
      <c r="AA31" s="378"/>
      <c r="AB31" s="378"/>
      <c r="AC31" s="378"/>
      <c r="AD31" s="378"/>
      <c r="AE31" s="378"/>
      <c r="AF31" s="378"/>
      <c r="AG31" s="378"/>
      <c r="AH31" s="378"/>
      <c r="AI31" s="378"/>
      <c r="AJ31" s="378"/>
      <c r="AK31" s="378"/>
      <c r="AL31" s="378"/>
      <c r="AM31" s="378"/>
      <c r="AN31" s="378"/>
      <c r="AO31" s="378"/>
      <c r="AP31" s="378"/>
      <c r="AQ31" s="378"/>
      <c r="AR31" s="378"/>
      <c r="AS31" s="378"/>
      <c r="AT31" s="378"/>
      <c r="AU31" s="378"/>
      <c r="AV31" s="378"/>
      <c r="AW31" s="378"/>
      <c r="AX31" s="378"/>
      <c r="AY31" s="378"/>
      <c r="AZ31" s="383"/>
      <c r="BA31" s="383"/>
      <c r="BB31" s="383"/>
      <c r="BC31" s="383"/>
      <c r="BD31" s="378"/>
      <c r="BE31" s="378"/>
      <c r="BF31" s="383"/>
      <c r="BG31" s="383"/>
      <c r="BH31" s="383"/>
      <c r="BI31" s="383"/>
      <c r="BJ31" s="383"/>
      <c r="BK31" s="378"/>
      <c r="BL31" s="378"/>
      <c r="BM31" s="378"/>
      <c r="BN31" s="378"/>
      <c r="BO31" s="378"/>
      <c r="BP31" s="378"/>
      <c r="BQ31" s="378"/>
      <c r="BR31" s="378"/>
      <c r="BS31" s="378"/>
      <c r="BT31" s="378"/>
      <c r="BU31" s="378"/>
      <c r="BV31" s="378"/>
      <c r="BW31" s="378"/>
      <c r="BX31" s="378"/>
      <c r="BY31" s="378"/>
      <c r="BZ31" s="378"/>
      <c r="CA31" s="379"/>
      <c r="CB31" s="378"/>
      <c r="CC31" s="384"/>
      <c r="CD31" s="378"/>
      <c r="CE31" s="378"/>
      <c r="CF31" s="378"/>
      <c r="CG31" s="378"/>
      <c r="CH31" s="378"/>
      <c r="CI31" s="378"/>
      <c r="CJ31" s="378"/>
      <c r="CK31" s="378"/>
      <c r="CL31" s="378"/>
      <c r="CM31" s="378"/>
      <c r="CN31" s="378"/>
      <c r="CO31" s="378"/>
      <c r="CP31" s="378"/>
      <c r="CQ31" s="378"/>
      <c r="CR31" s="378"/>
      <c r="CS31" s="378"/>
      <c r="CT31" s="378"/>
      <c r="CU31" s="378"/>
      <c r="CV31" s="379"/>
      <c r="CW31" s="379"/>
      <c r="CX31" s="379"/>
      <c r="CY31" s="379"/>
      <c r="CZ31" s="378"/>
      <c r="DA31" s="378"/>
      <c r="DB31" s="379"/>
      <c r="DC31" s="379"/>
      <c r="DD31" s="379"/>
      <c r="DE31" s="379"/>
      <c r="DF31" s="378"/>
      <c r="DG31" s="378"/>
      <c r="DH31" s="385"/>
      <c r="DI31" s="385"/>
      <c r="DJ31" s="385"/>
      <c r="DK31" s="385"/>
      <c r="DL31" s="378"/>
      <c r="DM31" s="378"/>
      <c r="DN31" s="385"/>
      <c r="DO31" s="385"/>
      <c r="DP31" s="385"/>
      <c r="DQ31" s="382"/>
      <c r="DR31" s="378"/>
      <c r="DS31" s="378"/>
      <c r="DT31" s="385"/>
      <c r="DU31" s="17">
        <f>((DU25-DU28)*DU19)/1000000</f>
        <v>1.9837559999999985</v>
      </c>
      <c r="DV31" s="17">
        <f>((DV25-DV28)*DV19)/1000000</f>
        <v>17.023578000000001</v>
      </c>
      <c r="DW31" s="17">
        <f>((DW25-DW28)*DW19)/1000000</f>
        <v>8.8087209999999931</v>
      </c>
      <c r="DX31" s="17">
        <f>((DX25-DX28)*DX19)/1000000</f>
        <v>28.023953000000009</v>
      </c>
      <c r="DZ31" s="17">
        <f>((DZ25-DZ28)*DZ19)/1000000</f>
        <v>3.8529449999999867</v>
      </c>
      <c r="EA31" s="17">
        <f>((EA25-EA28)*EA19)/1000000</f>
        <v>0.12440000000000005</v>
      </c>
      <c r="EC31" s="17"/>
      <c r="ED31" s="17"/>
      <c r="EE31" s="386"/>
      <c r="EF31" s="17"/>
      <c r="EG31" s="17"/>
      <c r="EI31" s="17"/>
      <c r="EJ31" s="17"/>
      <c r="EK31" s="386"/>
      <c r="EL31" s="17"/>
      <c r="EM31" s="17"/>
      <c r="EO31" s="17"/>
      <c r="EP31" s="17"/>
      <c r="ER31" s="17"/>
      <c r="ES31" s="17"/>
      <c r="ET31" s="17"/>
      <c r="EU31" s="17"/>
      <c r="EV31" s="385"/>
      <c r="EX31" s="17"/>
      <c r="EY31" s="382"/>
      <c r="EZ31" s="382"/>
      <c r="FA31" s="382"/>
      <c r="FB31" s="385"/>
      <c r="FD31" s="698"/>
      <c r="FE31" s="382"/>
      <c r="FF31" s="382"/>
      <c r="FG31" s="382"/>
      <c r="FH31" s="385"/>
      <c r="FJ31" s="382"/>
      <c r="FK31" s="382"/>
      <c r="FL31" s="382"/>
      <c r="FM31" s="382"/>
      <c r="FN31" s="385"/>
      <c r="FP31" s="382"/>
      <c r="FQ31" s="382"/>
      <c r="FR31" s="382"/>
      <c r="FS31" s="382"/>
      <c r="FT31" s="385"/>
    </row>
    <row r="32" spans="2:176" s="381" customFormat="1" collapsed="1">
      <c r="B32" s="378"/>
      <c r="C32" s="374"/>
      <c r="D32" s="378"/>
      <c r="E32" s="378"/>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8"/>
      <c r="AK32" s="378"/>
      <c r="AL32" s="378"/>
      <c r="AM32" s="378"/>
      <c r="AN32" s="378"/>
      <c r="AO32" s="378"/>
      <c r="AP32" s="378"/>
      <c r="AQ32" s="378"/>
      <c r="AR32" s="378"/>
      <c r="AS32" s="378"/>
      <c r="AT32" s="378"/>
      <c r="AU32" s="378"/>
      <c r="AV32" s="378"/>
      <c r="AW32" s="378"/>
      <c r="AX32" s="378"/>
      <c r="AY32" s="378"/>
      <c r="AZ32" s="383"/>
      <c r="BA32" s="383"/>
      <c r="BB32" s="383"/>
      <c r="BC32" s="383"/>
      <c r="BD32" s="378"/>
      <c r="BE32" s="378"/>
      <c r="BF32" s="383"/>
      <c r="BG32" s="383"/>
      <c r="BH32" s="383"/>
      <c r="BI32" s="383"/>
      <c r="BJ32" s="383"/>
      <c r="BK32" s="378"/>
      <c r="BL32" s="378"/>
      <c r="BM32" s="378"/>
      <c r="BN32" s="378"/>
      <c r="BO32" s="378"/>
      <c r="BP32" s="378"/>
      <c r="BQ32" s="378"/>
      <c r="BR32" s="378"/>
      <c r="BS32" s="378"/>
      <c r="BT32" s="378"/>
      <c r="BU32" s="378"/>
      <c r="BV32" s="378"/>
      <c r="BW32" s="378"/>
      <c r="BX32" s="378"/>
      <c r="BY32" s="378"/>
      <c r="BZ32" s="378"/>
      <c r="CA32" s="379"/>
      <c r="CB32" s="378"/>
      <c r="CC32" s="384"/>
      <c r="CD32" s="378"/>
      <c r="CE32" s="378"/>
      <c r="CF32" s="378"/>
      <c r="CG32" s="378"/>
      <c r="CH32" s="378"/>
      <c r="CI32" s="378"/>
      <c r="CJ32" s="378"/>
      <c r="CK32" s="378"/>
      <c r="CL32" s="378"/>
      <c r="CM32" s="378"/>
      <c r="CN32" s="378"/>
      <c r="CO32" s="378"/>
      <c r="CP32" s="378"/>
      <c r="CQ32" s="378"/>
      <c r="CR32" s="378"/>
      <c r="CS32" s="378"/>
      <c r="CT32" s="378"/>
      <c r="CU32" s="378"/>
      <c r="CV32" s="379"/>
      <c r="CW32" s="379"/>
      <c r="CX32" s="379"/>
      <c r="CY32" s="379"/>
      <c r="CZ32" s="378"/>
      <c r="DA32" s="378"/>
      <c r="DB32" s="379"/>
      <c r="DC32" s="379"/>
      <c r="DD32" s="379"/>
      <c r="DE32" s="379"/>
      <c r="DF32" s="378"/>
      <c r="DG32" s="378"/>
      <c r="DH32" s="385"/>
      <c r="DI32" s="385"/>
      <c r="DJ32" s="385"/>
      <c r="DK32" s="385"/>
      <c r="DL32" s="378"/>
      <c r="DM32" s="378"/>
      <c r="DN32" s="385"/>
      <c r="DO32" s="385"/>
      <c r="DP32" s="385"/>
      <c r="DQ32" s="382"/>
      <c r="DR32" s="378"/>
      <c r="DS32" s="378"/>
      <c r="DT32" s="385"/>
      <c r="DU32" s="385"/>
      <c r="DV32" s="385"/>
      <c r="DW32" s="382"/>
      <c r="DX32" s="378"/>
      <c r="DZ32" s="385"/>
      <c r="EA32" s="385"/>
      <c r="EB32" s="17"/>
      <c r="EC32" s="382"/>
      <c r="ED32" s="378"/>
      <c r="EE32" s="386"/>
      <c r="EF32" s="385"/>
      <c r="EG32" s="385"/>
      <c r="EH32" s="17"/>
      <c r="EI32" s="382"/>
      <c r="EJ32" s="378"/>
      <c r="EK32" s="386"/>
      <c r="EL32" s="385"/>
      <c r="EM32" s="385"/>
      <c r="EN32" s="17"/>
      <c r="EO32" s="382"/>
      <c r="EP32" s="378"/>
      <c r="ER32" s="385"/>
      <c r="ES32" s="385"/>
      <c r="ET32" s="385"/>
      <c r="EU32" s="385"/>
      <c r="EV32" s="385"/>
      <c r="EX32" s="385"/>
      <c r="EY32" s="382"/>
      <c r="EZ32" s="382"/>
      <c r="FA32" s="382"/>
      <c r="FB32" s="385"/>
      <c r="FD32" s="698"/>
      <c r="FE32" s="382"/>
      <c r="FF32" s="382"/>
      <c r="FG32" s="382"/>
      <c r="FH32" s="888"/>
      <c r="FJ32" s="382"/>
      <c r="FK32" s="382"/>
      <c r="FL32" s="382"/>
      <c r="FM32" s="382"/>
      <c r="FN32" s="385"/>
      <c r="FP32" s="382"/>
      <c r="FQ32" s="382"/>
      <c r="FR32" s="382"/>
      <c r="FS32" s="382"/>
      <c r="FT32" s="385"/>
    </row>
    <row r="33" spans="2:176" s="381" customFormat="1">
      <c r="B33" s="378"/>
      <c r="C33" s="384" t="s">
        <v>640</v>
      </c>
      <c r="D33" s="378"/>
      <c r="E33" s="378"/>
      <c r="F33" s="378"/>
      <c r="G33" s="378"/>
      <c r="H33" s="378"/>
      <c r="I33" s="378"/>
      <c r="J33" s="378"/>
      <c r="K33" s="378"/>
      <c r="L33" s="378"/>
      <c r="M33" s="378"/>
      <c r="N33" s="378"/>
      <c r="O33" s="378"/>
      <c r="P33" s="378"/>
      <c r="Q33" s="378"/>
      <c r="R33" s="378"/>
      <c r="S33" s="378"/>
      <c r="T33" s="378"/>
      <c r="U33" s="378"/>
      <c r="V33" s="378"/>
      <c r="W33" s="378"/>
      <c r="X33" s="378"/>
      <c r="Y33" s="378"/>
      <c r="Z33" s="378"/>
      <c r="AA33" s="378"/>
      <c r="AB33" s="378"/>
      <c r="AC33" s="378"/>
      <c r="AD33" s="378"/>
      <c r="AE33" s="378"/>
      <c r="AF33" s="378"/>
      <c r="AG33" s="378"/>
      <c r="AH33" s="378"/>
      <c r="AI33" s="378"/>
      <c r="AJ33" s="378"/>
      <c r="AK33" s="378"/>
      <c r="AL33" s="378"/>
      <c r="AM33" s="378"/>
      <c r="AN33" s="378"/>
      <c r="AO33" s="378"/>
      <c r="AP33" s="378"/>
      <c r="AQ33" s="378"/>
      <c r="AR33" s="378"/>
      <c r="AS33" s="378"/>
      <c r="AT33" s="378"/>
      <c r="AU33" s="378"/>
      <c r="AV33" s="378"/>
      <c r="AW33" s="378"/>
      <c r="AX33" s="378"/>
      <c r="AY33" s="378"/>
      <c r="AZ33" s="383"/>
      <c r="BA33" s="383"/>
      <c r="BB33" s="383"/>
      <c r="BC33" s="383"/>
      <c r="BD33" s="378"/>
      <c r="BE33" s="378"/>
      <c r="BF33" s="383"/>
      <c r="BG33" s="383"/>
      <c r="BH33" s="383"/>
      <c r="BI33" s="383"/>
      <c r="BJ33" s="383"/>
      <c r="BK33" s="378"/>
      <c r="BL33" s="378"/>
      <c r="BM33" s="378"/>
      <c r="BN33" s="378"/>
      <c r="BO33" s="378"/>
      <c r="BP33" s="378"/>
      <c r="BQ33" s="378"/>
      <c r="BR33" s="378"/>
      <c r="BS33" s="378"/>
      <c r="BT33" s="378"/>
      <c r="BU33" s="378"/>
      <c r="BV33" s="378"/>
      <c r="BW33" s="378"/>
      <c r="BX33" s="378"/>
      <c r="BY33" s="378"/>
      <c r="BZ33" s="378"/>
      <c r="CA33" s="379"/>
      <c r="CB33" s="378"/>
      <c r="CC33" s="384"/>
      <c r="CD33" s="378"/>
      <c r="CE33" s="378"/>
      <c r="CF33" s="378"/>
      <c r="CG33" s="378"/>
      <c r="CH33" s="378"/>
      <c r="CI33" s="378"/>
      <c r="CJ33" s="378"/>
      <c r="CK33" s="378"/>
      <c r="CL33" s="378"/>
      <c r="CM33" s="378"/>
      <c r="CN33" s="378"/>
      <c r="CO33" s="378"/>
      <c r="CP33" s="378"/>
      <c r="CQ33" s="378"/>
      <c r="CR33" s="378"/>
      <c r="CS33" s="378"/>
      <c r="CT33" s="378"/>
      <c r="CU33" s="378"/>
      <c r="CV33" s="379"/>
      <c r="CW33" s="379"/>
      <c r="CX33" s="379"/>
      <c r="CY33" s="379"/>
      <c r="CZ33" s="378"/>
      <c r="DA33" s="378"/>
      <c r="DB33" s="379"/>
      <c r="DC33" s="379"/>
      <c r="DD33" s="379"/>
      <c r="DE33" s="379"/>
      <c r="DF33" s="378"/>
      <c r="DG33" s="378"/>
      <c r="DH33" s="385"/>
      <c r="DI33" s="385"/>
      <c r="DJ33" s="385"/>
      <c r="DK33" s="385"/>
      <c r="DL33" s="378"/>
      <c r="DM33" s="378"/>
      <c r="DN33" s="385"/>
      <c r="DO33" s="385"/>
      <c r="DP33" s="385"/>
      <c r="DQ33" s="382"/>
      <c r="DR33" s="378"/>
      <c r="DS33" s="378"/>
      <c r="DT33" s="385"/>
      <c r="DU33" s="385"/>
      <c r="DV33" s="385"/>
      <c r="DW33" s="382"/>
      <c r="DX33" s="378"/>
      <c r="DZ33" s="385"/>
      <c r="EA33" s="385"/>
      <c r="EB33" s="17"/>
      <c r="EC33" s="382"/>
      <c r="ED33" s="378"/>
      <c r="EE33" s="386"/>
      <c r="EF33" s="17">
        <f>EF10*EF35</f>
        <v>18.770289999999999</v>
      </c>
      <c r="EG33" s="17">
        <f>EG10*EG35</f>
        <v>21.127000000000002</v>
      </c>
      <c r="EH33" s="17">
        <f>EH10*EH35</f>
        <v>22.29402</v>
      </c>
      <c r="EI33" s="17">
        <f>EI10*EI35</f>
        <v>23.796520000000001</v>
      </c>
      <c r="EJ33" s="17">
        <f>SUM(EF33:EI33)</f>
        <v>85.987830000000002</v>
      </c>
      <c r="EK33" s="386"/>
      <c r="EL33" s="17">
        <f>EL10*EL35</f>
        <v>26.41987</v>
      </c>
      <c r="EM33" s="17">
        <f>EM10*EM35</f>
        <v>29.55744</v>
      </c>
      <c r="EN33" s="17">
        <f>EN10*EN35</f>
        <v>33.163780000000003</v>
      </c>
      <c r="EO33" s="17">
        <f>EO10*EO35</f>
        <v>33.815080000000002</v>
      </c>
      <c r="EP33" s="17">
        <f>SUM(EL33:EO33)</f>
        <v>122.95617000000001</v>
      </c>
      <c r="ER33" s="17">
        <f>ER10*ER35</f>
        <v>39.687824999999997</v>
      </c>
      <c r="ES33" s="17">
        <f>ES10*ES35</f>
        <v>42.416400000000003</v>
      </c>
      <c r="ET33" s="17">
        <f>ET10*ET35</f>
        <v>42.277069999999995</v>
      </c>
      <c r="EU33" s="348">
        <f>EU10*EU35</f>
        <v>41.882605800000007</v>
      </c>
      <c r="EV33" s="17">
        <f>SUM(ER33:EU33)</f>
        <v>166.26390079999999</v>
      </c>
      <c r="EX33" s="348">
        <f>EX10*EX35</f>
        <v>46.7840053125</v>
      </c>
      <c r="EY33" s="348">
        <f>EY10*EY35</f>
        <v>51.756881962499996</v>
      </c>
      <c r="EZ33" s="348">
        <f>EZ10*EZ35</f>
        <v>52.608280725</v>
      </c>
      <c r="FA33" s="348">
        <f>FA10*FA35</f>
        <v>51.401603439999995</v>
      </c>
      <c r="FB33" s="17">
        <f>SUM(EX33:FA33)</f>
        <v>202.55077143999998</v>
      </c>
      <c r="FC33" s="372"/>
      <c r="FD33" s="685">
        <f>EX33*(1+FD34)</f>
        <v>58.480006640625</v>
      </c>
      <c r="FE33" s="348">
        <f>EY33*(1+FE34)</f>
        <v>64.696102453124993</v>
      </c>
      <c r="FF33" s="348">
        <f>EZ33*(1+FF34)</f>
        <v>65.760350906249997</v>
      </c>
      <c r="FG33" s="348">
        <f>FA33*(1+FG34)</f>
        <v>64.252004299999996</v>
      </c>
      <c r="FH33" s="17">
        <f>SUM(FD33:FG33)</f>
        <v>253.18846430000002</v>
      </c>
      <c r="FI33" s="372"/>
      <c r="FJ33" s="348">
        <f>FD33*(1+FJ34)</f>
        <v>76.024008632812496</v>
      </c>
      <c r="FK33" s="348">
        <f>FE33*(1+FK34)</f>
        <v>84.104933189062493</v>
      </c>
      <c r="FL33" s="348">
        <f>FF33*(1+FL34)</f>
        <v>85.488456178125006</v>
      </c>
      <c r="FM33" s="348">
        <f>FG33*(1+FM34)</f>
        <v>83.527605589999993</v>
      </c>
      <c r="FN33" s="17">
        <f>SUM(FJ33:FM33)</f>
        <v>329.14500358999999</v>
      </c>
      <c r="FP33" s="348">
        <f>FJ33*(1+FP34)</f>
        <v>98.83121122265625</v>
      </c>
      <c r="FQ33" s="348">
        <f>FK33*(1+FQ34)</f>
        <v>109.33641314578125</v>
      </c>
      <c r="FR33" s="348">
        <f>FL33*(1+FR34)</f>
        <v>111.13499303156252</v>
      </c>
      <c r="FS33" s="348">
        <f>FM33*(1+FS34)</f>
        <v>108.58588726699999</v>
      </c>
      <c r="FT33" s="17">
        <f>SUM(FP33:FS33)</f>
        <v>427.88850466700001</v>
      </c>
    </row>
    <row r="34" spans="2:176" s="381" customFormat="1">
      <c r="B34" s="560"/>
      <c r="C34" s="389" t="s">
        <v>125</v>
      </c>
      <c r="D34" s="378"/>
      <c r="E34" s="378"/>
      <c r="F34" s="378"/>
      <c r="G34" s="378"/>
      <c r="H34" s="378"/>
      <c r="I34" s="378"/>
      <c r="J34" s="378"/>
      <c r="K34" s="378"/>
      <c r="L34" s="378"/>
      <c r="M34" s="378"/>
      <c r="N34" s="378"/>
      <c r="O34" s="378"/>
      <c r="P34" s="378"/>
      <c r="Q34" s="378"/>
      <c r="R34" s="378"/>
      <c r="S34" s="378"/>
      <c r="T34" s="378"/>
      <c r="U34" s="378"/>
      <c r="V34" s="378"/>
      <c r="W34" s="378"/>
      <c r="X34" s="378"/>
      <c r="Y34" s="378"/>
      <c r="Z34" s="378"/>
      <c r="AA34" s="378"/>
      <c r="AB34" s="378"/>
      <c r="AC34" s="378"/>
      <c r="AD34" s="378"/>
      <c r="AE34" s="378"/>
      <c r="AF34" s="378"/>
      <c r="AG34" s="378"/>
      <c r="AH34" s="378"/>
      <c r="AI34" s="378"/>
      <c r="AJ34" s="378"/>
      <c r="AK34" s="378"/>
      <c r="AL34" s="378"/>
      <c r="AM34" s="378"/>
      <c r="AN34" s="378"/>
      <c r="AO34" s="378"/>
      <c r="AP34" s="378"/>
      <c r="AQ34" s="378"/>
      <c r="AR34" s="378"/>
      <c r="AS34" s="378"/>
      <c r="AT34" s="378"/>
      <c r="AU34" s="378"/>
      <c r="AV34" s="378"/>
      <c r="AW34" s="378"/>
      <c r="AX34" s="378"/>
      <c r="AY34" s="378"/>
      <c r="AZ34" s="383"/>
      <c r="BA34" s="383"/>
      <c r="BB34" s="383"/>
      <c r="BC34" s="383"/>
      <c r="BD34" s="378"/>
      <c r="BE34" s="378"/>
      <c r="BF34" s="383"/>
      <c r="BG34" s="383"/>
      <c r="BH34" s="383"/>
      <c r="BI34" s="383"/>
      <c r="BJ34" s="383"/>
      <c r="BK34" s="378"/>
      <c r="BL34" s="378"/>
      <c r="BM34" s="378"/>
      <c r="BN34" s="378"/>
      <c r="BO34" s="378"/>
      <c r="BP34" s="378"/>
      <c r="BQ34" s="378"/>
      <c r="BR34" s="378"/>
      <c r="BS34" s="378"/>
      <c r="BT34" s="378"/>
      <c r="BU34" s="378"/>
      <c r="BV34" s="378"/>
      <c r="BW34" s="378"/>
      <c r="BX34" s="378"/>
      <c r="BY34" s="378"/>
      <c r="BZ34" s="378"/>
      <c r="CA34" s="379"/>
      <c r="CB34" s="378"/>
      <c r="CC34" s="384"/>
      <c r="CD34" s="378"/>
      <c r="CE34" s="378"/>
      <c r="CF34" s="378"/>
      <c r="CG34" s="378"/>
      <c r="CH34" s="378"/>
      <c r="CI34" s="378"/>
      <c r="CJ34" s="378"/>
      <c r="CK34" s="378"/>
      <c r="CL34" s="378"/>
      <c r="CM34" s="378"/>
      <c r="CN34" s="378"/>
      <c r="CO34" s="378"/>
      <c r="CP34" s="378"/>
      <c r="CQ34" s="378"/>
      <c r="CR34" s="378"/>
      <c r="CS34" s="378"/>
      <c r="CT34" s="378"/>
      <c r="CU34" s="378"/>
      <c r="CV34" s="379"/>
      <c r="CW34" s="379"/>
      <c r="CX34" s="379"/>
      <c r="CY34" s="379"/>
      <c r="CZ34" s="378"/>
      <c r="DA34" s="378"/>
      <c r="DB34" s="379"/>
      <c r="DC34" s="379"/>
      <c r="DD34" s="379"/>
      <c r="DE34" s="379"/>
      <c r="DF34" s="378"/>
      <c r="DG34" s="378"/>
      <c r="DH34" s="390"/>
      <c r="DI34" s="390"/>
      <c r="DJ34" s="390"/>
      <c r="DK34" s="390"/>
      <c r="DL34" s="390"/>
      <c r="DM34" s="378"/>
      <c r="DN34" s="390"/>
      <c r="DO34" s="390"/>
      <c r="DP34" s="390"/>
      <c r="DQ34" s="390"/>
      <c r="DR34" s="390"/>
      <c r="DS34" s="378"/>
      <c r="DT34" s="390"/>
      <c r="DU34" s="390"/>
      <c r="DV34" s="390"/>
      <c r="DW34" s="390"/>
      <c r="DX34" s="390"/>
      <c r="DZ34" s="390"/>
      <c r="EA34" s="390"/>
      <c r="EB34" s="390"/>
      <c r="EC34" s="390"/>
      <c r="ED34" s="561">
        <v>0.22</v>
      </c>
      <c r="EE34" s="386"/>
      <c r="EF34" s="390"/>
      <c r="EG34" s="390"/>
      <c r="EH34" s="390"/>
      <c r="EI34" s="390"/>
      <c r="EJ34" s="390"/>
      <c r="EK34" s="386"/>
      <c r="EL34" s="390">
        <f>EL33/EF33-1</f>
        <v>0.40753659107024998</v>
      </c>
      <c r="EM34" s="390">
        <f>EM33/EG33-1</f>
        <v>0.3990363042552183</v>
      </c>
      <c r="EN34" s="390">
        <f>EN33/EH33-1</f>
        <v>0.48756392969953399</v>
      </c>
      <c r="EO34" s="390">
        <f>EO33/EI33-1</f>
        <v>0.42100945852586857</v>
      </c>
      <c r="EP34" s="390">
        <f>EP33/EJ33-1</f>
        <v>0.42992525802779302</v>
      </c>
      <c r="ER34" s="390">
        <f>ER33/EL33-1</f>
        <v>0.50219607439400704</v>
      </c>
      <c r="ES34" s="390">
        <f>ES33/EM33-1</f>
        <v>0.43504985546786212</v>
      </c>
      <c r="ET34" s="390">
        <f>ET33/EN33-1</f>
        <v>0.27479647977401833</v>
      </c>
      <c r="EU34" s="390">
        <f>EU33/EO33-1</f>
        <v>0.23857775288421634</v>
      </c>
      <c r="EV34" s="390">
        <f>EV33/EP33-1</f>
        <v>0.35222088326271028</v>
      </c>
      <c r="EX34" s="390">
        <f>EX33/ER33-1</f>
        <v>0.17879992951238832</v>
      </c>
      <c r="EY34" s="390">
        <f>EY33/ES33-1</f>
        <v>0.22020921064729659</v>
      </c>
      <c r="EZ34" s="390">
        <f>EZ33/ET33-1</f>
        <v>0.24436912787475595</v>
      </c>
      <c r="FA34" s="390">
        <f>FA33/EU33-1</f>
        <v>0.22727806587430588</v>
      </c>
      <c r="FB34" s="390">
        <f>FB33/EV33-1</f>
        <v>0.21824864246177955</v>
      </c>
      <c r="FD34" s="566">
        <v>0.25</v>
      </c>
      <c r="FE34" s="561">
        <v>0.25</v>
      </c>
      <c r="FF34" s="561">
        <v>0.25</v>
      </c>
      <c r="FG34" s="561">
        <v>0.25</v>
      </c>
      <c r="FH34" s="390">
        <f>FH33/FB33-1</f>
        <v>0.25000000000000022</v>
      </c>
      <c r="FJ34" s="561">
        <v>0.3</v>
      </c>
      <c r="FK34" s="561">
        <v>0.3</v>
      </c>
      <c r="FL34" s="561">
        <v>0.3</v>
      </c>
      <c r="FM34" s="561">
        <v>0.3</v>
      </c>
      <c r="FN34" s="390">
        <f>FN33/FH33-1</f>
        <v>0.29999999999999982</v>
      </c>
      <c r="FP34" s="561">
        <v>0.3</v>
      </c>
      <c r="FQ34" s="561">
        <v>0.3</v>
      </c>
      <c r="FR34" s="561">
        <v>0.3</v>
      </c>
      <c r="FS34" s="561">
        <v>0.3</v>
      </c>
      <c r="FT34" s="390">
        <f>FT33/FN33-1</f>
        <v>0.30000000000000004</v>
      </c>
    </row>
    <row r="35" spans="2:176" s="381" customFormat="1">
      <c r="B35" s="377"/>
      <c r="C35" s="374" t="s">
        <v>641</v>
      </c>
      <c r="D35" s="378"/>
      <c r="E35" s="378"/>
      <c r="F35" s="378"/>
      <c r="G35" s="378"/>
      <c r="H35" s="378"/>
      <c r="I35" s="378"/>
      <c r="J35" s="378"/>
      <c r="K35" s="378"/>
      <c r="L35" s="378"/>
      <c r="M35" s="378"/>
      <c r="N35" s="378"/>
      <c r="O35" s="378"/>
      <c r="P35" s="378"/>
      <c r="Q35" s="378"/>
      <c r="R35" s="378"/>
      <c r="S35" s="378"/>
      <c r="T35" s="378"/>
      <c r="U35" s="378"/>
      <c r="V35" s="378"/>
      <c r="W35" s="378"/>
      <c r="X35" s="378"/>
      <c r="Y35" s="378"/>
      <c r="Z35" s="378"/>
      <c r="AA35" s="378"/>
      <c r="AB35" s="378"/>
      <c r="AC35" s="378"/>
      <c r="AD35" s="378"/>
      <c r="AE35" s="378"/>
      <c r="AF35" s="378"/>
      <c r="AG35" s="378"/>
      <c r="AH35" s="378"/>
      <c r="AI35" s="378"/>
      <c r="AJ35" s="378"/>
      <c r="AK35" s="378"/>
      <c r="AL35" s="378"/>
      <c r="AM35" s="378"/>
      <c r="AN35" s="378"/>
      <c r="AO35" s="378"/>
      <c r="AP35" s="378"/>
      <c r="AQ35" s="378"/>
      <c r="AR35" s="378"/>
      <c r="AS35" s="378"/>
      <c r="AT35" s="378"/>
      <c r="AU35" s="378"/>
      <c r="AV35" s="378"/>
      <c r="AW35" s="378"/>
      <c r="AX35" s="378"/>
      <c r="AY35" s="378"/>
      <c r="AZ35" s="869"/>
      <c r="BA35" s="869"/>
      <c r="BB35" s="869"/>
      <c r="BC35" s="869"/>
      <c r="BD35" s="378"/>
      <c r="BE35" s="378"/>
      <c r="BF35" s="869"/>
      <c r="BG35" s="869"/>
      <c r="BH35" s="869"/>
      <c r="BI35" s="869"/>
      <c r="BJ35" s="869"/>
      <c r="BK35" s="378"/>
      <c r="BL35" s="378"/>
      <c r="BM35" s="378"/>
      <c r="BN35" s="378"/>
      <c r="BO35" s="378"/>
      <c r="BP35" s="378"/>
      <c r="BQ35" s="378"/>
      <c r="BR35" s="378"/>
      <c r="BS35" s="378"/>
      <c r="BT35" s="378"/>
      <c r="BU35" s="378"/>
      <c r="BV35" s="378"/>
      <c r="BW35" s="378"/>
      <c r="BX35" s="378"/>
      <c r="BY35" s="378"/>
      <c r="BZ35" s="378"/>
      <c r="CA35" s="378"/>
      <c r="CB35" s="378"/>
      <c r="CC35" s="384"/>
      <c r="CD35" s="378"/>
      <c r="CE35" s="378"/>
      <c r="CF35" s="378"/>
      <c r="CG35" s="378"/>
      <c r="CH35" s="378"/>
      <c r="CI35" s="378"/>
      <c r="CJ35" s="378"/>
      <c r="CK35" s="378"/>
      <c r="CL35" s="378"/>
      <c r="CM35" s="378"/>
      <c r="CN35" s="378"/>
      <c r="CO35" s="378"/>
      <c r="CP35" s="378"/>
      <c r="CQ35" s="378"/>
      <c r="CR35" s="378"/>
      <c r="CS35" s="378"/>
      <c r="CT35" s="378"/>
      <c r="CU35" s="378"/>
      <c r="CV35" s="378"/>
      <c r="CW35" s="378"/>
      <c r="CX35" s="378"/>
      <c r="CY35" s="378"/>
      <c r="CZ35" s="378"/>
      <c r="DA35" s="378"/>
      <c r="DB35" s="378"/>
      <c r="DC35" s="378"/>
      <c r="DD35" s="378"/>
      <c r="DE35" s="378"/>
      <c r="DF35" s="378"/>
      <c r="DG35" s="378"/>
      <c r="DH35" s="679"/>
      <c r="DI35" s="679"/>
      <c r="DJ35" s="679"/>
      <c r="DK35" s="679"/>
      <c r="DL35" s="679"/>
      <c r="DM35" s="378"/>
      <c r="DN35" s="679"/>
      <c r="DO35" s="679"/>
      <c r="DP35" s="679"/>
      <c r="DQ35" s="679"/>
      <c r="DR35" s="679"/>
      <c r="DS35" s="378"/>
      <c r="DT35" s="679"/>
      <c r="DU35" s="679"/>
      <c r="DV35" s="679"/>
      <c r="DW35" s="679"/>
      <c r="DX35" s="679"/>
      <c r="DZ35" s="679"/>
      <c r="EA35" s="679"/>
      <c r="EB35" s="679"/>
      <c r="EC35" s="679"/>
      <c r="ED35" s="679"/>
      <c r="EE35" s="386"/>
      <c r="EF35" s="679">
        <v>0.19</v>
      </c>
      <c r="EG35" s="679">
        <v>0.2</v>
      </c>
      <c r="EH35" s="679">
        <v>0.21</v>
      </c>
      <c r="EI35" s="679">
        <v>0.22</v>
      </c>
      <c r="EJ35" s="679">
        <f>EJ33/EJ10</f>
        <v>0.20534211016491785</v>
      </c>
      <c r="EK35" s="386"/>
      <c r="EL35" s="679">
        <v>0.23</v>
      </c>
      <c r="EM35" s="679">
        <v>0.24</v>
      </c>
      <c r="EN35" s="679">
        <v>0.26</v>
      </c>
      <c r="EO35" s="679">
        <v>0.26</v>
      </c>
      <c r="EP35" s="679">
        <f>EP33/EP10</f>
        <v>0.24807756095198902</v>
      </c>
      <c r="ER35" s="679">
        <v>0.29499999999999998</v>
      </c>
      <c r="ES35" s="679">
        <v>0.3</v>
      </c>
      <c r="ET35" s="679">
        <v>0.28999999999999998</v>
      </c>
      <c r="EU35" s="679">
        <v>0.28000000000000003</v>
      </c>
      <c r="EV35" s="679">
        <f>EV33/EV10</f>
        <v>0.2910340650566654</v>
      </c>
      <c r="EX35" s="679">
        <v>0.3125</v>
      </c>
      <c r="EY35" s="679">
        <v>0.32450000000000001</v>
      </c>
      <c r="EZ35" s="679">
        <v>0.315</v>
      </c>
      <c r="FA35" s="679">
        <v>0.30249999999999999</v>
      </c>
      <c r="FB35" s="679">
        <f>FB33/FB10</f>
        <v>0.31347853119696051</v>
      </c>
      <c r="FD35" s="730">
        <f>FD33/FD10</f>
        <v>0.35610100733852956</v>
      </c>
      <c r="FE35" s="679">
        <f>FE33/FE10</f>
        <v>0.36874999999999991</v>
      </c>
      <c r="FF35" s="679">
        <f>FF33/FF10</f>
        <v>0.35743464052287577</v>
      </c>
      <c r="FG35" s="679">
        <f>FG33/FG10</f>
        <v>0.33973495058400716</v>
      </c>
      <c r="FH35" s="679">
        <f>FH33/FH10</f>
        <v>0.35521625949574159</v>
      </c>
      <c r="FJ35" s="679">
        <f>FJ33/FJ10</f>
        <v>0.42004474143915105</v>
      </c>
      <c r="FK35" s="679">
        <f>FK33/FK10</f>
        <v>0.43496506669086277</v>
      </c>
      <c r="FL35" s="679">
        <f>FL33/FL10</f>
        <v>0.42161785017669773</v>
      </c>
      <c r="FM35" s="679">
        <f>FM33/FM10</f>
        <v>0.40073989271319232</v>
      </c>
      <c r="FN35" s="679">
        <f>FN33/FN10</f>
        <v>0.41900112271523826</v>
      </c>
      <c r="FP35" s="679">
        <f>FP33/FP10</f>
        <v>0.49547061416468224</v>
      </c>
      <c r="FQ35" s="679">
        <f>FQ33/FQ10</f>
        <v>0.51307012675630304</v>
      </c>
      <c r="FR35" s="679">
        <f>FR33/FR10</f>
        <v>0.49732620019027951</v>
      </c>
      <c r="FS35" s="679">
        <f>FS33/FS10</f>
        <v>0.47269926551778413</v>
      </c>
      <c r="FT35" s="679">
        <f>FT33/FT10</f>
        <v>0.49423959670611528</v>
      </c>
    </row>
    <row r="36" spans="2:176" s="381" customFormat="1">
      <c r="B36" s="377"/>
      <c r="C36" s="374"/>
      <c r="D36" s="378"/>
      <c r="E36" s="378"/>
      <c r="F36" s="378"/>
      <c r="G36" s="378"/>
      <c r="H36" s="378"/>
      <c r="I36" s="378"/>
      <c r="J36" s="378"/>
      <c r="K36" s="378"/>
      <c r="L36" s="378"/>
      <c r="M36" s="378"/>
      <c r="N36" s="378"/>
      <c r="O36" s="378"/>
      <c r="P36" s="378"/>
      <c r="Q36" s="378"/>
      <c r="R36" s="378"/>
      <c r="S36" s="378"/>
      <c r="T36" s="378"/>
      <c r="U36" s="378"/>
      <c r="V36" s="378"/>
      <c r="W36" s="378"/>
      <c r="X36" s="378"/>
      <c r="Y36" s="378"/>
      <c r="Z36" s="378"/>
      <c r="AA36" s="378"/>
      <c r="AB36" s="378"/>
      <c r="AC36" s="378"/>
      <c r="AD36" s="378"/>
      <c r="AE36" s="378"/>
      <c r="AF36" s="378"/>
      <c r="AG36" s="378"/>
      <c r="AH36" s="378"/>
      <c r="AI36" s="378"/>
      <c r="AJ36" s="378"/>
      <c r="AK36" s="378"/>
      <c r="AL36" s="378"/>
      <c r="AM36" s="378"/>
      <c r="AN36" s="378"/>
      <c r="AO36" s="378"/>
      <c r="AP36" s="378"/>
      <c r="AQ36" s="378"/>
      <c r="AR36" s="378"/>
      <c r="AS36" s="378"/>
      <c r="AT36" s="378"/>
      <c r="AU36" s="378"/>
      <c r="AV36" s="378"/>
      <c r="AW36" s="378"/>
      <c r="AX36" s="378"/>
      <c r="AY36" s="378"/>
      <c r="AZ36" s="869"/>
      <c r="BA36" s="869"/>
      <c r="BB36" s="869"/>
      <c r="BC36" s="869"/>
      <c r="BD36" s="378"/>
      <c r="BE36" s="378"/>
      <c r="BF36" s="869"/>
      <c r="BG36" s="869"/>
      <c r="BH36" s="869"/>
      <c r="BI36" s="869"/>
      <c r="BJ36" s="869"/>
      <c r="BK36" s="378"/>
      <c r="BL36" s="378"/>
      <c r="BM36" s="378"/>
      <c r="BN36" s="378"/>
      <c r="BO36" s="378"/>
      <c r="BP36" s="378"/>
      <c r="BQ36" s="378"/>
      <c r="BR36" s="378"/>
      <c r="BS36" s="378"/>
      <c r="BT36" s="378"/>
      <c r="BU36" s="378"/>
      <c r="BV36" s="378"/>
      <c r="BW36" s="378"/>
      <c r="BX36" s="378"/>
      <c r="BY36" s="378"/>
      <c r="BZ36" s="378"/>
      <c r="CA36" s="378"/>
      <c r="CB36" s="378"/>
      <c r="CC36" s="384"/>
      <c r="CD36" s="378"/>
      <c r="CE36" s="378"/>
      <c r="CF36" s="378"/>
      <c r="CG36" s="378"/>
      <c r="CH36" s="378"/>
      <c r="CI36" s="378"/>
      <c r="CJ36" s="378"/>
      <c r="CK36" s="378"/>
      <c r="CL36" s="378"/>
      <c r="CM36" s="378"/>
      <c r="CN36" s="378"/>
      <c r="CO36" s="378"/>
      <c r="CP36" s="378"/>
      <c r="CQ36" s="378"/>
      <c r="CR36" s="378"/>
      <c r="CS36" s="378"/>
      <c r="CT36" s="378"/>
      <c r="CU36" s="378"/>
      <c r="CV36" s="378"/>
      <c r="CW36" s="378"/>
      <c r="CX36" s="378"/>
      <c r="CY36" s="378"/>
      <c r="CZ36" s="378"/>
      <c r="DA36" s="378"/>
      <c r="DB36" s="378"/>
      <c r="DC36" s="378"/>
      <c r="DD36" s="378"/>
      <c r="DE36" s="378"/>
      <c r="DF36" s="378"/>
      <c r="DG36" s="378"/>
      <c r="DH36" s="679"/>
      <c r="DI36" s="679"/>
      <c r="DJ36" s="679"/>
      <c r="DK36" s="679"/>
      <c r="DL36" s="679"/>
      <c r="DM36" s="378"/>
      <c r="DN36" s="679"/>
      <c r="DO36" s="679"/>
      <c r="DP36" s="679"/>
      <c r="DQ36" s="679"/>
      <c r="DR36" s="679"/>
      <c r="DS36" s="378"/>
      <c r="DT36" s="679"/>
      <c r="DU36" s="679"/>
      <c r="DV36" s="679"/>
      <c r="DW36" s="679"/>
      <c r="DX36" s="679"/>
      <c r="DZ36" s="679"/>
      <c r="EA36" s="679"/>
      <c r="EB36" s="679"/>
      <c r="EC36" s="679"/>
      <c r="ED36" s="679"/>
      <c r="EE36" s="386"/>
      <c r="EF36" s="679"/>
      <c r="EG36" s="679"/>
      <c r="EH36" s="679"/>
      <c r="EI36" s="679"/>
      <c r="EJ36" s="679"/>
      <c r="EK36" s="386"/>
      <c r="EL36" s="679"/>
      <c r="EM36" s="679"/>
      <c r="EN36" s="679"/>
      <c r="EO36" s="679"/>
      <c r="EP36" s="679"/>
      <c r="ER36" s="679"/>
      <c r="ES36" s="679"/>
      <c r="ET36" s="679"/>
      <c r="EU36" s="679"/>
      <c r="EV36" s="679"/>
      <c r="EX36" s="679"/>
      <c r="EY36" s="679"/>
      <c r="EZ36" s="679"/>
      <c r="FA36" s="880"/>
      <c r="FB36" s="679"/>
      <c r="FD36" s="879"/>
      <c r="FE36" s="880"/>
      <c r="FF36" s="880"/>
      <c r="FG36" s="880"/>
      <c r="FH36" s="679"/>
      <c r="FJ36" s="880"/>
      <c r="FK36" s="880"/>
      <c r="FL36" s="880"/>
      <c r="FM36" s="880"/>
      <c r="FN36" s="679"/>
    </row>
    <row r="37" spans="2:176" s="381" customFormat="1">
      <c r="B37" s="377"/>
      <c r="C37" s="893" t="s">
        <v>725</v>
      </c>
      <c r="D37" s="378"/>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8"/>
      <c r="AG37" s="378"/>
      <c r="AH37" s="378"/>
      <c r="AI37" s="378"/>
      <c r="AJ37" s="378"/>
      <c r="AK37" s="378"/>
      <c r="AL37" s="378"/>
      <c r="AM37" s="378"/>
      <c r="AN37" s="378"/>
      <c r="AO37" s="378"/>
      <c r="AP37" s="378"/>
      <c r="AQ37" s="378"/>
      <c r="AR37" s="378"/>
      <c r="AS37" s="378"/>
      <c r="AT37" s="378"/>
      <c r="AU37" s="378"/>
      <c r="AV37" s="378"/>
      <c r="AW37" s="378"/>
      <c r="AX37" s="378"/>
      <c r="AY37" s="378"/>
      <c r="AZ37" s="869"/>
      <c r="BA37" s="869"/>
      <c r="BB37" s="869"/>
      <c r="BC37" s="869"/>
      <c r="BD37" s="378"/>
      <c r="BE37" s="378"/>
      <c r="BF37" s="869"/>
      <c r="BG37" s="869"/>
      <c r="BH37" s="869"/>
      <c r="BI37" s="869"/>
      <c r="BJ37" s="869"/>
      <c r="BK37" s="378"/>
      <c r="BL37" s="378"/>
      <c r="BM37" s="378"/>
      <c r="BN37" s="378"/>
      <c r="BO37" s="378"/>
      <c r="BP37" s="378"/>
      <c r="BQ37" s="378"/>
      <c r="BR37" s="378"/>
      <c r="BS37" s="378"/>
      <c r="BT37" s="378"/>
      <c r="BU37" s="378"/>
      <c r="BV37" s="378"/>
      <c r="BW37" s="378"/>
      <c r="BX37" s="378"/>
      <c r="BY37" s="378"/>
      <c r="BZ37" s="378"/>
      <c r="CA37" s="378"/>
      <c r="CB37" s="378"/>
      <c r="CC37" s="384"/>
      <c r="CD37" s="378"/>
      <c r="CE37" s="378"/>
      <c r="CF37" s="378"/>
      <c r="CG37" s="378"/>
      <c r="CH37" s="378"/>
      <c r="CI37" s="378"/>
      <c r="CJ37" s="378"/>
      <c r="CK37" s="378"/>
      <c r="CL37" s="378"/>
      <c r="CM37" s="378"/>
      <c r="CN37" s="378"/>
      <c r="CO37" s="378"/>
      <c r="CP37" s="378"/>
      <c r="CQ37" s="378"/>
      <c r="CR37" s="378"/>
      <c r="CS37" s="378"/>
      <c r="CT37" s="378"/>
      <c r="CU37" s="378"/>
      <c r="CV37" s="378"/>
      <c r="CW37" s="378"/>
      <c r="CX37" s="378"/>
      <c r="CY37" s="378"/>
      <c r="CZ37" s="378"/>
      <c r="DA37" s="378"/>
      <c r="DB37" s="378"/>
      <c r="DC37" s="378"/>
      <c r="DD37" s="378"/>
      <c r="DE37" s="378"/>
      <c r="DF37" s="378"/>
      <c r="DG37" s="378"/>
      <c r="DH37" s="679"/>
      <c r="DI37" s="679"/>
      <c r="DJ37" s="679"/>
      <c r="DK37" s="679"/>
      <c r="DL37" s="679"/>
      <c r="DM37" s="378"/>
      <c r="DN37" s="679"/>
      <c r="DO37" s="679"/>
      <c r="DP37" s="679"/>
      <c r="DQ37" s="679"/>
      <c r="DR37" s="679"/>
      <c r="DS37" s="378"/>
      <c r="DT37" s="679"/>
      <c r="DU37" s="679"/>
      <c r="DV37" s="679"/>
      <c r="DW37" s="679"/>
      <c r="DX37" s="679"/>
      <c r="DZ37" s="679"/>
      <c r="EA37" s="679"/>
      <c r="EB37" s="679"/>
      <c r="EC37" s="679"/>
      <c r="ED37" s="679"/>
      <c r="EE37" s="386"/>
      <c r="EF37" s="679"/>
      <c r="EG37" s="679"/>
      <c r="EH37" s="679"/>
      <c r="EI37" s="679"/>
      <c r="EJ37" s="679"/>
      <c r="EK37" s="386"/>
      <c r="EL37" s="679"/>
      <c r="EM37" s="679"/>
      <c r="EN37" s="679"/>
      <c r="EO37" s="679"/>
      <c r="EP37" s="17">
        <f>EJ33*0.2</f>
        <v>17.197566000000002</v>
      </c>
      <c r="ER37" s="679"/>
      <c r="ES37" s="679"/>
      <c r="ET37" s="679"/>
      <c r="EU37" s="679"/>
      <c r="EV37" s="17">
        <f>(EP33*0.15)+EP37</f>
        <v>35.640991499999998</v>
      </c>
      <c r="EX37" s="679"/>
      <c r="EY37" s="679"/>
      <c r="EZ37" s="679"/>
      <c r="FA37" s="880"/>
      <c r="FB37" s="17">
        <f>(EV33*0.15)+EV37</f>
        <v>60.580576619999995</v>
      </c>
      <c r="FD37" s="879"/>
      <c r="FE37" s="880"/>
      <c r="FF37" s="880"/>
      <c r="FG37" s="880"/>
      <c r="FH37" s="679"/>
      <c r="FJ37" s="880"/>
      <c r="FK37" s="880"/>
      <c r="FL37" s="880"/>
      <c r="FM37" s="880"/>
      <c r="FN37" s="679"/>
    </row>
    <row r="38" spans="2:176" s="381" customFormat="1">
      <c r="B38" s="377"/>
      <c r="C38" s="374" t="s">
        <v>125</v>
      </c>
      <c r="D38" s="378"/>
      <c r="E38" s="378"/>
      <c r="F38" s="378"/>
      <c r="G38" s="378"/>
      <c r="H38" s="378"/>
      <c r="I38" s="378"/>
      <c r="J38" s="378"/>
      <c r="K38" s="378"/>
      <c r="L38" s="378"/>
      <c r="M38" s="378"/>
      <c r="N38" s="378"/>
      <c r="O38" s="378"/>
      <c r="P38" s="378"/>
      <c r="Q38" s="378"/>
      <c r="R38" s="378"/>
      <c r="S38" s="378"/>
      <c r="T38" s="378"/>
      <c r="U38" s="378"/>
      <c r="V38" s="378"/>
      <c r="W38" s="378"/>
      <c r="X38" s="378"/>
      <c r="Y38" s="378"/>
      <c r="Z38" s="378"/>
      <c r="AA38" s="378"/>
      <c r="AB38" s="378"/>
      <c r="AC38" s="378"/>
      <c r="AD38" s="378"/>
      <c r="AE38" s="378"/>
      <c r="AF38" s="378"/>
      <c r="AG38" s="378"/>
      <c r="AH38" s="378"/>
      <c r="AI38" s="378"/>
      <c r="AJ38" s="378"/>
      <c r="AK38" s="378"/>
      <c r="AL38" s="378"/>
      <c r="AM38" s="378"/>
      <c r="AN38" s="378"/>
      <c r="AO38" s="378"/>
      <c r="AP38" s="378"/>
      <c r="AQ38" s="378"/>
      <c r="AR38" s="378"/>
      <c r="AS38" s="378"/>
      <c r="AT38" s="378"/>
      <c r="AU38" s="378"/>
      <c r="AV38" s="378"/>
      <c r="AW38" s="378"/>
      <c r="AX38" s="378"/>
      <c r="AY38" s="378"/>
      <c r="AZ38" s="869"/>
      <c r="BA38" s="869"/>
      <c r="BB38" s="869"/>
      <c r="BC38" s="869"/>
      <c r="BD38" s="378"/>
      <c r="BE38" s="378"/>
      <c r="BF38" s="869"/>
      <c r="BG38" s="869"/>
      <c r="BH38" s="869"/>
      <c r="BI38" s="869"/>
      <c r="BJ38" s="869"/>
      <c r="BK38" s="378"/>
      <c r="BL38" s="378"/>
      <c r="BM38" s="378"/>
      <c r="BN38" s="378"/>
      <c r="BO38" s="378"/>
      <c r="BP38" s="378"/>
      <c r="BQ38" s="378"/>
      <c r="BR38" s="378"/>
      <c r="BS38" s="378"/>
      <c r="BT38" s="378"/>
      <c r="BU38" s="378"/>
      <c r="BV38" s="378"/>
      <c r="BW38" s="378"/>
      <c r="BX38" s="378"/>
      <c r="BY38" s="378"/>
      <c r="BZ38" s="378"/>
      <c r="CA38" s="378"/>
      <c r="CB38" s="378"/>
      <c r="CC38" s="384"/>
      <c r="CD38" s="378"/>
      <c r="CE38" s="378"/>
      <c r="CF38" s="378"/>
      <c r="CG38" s="378"/>
      <c r="CH38" s="378"/>
      <c r="CI38" s="378"/>
      <c r="CJ38" s="378"/>
      <c r="CK38" s="378"/>
      <c r="CL38" s="378"/>
      <c r="CM38" s="378"/>
      <c r="CN38" s="378"/>
      <c r="CO38" s="378"/>
      <c r="CP38" s="378"/>
      <c r="CQ38" s="378"/>
      <c r="CR38" s="378"/>
      <c r="CS38" s="378"/>
      <c r="CT38" s="378"/>
      <c r="CU38" s="378"/>
      <c r="CV38" s="378"/>
      <c r="CW38" s="378"/>
      <c r="CX38" s="378"/>
      <c r="CY38" s="378"/>
      <c r="CZ38" s="378"/>
      <c r="DA38" s="378"/>
      <c r="DB38" s="378"/>
      <c r="DC38" s="378"/>
      <c r="DD38" s="378"/>
      <c r="DE38" s="378"/>
      <c r="DF38" s="378"/>
      <c r="DG38" s="378"/>
      <c r="DH38" s="679"/>
      <c r="DI38" s="679"/>
      <c r="DJ38" s="679"/>
      <c r="DK38" s="679"/>
      <c r="DL38" s="679"/>
      <c r="DM38" s="378"/>
      <c r="DN38" s="679"/>
      <c r="DO38" s="679"/>
      <c r="DP38" s="679"/>
      <c r="DQ38" s="679"/>
      <c r="DR38" s="679"/>
      <c r="DS38" s="378"/>
      <c r="DT38" s="679"/>
      <c r="DU38" s="679"/>
      <c r="DV38" s="679"/>
      <c r="DW38" s="679"/>
      <c r="DX38" s="679"/>
      <c r="DZ38" s="679"/>
      <c r="EA38" s="679"/>
      <c r="EB38" s="679"/>
      <c r="EC38" s="679"/>
      <c r="ED38" s="679"/>
      <c r="EE38" s="386"/>
      <c r="EF38" s="679"/>
      <c r="EG38" s="679"/>
      <c r="EH38" s="679"/>
      <c r="EI38" s="679"/>
      <c r="EJ38" s="679"/>
      <c r="EK38" s="386"/>
      <c r="EL38" s="679"/>
      <c r="EM38" s="679"/>
      <c r="EN38" s="679"/>
      <c r="EO38" s="679"/>
      <c r="EP38" s="679"/>
      <c r="ER38" s="679"/>
      <c r="ES38" s="679"/>
      <c r="ET38" s="679"/>
      <c r="EU38" s="679"/>
      <c r="EV38" s="159">
        <f>EV37/EP37-1</f>
        <v>1.0724439435208444</v>
      </c>
      <c r="EX38" s="679"/>
      <c r="EY38" s="679"/>
      <c r="EZ38" s="679"/>
      <c r="FA38" s="880"/>
      <c r="FB38" s="159">
        <f>FB37/EV37-1</f>
        <v>0.69974442546021764</v>
      </c>
      <c r="FD38" s="879"/>
      <c r="FE38" s="880"/>
      <c r="FF38" s="880"/>
      <c r="FG38" s="880"/>
      <c r="FH38" s="679"/>
      <c r="FJ38" s="880"/>
      <c r="FK38" s="880"/>
      <c r="FL38" s="880"/>
      <c r="FM38" s="880"/>
      <c r="FN38" s="679"/>
    </row>
    <row r="39" spans="2:176" s="381" customFormat="1">
      <c r="B39" s="377"/>
      <c r="C39" s="374"/>
      <c r="D39" s="378"/>
      <c r="E39" s="378"/>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c r="AQ39" s="378"/>
      <c r="AR39" s="378"/>
      <c r="AS39" s="378"/>
      <c r="AT39" s="378"/>
      <c r="AU39" s="378"/>
      <c r="AV39" s="378"/>
      <c r="AW39" s="378"/>
      <c r="AX39" s="378"/>
      <c r="AY39" s="378"/>
      <c r="AZ39" s="869"/>
      <c r="BA39" s="869"/>
      <c r="BB39" s="869"/>
      <c r="BC39" s="869"/>
      <c r="BD39" s="378"/>
      <c r="BE39" s="378"/>
      <c r="BF39" s="869"/>
      <c r="BG39" s="869"/>
      <c r="BH39" s="869"/>
      <c r="BI39" s="869"/>
      <c r="BJ39" s="869"/>
      <c r="BK39" s="378"/>
      <c r="BL39" s="378"/>
      <c r="BM39" s="378"/>
      <c r="BN39" s="378"/>
      <c r="BO39" s="378"/>
      <c r="BP39" s="378"/>
      <c r="BQ39" s="378"/>
      <c r="BR39" s="378"/>
      <c r="BS39" s="378"/>
      <c r="BT39" s="378"/>
      <c r="BU39" s="378"/>
      <c r="BV39" s="378"/>
      <c r="BW39" s="378"/>
      <c r="BX39" s="378"/>
      <c r="BY39" s="378"/>
      <c r="BZ39" s="378"/>
      <c r="CA39" s="378"/>
      <c r="CB39" s="378"/>
      <c r="CC39" s="384"/>
      <c r="CD39" s="378"/>
      <c r="CE39" s="378"/>
      <c r="CF39" s="378"/>
      <c r="CG39" s="378"/>
      <c r="CH39" s="378"/>
      <c r="CI39" s="378"/>
      <c r="CJ39" s="378"/>
      <c r="CK39" s="378"/>
      <c r="CL39" s="378"/>
      <c r="CM39" s="378"/>
      <c r="CN39" s="378"/>
      <c r="CO39" s="378"/>
      <c r="CP39" s="378"/>
      <c r="CQ39" s="378"/>
      <c r="CR39" s="378"/>
      <c r="CS39" s="378"/>
      <c r="CT39" s="378"/>
      <c r="CU39" s="378"/>
      <c r="CV39" s="378"/>
      <c r="CW39" s="378"/>
      <c r="CX39" s="378"/>
      <c r="CY39" s="378"/>
      <c r="CZ39" s="378"/>
      <c r="DA39" s="378"/>
      <c r="DB39" s="378"/>
      <c r="DC39" s="378"/>
      <c r="DD39" s="378"/>
      <c r="DE39" s="378"/>
      <c r="DF39" s="378"/>
      <c r="DG39" s="378"/>
      <c r="DH39" s="679"/>
      <c r="DI39" s="679"/>
      <c r="DJ39" s="679"/>
      <c r="DK39" s="679"/>
      <c r="DL39" s="679"/>
      <c r="DM39" s="378"/>
      <c r="DN39" s="679"/>
      <c r="DO39" s="679"/>
      <c r="DP39" s="679"/>
      <c r="DQ39" s="679"/>
      <c r="DR39" s="679"/>
      <c r="DS39" s="378"/>
      <c r="DT39" s="679"/>
      <c r="DU39" s="679"/>
      <c r="DV39" s="679"/>
      <c r="DW39" s="679"/>
      <c r="DX39" s="679"/>
      <c r="DZ39" s="679"/>
      <c r="EA39" s="679"/>
      <c r="EB39" s="679"/>
      <c r="EC39" s="679"/>
      <c r="ED39" s="679"/>
      <c r="EE39" s="386"/>
      <c r="EF39" s="679"/>
      <c r="EG39" s="679"/>
      <c r="EH39" s="679"/>
      <c r="EI39" s="679"/>
      <c r="EJ39" s="679"/>
      <c r="EK39" s="386"/>
      <c r="EL39" s="679"/>
      <c r="EM39" s="679"/>
      <c r="EN39" s="679"/>
      <c r="EO39" s="679"/>
      <c r="EP39" s="679"/>
      <c r="ER39" s="679"/>
      <c r="ES39" s="679"/>
      <c r="ET39" s="679"/>
      <c r="EU39" s="679"/>
      <c r="EV39" s="17"/>
      <c r="EX39" s="679"/>
      <c r="EY39" s="679"/>
      <c r="EZ39" s="679"/>
      <c r="FA39" s="880"/>
      <c r="FB39" s="679"/>
      <c r="FD39" s="879"/>
      <c r="FE39" s="880"/>
      <c r="FF39" s="880"/>
      <c r="FG39" s="880"/>
      <c r="FH39" s="679"/>
      <c r="FJ39" s="880"/>
      <c r="FK39" s="880"/>
      <c r="FL39" s="880"/>
      <c r="FM39" s="880"/>
      <c r="FN39" s="679"/>
    </row>
    <row r="40" spans="2:176" s="381" customFormat="1">
      <c r="B40" s="377"/>
      <c r="C40" s="893" t="s">
        <v>717</v>
      </c>
      <c r="D40" s="378"/>
      <c r="E40" s="378"/>
      <c r="F40" s="378"/>
      <c r="G40" s="378"/>
      <c r="H40" s="378"/>
      <c r="I40" s="378"/>
      <c r="J40" s="378"/>
      <c r="K40" s="378"/>
      <c r="L40" s="378"/>
      <c r="M40" s="378"/>
      <c r="N40" s="378"/>
      <c r="O40" s="378"/>
      <c r="P40" s="378"/>
      <c r="Q40" s="378"/>
      <c r="R40" s="378"/>
      <c r="S40" s="378"/>
      <c r="T40" s="378"/>
      <c r="U40" s="378"/>
      <c r="V40" s="378"/>
      <c r="W40" s="378"/>
      <c r="X40" s="378"/>
      <c r="Y40" s="378"/>
      <c r="Z40" s="378"/>
      <c r="AA40" s="378"/>
      <c r="AB40" s="378"/>
      <c r="AC40" s="378"/>
      <c r="AD40" s="378"/>
      <c r="AE40" s="378"/>
      <c r="AF40" s="378"/>
      <c r="AG40" s="378"/>
      <c r="AH40" s="378"/>
      <c r="AI40" s="378"/>
      <c r="AJ40" s="378"/>
      <c r="AK40" s="378"/>
      <c r="AL40" s="378"/>
      <c r="AM40" s="378"/>
      <c r="AN40" s="378"/>
      <c r="AO40" s="378"/>
      <c r="AP40" s="378"/>
      <c r="AQ40" s="378"/>
      <c r="AR40" s="378"/>
      <c r="AS40" s="378"/>
      <c r="AT40" s="378"/>
      <c r="AU40" s="378"/>
      <c r="AV40" s="378"/>
      <c r="AW40" s="378"/>
      <c r="AX40" s="378"/>
      <c r="AY40" s="378"/>
      <c r="AZ40" s="869"/>
      <c r="BA40" s="869"/>
      <c r="BB40" s="869"/>
      <c r="BC40" s="869"/>
      <c r="BD40" s="378"/>
      <c r="BE40" s="378"/>
      <c r="BF40" s="869"/>
      <c r="BG40" s="869"/>
      <c r="BH40" s="869"/>
      <c r="BI40" s="869"/>
      <c r="BJ40" s="869"/>
      <c r="BK40" s="378"/>
      <c r="BL40" s="378"/>
      <c r="BM40" s="378"/>
      <c r="BN40" s="378"/>
      <c r="BO40" s="378"/>
      <c r="BP40" s="378"/>
      <c r="BQ40" s="378"/>
      <c r="BR40" s="378"/>
      <c r="BS40" s="378"/>
      <c r="BT40" s="378"/>
      <c r="BU40" s="378"/>
      <c r="BV40" s="378"/>
      <c r="BW40" s="378"/>
      <c r="BX40" s="378"/>
      <c r="BY40" s="378"/>
      <c r="BZ40" s="378"/>
      <c r="CA40" s="378"/>
      <c r="CB40" s="378"/>
      <c r="CC40" s="384"/>
      <c r="CD40" s="378"/>
      <c r="CE40" s="378"/>
      <c r="CF40" s="378"/>
      <c r="CG40" s="378"/>
      <c r="CH40" s="378"/>
      <c r="CI40" s="378"/>
      <c r="CJ40" s="378"/>
      <c r="CK40" s="378"/>
      <c r="CL40" s="378"/>
      <c r="CM40" s="378"/>
      <c r="CN40" s="378"/>
      <c r="CO40" s="378"/>
      <c r="CP40" s="378"/>
      <c r="CQ40" s="378"/>
      <c r="CR40" s="378"/>
      <c r="CS40" s="378"/>
      <c r="CT40" s="378"/>
      <c r="CU40" s="378"/>
      <c r="CV40" s="378"/>
      <c r="CW40" s="378"/>
      <c r="CX40" s="378"/>
      <c r="CY40" s="378"/>
      <c r="CZ40" s="378"/>
      <c r="DA40" s="378"/>
      <c r="DB40" s="378"/>
      <c r="DC40" s="378"/>
      <c r="DD40" s="378"/>
      <c r="DE40" s="378"/>
      <c r="DF40" s="378"/>
      <c r="DG40" s="378"/>
      <c r="DH40" s="679"/>
      <c r="DI40" s="679"/>
      <c r="DJ40" s="679"/>
      <c r="DK40" s="679"/>
      <c r="DL40" s="679"/>
      <c r="DM40" s="378"/>
      <c r="DN40" s="679"/>
      <c r="DO40" s="679"/>
      <c r="DP40" s="679"/>
      <c r="DQ40" s="679"/>
      <c r="DR40" s="679"/>
      <c r="DS40" s="378"/>
      <c r="DT40" s="679"/>
      <c r="DU40" s="679"/>
      <c r="DV40" s="679"/>
      <c r="DW40" s="679"/>
      <c r="DX40" s="679"/>
      <c r="DZ40" s="679"/>
      <c r="EA40" s="679"/>
      <c r="EB40" s="679"/>
      <c r="EC40" s="679"/>
      <c r="ED40" s="679"/>
      <c r="EE40" s="386"/>
      <c r="EF40" s="679"/>
      <c r="EG40" s="679"/>
      <c r="EH40" s="679"/>
      <c r="EI40" s="679"/>
      <c r="EJ40" s="679"/>
      <c r="EK40" s="386"/>
      <c r="EL40" s="679"/>
      <c r="EM40" s="679"/>
      <c r="EN40" s="679"/>
      <c r="EO40" s="679"/>
      <c r="ER40" s="679"/>
      <c r="ES40" s="679"/>
      <c r="ET40" s="679"/>
      <c r="EU40" s="679"/>
      <c r="EX40" s="679"/>
      <c r="EY40" s="679"/>
      <c r="EZ40" s="679"/>
      <c r="FA40" s="880"/>
      <c r="FB40" s="679"/>
      <c r="FD40" s="879"/>
      <c r="FE40" s="880"/>
      <c r="FF40" s="880"/>
      <c r="FG40" s="880"/>
      <c r="FH40" s="679"/>
      <c r="FJ40" s="880"/>
      <c r="FK40" s="880"/>
      <c r="FL40" s="880"/>
      <c r="FM40" s="880"/>
      <c r="FN40" s="679"/>
    </row>
    <row r="41" spans="2:176" s="381" customFormat="1">
      <c r="B41" s="377"/>
      <c r="C41" s="374" t="s">
        <v>718</v>
      </c>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c r="AD41" s="378"/>
      <c r="AE41" s="378"/>
      <c r="AF41" s="378"/>
      <c r="AG41" s="378"/>
      <c r="AH41" s="378"/>
      <c r="AI41" s="378"/>
      <c r="AJ41" s="378"/>
      <c r="AK41" s="378"/>
      <c r="AL41" s="378"/>
      <c r="AM41" s="378"/>
      <c r="AN41" s="378"/>
      <c r="AO41" s="378"/>
      <c r="AP41" s="378"/>
      <c r="AQ41" s="378"/>
      <c r="AR41" s="378"/>
      <c r="AS41" s="378"/>
      <c r="AT41" s="378"/>
      <c r="AU41" s="378"/>
      <c r="AV41" s="378"/>
      <c r="AW41" s="378"/>
      <c r="AX41" s="378"/>
      <c r="AY41" s="378"/>
      <c r="AZ41" s="869"/>
      <c r="BA41" s="869"/>
      <c r="BB41" s="869"/>
      <c r="BC41" s="869"/>
      <c r="BD41" s="378"/>
      <c r="BE41" s="378"/>
      <c r="BF41" s="869"/>
      <c r="BG41" s="869"/>
      <c r="BH41" s="869"/>
      <c r="BI41" s="869"/>
      <c r="BJ41" s="869"/>
      <c r="BK41" s="378"/>
      <c r="BL41" s="378"/>
      <c r="BM41" s="378"/>
      <c r="BN41" s="378"/>
      <c r="BO41" s="378"/>
      <c r="BP41" s="378"/>
      <c r="BQ41" s="378"/>
      <c r="BR41" s="378"/>
      <c r="BS41" s="378"/>
      <c r="BT41" s="378"/>
      <c r="BU41" s="378"/>
      <c r="BV41" s="378"/>
      <c r="BW41" s="378"/>
      <c r="BX41" s="378"/>
      <c r="BY41" s="378"/>
      <c r="BZ41" s="378"/>
      <c r="CA41" s="378"/>
      <c r="CB41" s="378"/>
      <c r="CC41" s="384"/>
      <c r="CD41" s="378"/>
      <c r="CE41" s="378"/>
      <c r="CF41" s="378"/>
      <c r="CG41" s="378"/>
      <c r="CH41" s="378"/>
      <c r="CI41" s="378"/>
      <c r="CJ41" s="378"/>
      <c r="CK41" s="378"/>
      <c r="CL41" s="378"/>
      <c r="CM41" s="378"/>
      <c r="CN41" s="378"/>
      <c r="CO41" s="378"/>
      <c r="CP41" s="378"/>
      <c r="CQ41" s="378"/>
      <c r="CR41" s="378"/>
      <c r="CS41" s="378"/>
      <c r="CT41" s="378"/>
      <c r="CU41" s="378"/>
      <c r="CV41" s="378"/>
      <c r="CW41" s="378"/>
      <c r="CX41" s="378"/>
      <c r="CY41" s="378"/>
      <c r="CZ41" s="378"/>
      <c r="DA41" s="378"/>
      <c r="DB41" s="378"/>
      <c r="DC41" s="378"/>
      <c r="DD41" s="378"/>
      <c r="DE41" s="378"/>
      <c r="DF41" s="378"/>
      <c r="DG41" s="378"/>
      <c r="DH41" s="679"/>
      <c r="DI41" s="679"/>
      <c r="DJ41" s="679"/>
      <c r="DK41" s="679"/>
      <c r="DL41" s="679"/>
      <c r="DM41" s="378"/>
      <c r="DN41" s="679"/>
      <c r="DO41" s="679"/>
      <c r="DP41" s="679"/>
      <c r="DQ41" s="679"/>
      <c r="DR41" s="679"/>
      <c r="DS41" s="378"/>
      <c r="DT41" s="679"/>
      <c r="DU41" s="679"/>
      <c r="DV41" s="679"/>
      <c r="DW41" s="679"/>
      <c r="DX41" s="679"/>
      <c r="DZ41" s="679"/>
      <c r="EA41" s="679"/>
      <c r="EB41" s="679"/>
      <c r="EC41" s="679"/>
      <c r="ED41" s="679"/>
      <c r="EE41" s="386"/>
      <c r="EF41" s="679"/>
      <c r="EG41" s="679"/>
      <c r="EH41" s="679"/>
      <c r="EI41" s="679"/>
      <c r="EJ41" s="679"/>
      <c r="EK41" s="386"/>
      <c r="EL41" s="679"/>
      <c r="EM41" s="679"/>
      <c r="EN41" s="679"/>
      <c r="EO41" s="679"/>
      <c r="EP41" s="679"/>
      <c r="ER41" s="679"/>
      <c r="ES41" s="679"/>
      <c r="ET41" s="679"/>
      <c r="EU41" s="679"/>
      <c r="EX41" s="679"/>
      <c r="EY41" s="679"/>
      <c r="EZ41" s="673">
        <v>750</v>
      </c>
      <c r="FA41" s="681">
        <v>1000</v>
      </c>
      <c r="FB41" s="886">
        <f>SUM(EZ41:FA41)</f>
        <v>1750</v>
      </c>
      <c r="FD41" s="682">
        <v>1250</v>
      </c>
      <c r="FE41" s="673">
        <f>FD41+500</f>
        <v>1750</v>
      </c>
      <c r="FF41" s="673">
        <f>FE41+750</f>
        <v>2500</v>
      </c>
      <c r="FG41" s="673">
        <f>FF41+1000</f>
        <v>3500</v>
      </c>
      <c r="FH41" s="886">
        <f>SUM(FD41:FG41)</f>
        <v>9000</v>
      </c>
      <c r="FJ41" s="673">
        <f>FG41+250</f>
        <v>3750</v>
      </c>
      <c r="FK41" s="673">
        <f>FJ41+250</f>
        <v>4000</v>
      </c>
      <c r="FL41" s="673">
        <f>FK41+500</f>
        <v>4500</v>
      </c>
      <c r="FM41" s="673">
        <f>FL41+500</f>
        <v>5000</v>
      </c>
      <c r="FN41" s="886">
        <f>SUM(FJ41:FM41)</f>
        <v>17250</v>
      </c>
      <c r="FP41" s="673">
        <f>FM41+250</f>
        <v>5250</v>
      </c>
      <c r="FQ41" s="673">
        <f>FP41+250</f>
        <v>5500</v>
      </c>
      <c r="FR41" s="673">
        <f>FQ41+500</f>
        <v>6000</v>
      </c>
      <c r="FS41" s="673">
        <f>FR41+500</f>
        <v>6500</v>
      </c>
      <c r="FT41" s="886">
        <f>SUM(FP41:FS41)</f>
        <v>23250</v>
      </c>
    </row>
    <row r="42" spans="2:176" s="381" customFormat="1">
      <c r="B42" s="377"/>
      <c r="C42" s="374" t="s">
        <v>707</v>
      </c>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c r="AD42" s="378"/>
      <c r="AE42" s="378"/>
      <c r="AF42" s="378"/>
      <c r="AG42" s="378"/>
      <c r="AH42" s="378"/>
      <c r="AI42" s="378"/>
      <c r="AJ42" s="378"/>
      <c r="AK42" s="378"/>
      <c r="AL42" s="378"/>
      <c r="AM42" s="378"/>
      <c r="AN42" s="378"/>
      <c r="AO42" s="378"/>
      <c r="AP42" s="378"/>
      <c r="AQ42" s="378"/>
      <c r="AR42" s="378"/>
      <c r="AS42" s="378"/>
      <c r="AT42" s="378"/>
      <c r="AU42" s="378"/>
      <c r="AV42" s="378"/>
      <c r="AW42" s="378"/>
      <c r="AX42" s="378"/>
      <c r="AY42" s="378"/>
      <c r="AZ42" s="869"/>
      <c r="BA42" s="869"/>
      <c r="BB42" s="869"/>
      <c r="BC42" s="869"/>
      <c r="BD42" s="378"/>
      <c r="BE42" s="378"/>
      <c r="BF42" s="869"/>
      <c r="BG42" s="869"/>
      <c r="BH42" s="869"/>
      <c r="BI42" s="869"/>
      <c r="BJ42" s="869"/>
      <c r="BK42" s="378"/>
      <c r="BL42" s="378"/>
      <c r="BM42" s="378"/>
      <c r="BN42" s="378"/>
      <c r="BO42" s="378"/>
      <c r="BP42" s="378"/>
      <c r="BQ42" s="378"/>
      <c r="BR42" s="378"/>
      <c r="BS42" s="378"/>
      <c r="BT42" s="378"/>
      <c r="BU42" s="378"/>
      <c r="BV42" s="378"/>
      <c r="BW42" s="378"/>
      <c r="BX42" s="378"/>
      <c r="BY42" s="378"/>
      <c r="BZ42" s="378"/>
      <c r="CA42" s="378"/>
      <c r="CB42" s="378"/>
      <c r="CC42" s="384"/>
      <c r="CD42" s="378"/>
      <c r="CE42" s="378"/>
      <c r="CF42" s="378"/>
      <c r="CG42" s="378"/>
      <c r="CH42" s="378"/>
      <c r="CI42" s="378"/>
      <c r="CJ42" s="378"/>
      <c r="CK42" s="378"/>
      <c r="CL42" s="378"/>
      <c r="CM42" s="378"/>
      <c r="CN42" s="378"/>
      <c r="CO42" s="378"/>
      <c r="CP42" s="378"/>
      <c r="CQ42" s="378"/>
      <c r="CR42" s="378"/>
      <c r="CS42" s="378"/>
      <c r="CT42" s="378"/>
      <c r="CU42" s="378"/>
      <c r="CV42" s="378"/>
      <c r="CW42" s="378"/>
      <c r="CX42" s="378"/>
      <c r="CY42" s="378"/>
      <c r="CZ42" s="378"/>
      <c r="DA42" s="378"/>
      <c r="DB42" s="378"/>
      <c r="DC42" s="378"/>
      <c r="DD42" s="378"/>
      <c r="DE42" s="378"/>
      <c r="DF42" s="378"/>
      <c r="DG42" s="378"/>
      <c r="DH42" s="679"/>
      <c r="DI42" s="679"/>
      <c r="DJ42" s="679"/>
      <c r="DK42" s="679"/>
      <c r="DL42" s="679"/>
      <c r="DM42" s="378"/>
      <c r="DN42" s="679"/>
      <c r="DO42" s="679"/>
      <c r="DP42" s="679"/>
      <c r="DQ42" s="679"/>
      <c r="DR42" s="679"/>
      <c r="DS42" s="378"/>
      <c r="DT42" s="679"/>
      <c r="DU42" s="679"/>
      <c r="DV42" s="679"/>
      <c r="DW42" s="679"/>
      <c r="DX42" s="679"/>
      <c r="DZ42" s="679"/>
      <c r="EA42" s="679"/>
      <c r="EB42" s="679"/>
      <c r="EC42" s="679"/>
      <c r="ED42" s="679"/>
      <c r="EE42" s="386"/>
      <c r="EF42" s="679"/>
      <c r="EG42" s="679"/>
      <c r="EH42" s="679"/>
      <c r="EI42" s="679"/>
      <c r="EJ42" s="679"/>
      <c r="EK42" s="386"/>
      <c r="EL42" s="679"/>
      <c r="EM42" s="679"/>
      <c r="EN42" s="679"/>
      <c r="EO42" s="679"/>
      <c r="EP42" s="679"/>
      <c r="ER42" s="679"/>
      <c r="ES42" s="679"/>
      <c r="ET42" s="679"/>
      <c r="EU42" s="679"/>
      <c r="EV42" s="679"/>
      <c r="EX42" s="679"/>
      <c r="EY42" s="679"/>
      <c r="EZ42" s="633">
        <v>1000</v>
      </c>
      <c r="FA42" s="633">
        <v>1000</v>
      </c>
      <c r="FB42" s="354">
        <f>(FB43*1000000)/FB41</f>
        <v>1000</v>
      </c>
      <c r="FD42" s="644">
        <v>1500</v>
      </c>
      <c r="FE42" s="633">
        <v>1750</v>
      </c>
      <c r="FF42" s="633">
        <v>2000</v>
      </c>
      <c r="FG42" s="633">
        <v>2250</v>
      </c>
      <c r="FH42" s="354">
        <f>(FH43*1000000)/FH41</f>
        <v>1979.1666666666667</v>
      </c>
      <c r="FJ42" s="633">
        <v>2500</v>
      </c>
      <c r="FK42" s="633">
        <v>2500</v>
      </c>
      <c r="FL42" s="633">
        <v>2500</v>
      </c>
      <c r="FM42" s="633">
        <v>2500</v>
      </c>
      <c r="FN42" s="354">
        <f>(FN43*1000000)/FN41</f>
        <v>2500</v>
      </c>
      <c r="FP42" s="633">
        <v>2500</v>
      </c>
      <c r="FQ42" s="633">
        <v>2500</v>
      </c>
      <c r="FR42" s="633">
        <v>2500</v>
      </c>
      <c r="FS42" s="633">
        <v>2500</v>
      </c>
      <c r="FT42" s="354">
        <f>(FT43*1000000)/FT41</f>
        <v>2500</v>
      </c>
    </row>
    <row r="43" spans="2:176" s="381" customFormat="1">
      <c r="B43" s="377"/>
      <c r="C43" s="374" t="s">
        <v>127</v>
      </c>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c r="AD43" s="378"/>
      <c r="AE43" s="378"/>
      <c r="AF43" s="378"/>
      <c r="AG43" s="378"/>
      <c r="AH43" s="378"/>
      <c r="AI43" s="378"/>
      <c r="AJ43" s="378"/>
      <c r="AK43" s="378"/>
      <c r="AL43" s="378"/>
      <c r="AM43" s="378"/>
      <c r="AN43" s="378"/>
      <c r="AO43" s="378"/>
      <c r="AP43" s="378"/>
      <c r="AQ43" s="378"/>
      <c r="AR43" s="378"/>
      <c r="AS43" s="378"/>
      <c r="AT43" s="378"/>
      <c r="AU43" s="378"/>
      <c r="AV43" s="378"/>
      <c r="AW43" s="378"/>
      <c r="AX43" s="378"/>
      <c r="AY43" s="378"/>
      <c r="AZ43" s="869"/>
      <c r="BA43" s="869"/>
      <c r="BB43" s="869"/>
      <c r="BC43" s="869"/>
      <c r="BD43" s="378"/>
      <c r="BE43" s="378"/>
      <c r="BF43" s="869"/>
      <c r="BG43" s="869"/>
      <c r="BH43" s="869"/>
      <c r="BI43" s="869"/>
      <c r="BJ43" s="869"/>
      <c r="BK43" s="378"/>
      <c r="BL43" s="378"/>
      <c r="BM43" s="378"/>
      <c r="BN43" s="378"/>
      <c r="BO43" s="378"/>
      <c r="BP43" s="378"/>
      <c r="BQ43" s="378"/>
      <c r="BR43" s="378"/>
      <c r="BS43" s="378"/>
      <c r="BT43" s="378"/>
      <c r="BU43" s="378"/>
      <c r="BV43" s="378"/>
      <c r="BW43" s="378"/>
      <c r="BX43" s="378"/>
      <c r="BY43" s="378"/>
      <c r="BZ43" s="378"/>
      <c r="CA43" s="378"/>
      <c r="CB43" s="378"/>
      <c r="CC43" s="384"/>
      <c r="CD43" s="378"/>
      <c r="CE43" s="378"/>
      <c r="CF43" s="378"/>
      <c r="CG43" s="378"/>
      <c r="CH43" s="378"/>
      <c r="CI43" s="378"/>
      <c r="CJ43" s="378"/>
      <c r="CK43" s="378"/>
      <c r="CL43" s="378"/>
      <c r="CM43" s="378"/>
      <c r="CN43" s="378"/>
      <c r="CO43" s="378"/>
      <c r="CP43" s="378"/>
      <c r="CQ43" s="378"/>
      <c r="CR43" s="378"/>
      <c r="CS43" s="378"/>
      <c r="CT43" s="378"/>
      <c r="CU43" s="378"/>
      <c r="CV43" s="378"/>
      <c r="CW43" s="378"/>
      <c r="CX43" s="378"/>
      <c r="CY43" s="378"/>
      <c r="CZ43" s="378"/>
      <c r="DA43" s="378"/>
      <c r="DB43" s="378"/>
      <c r="DC43" s="378"/>
      <c r="DD43" s="378"/>
      <c r="DE43" s="378"/>
      <c r="DF43" s="378"/>
      <c r="DG43" s="378"/>
      <c r="DH43" s="679"/>
      <c r="DI43" s="679"/>
      <c r="DJ43" s="679"/>
      <c r="DK43" s="679"/>
      <c r="DL43" s="679"/>
      <c r="DM43" s="378"/>
      <c r="DN43" s="679"/>
      <c r="DO43" s="679"/>
      <c r="DP43" s="679"/>
      <c r="DQ43" s="679"/>
      <c r="DR43" s="679"/>
      <c r="DS43" s="378"/>
      <c r="DT43" s="679"/>
      <c r="DU43" s="679"/>
      <c r="DV43" s="679"/>
      <c r="DW43" s="679"/>
      <c r="DX43" s="679"/>
      <c r="DZ43" s="679"/>
      <c r="EA43" s="679"/>
      <c r="EB43" s="679"/>
      <c r="EC43" s="679"/>
      <c r="ED43" s="679"/>
      <c r="EE43" s="386"/>
      <c r="EF43" s="679"/>
      <c r="EG43" s="679"/>
      <c r="EH43" s="679"/>
      <c r="EI43" s="679"/>
      <c r="EJ43" s="679"/>
      <c r="EK43" s="386"/>
      <c r="EL43" s="679"/>
      <c r="EM43" s="679"/>
      <c r="EN43" s="679"/>
      <c r="EO43" s="679"/>
      <c r="EP43" s="679"/>
      <c r="ER43" s="679"/>
      <c r="ES43" s="679"/>
      <c r="ET43" s="679"/>
      <c r="EU43" s="679"/>
      <c r="EV43" s="679"/>
      <c r="EX43" s="679"/>
      <c r="EY43" s="679"/>
      <c r="EZ43" s="348">
        <f>(EZ41*EZ42)/1000000</f>
        <v>0.75</v>
      </c>
      <c r="FA43" s="348">
        <f>(FA41*FA42)/1000000</f>
        <v>1</v>
      </c>
      <c r="FB43" s="348">
        <f>SUM(EX43:FA43)</f>
        <v>1.75</v>
      </c>
      <c r="FD43" s="685">
        <f>(FD41*FD42)/1000000</f>
        <v>1.875</v>
      </c>
      <c r="FE43" s="348">
        <f>(FE41*FE42)/1000000</f>
        <v>3.0625</v>
      </c>
      <c r="FF43" s="348">
        <f>(FF41*FF42)/1000000</f>
        <v>5</v>
      </c>
      <c r="FG43" s="348">
        <f>(FG41*FG42)/1000000</f>
        <v>7.875</v>
      </c>
      <c r="FH43" s="348">
        <f>SUM(FD43:FG43)</f>
        <v>17.8125</v>
      </c>
      <c r="FJ43" s="348">
        <f>(FJ41*FJ42)/1000000</f>
        <v>9.375</v>
      </c>
      <c r="FK43" s="348">
        <f>(FK41*FK42)/1000000</f>
        <v>10</v>
      </c>
      <c r="FL43" s="348">
        <f>(FL41*FL42)/1000000</f>
        <v>11.25</v>
      </c>
      <c r="FM43" s="348">
        <f>(FM41*FM42)/1000000</f>
        <v>12.5</v>
      </c>
      <c r="FN43" s="348">
        <f>SUM(FJ43:FM43)</f>
        <v>43.125</v>
      </c>
      <c r="FP43" s="348">
        <f>(FP41*FP42)/1000000</f>
        <v>13.125</v>
      </c>
      <c r="FQ43" s="348">
        <f>(FQ41*FQ42)/1000000</f>
        <v>13.75</v>
      </c>
      <c r="FR43" s="348">
        <f>(FR41*FR42)/1000000</f>
        <v>15</v>
      </c>
      <c r="FS43" s="348">
        <f>(FS41*FS42)/1000000</f>
        <v>16.25</v>
      </c>
      <c r="FT43" s="348">
        <f>SUM(FP43:FS43)</f>
        <v>58.125</v>
      </c>
    </row>
    <row r="44" spans="2:176" s="381" customFormat="1">
      <c r="B44" s="377"/>
      <c r="C44" s="389" t="s">
        <v>125</v>
      </c>
      <c r="D44" s="378"/>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8"/>
      <c r="AE44" s="378"/>
      <c r="AF44" s="378"/>
      <c r="AG44" s="378"/>
      <c r="AH44" s="378"/>
      <c r="AI44" s="378"/>
      <c r="AJ44" s="378"/>
      <c r="AK44" s="378"/>
      <c r="AL44" s="378"/>
      <c r="AM44" s="378"/>
      <c r="AN44" s="378"/>
      <c r="AO44" s="378"/>
      <c r="AP44" s="378"/>
      <c r="AQ44" s="378"/>
      <c r="AR44" s="378"/>
      <c r="AS44" s="378"/>
      <c r="AT44" s="378"/>
      <c r="AU44" s="378"/>
      <c r="AV44" s="378"/>
      <c r="AW44" s="378"/>
      <c r="AX44" s="378"/>
      <c r="AY44" s="378"/>
      <c r="AZ44" s="869"/>
      <c r="BA44" s="869"/>
      <c r="BB44" s="869"/>
      <c r="BC44" s="869"/>
      <c r="BD44" s="378"/>
      <c r="BE44" s="378"/>
      <c r="BF44" s="869"/>
      <c r="BG44" s="869"/>
      <c r="BH44" s="869"/>
      <c r="BI44" s="869"/>
      <c r="BJ44" s="869"/>
      <c r="BK44" s="378"/>
      <c r="BL44" s="378"/>
      <c r="BM44" s="378"/>
      <c r="BN44" s="378"/>
      <c r="BO44" s="378"/>
      <c r="BP44" s="378"/>
      <c r="BQ44" s="378"/>
      <c r="BR44" s="378"/>
      <c r="BS44" s="378"/>
      <c r="BT44" s="378"/>
      <c r="BU44" s="378"/>
      <c r="BV44" s="378"/>
      <c r="BW44" s="378"/>
      <c r="BX44" s="378"/>
      <c r="BY44" s="378"/>
      <c r="BZ44" s="378"/>
      <c r="CA44" s="378"/>
      <c r="CB44" s="378"/>
      <c r="CC44" s="384"/>
      <c r="CD44" s="378"/>
      <c r="CE44" s="378"/>
      <c r="CF44" s="378"/>
      <c r="CG44" s="378"/>
      <c r="CH44" s="378"/>
      <c r="CI44" s="378"/>
      <c r="CJ44" s="378"/>
      <c r="CK44" s="378"/>
      <c r="CL44" s="378"/>
      <c r="CM44" s="378"/>
      <c r="CN44" s="378"/>
      <c r="CO44" s="378"/>
      <c r="CP44" s="378"/>
      <c r="CQ44" s="378"/>
      <c r="CR44" s="378"/>
      <c r="CS44" s="378"/>
      <c r="CT44" s="378"/>
      <c r="CU44" s="378"/>
      <c r="CV44" s="378"/>
      <c r="CW44" s="378"/>
      <c r="CX44" s="378"/>
      <c r="CY44" s="378"/>
      <c r="CZ44" s="378"/>
      <c r="DA44" s="378"/>
      <c r="DB44" s="378"/>
      <c r="DC44" s="378"/>
      <c r="DD44" s="378"/>
      <c r="DE44" s="378"/>
      <c r="DF44" s="378"/>
      <c r="DG44" s="378"/>
      <c r="DH44" s="679"/>
      <c r="DI44" s="679"/>
      <c r="DJ44" s="679"/>
      <c r="DK44" s="679"/>
      <c r="DL44" s="679"/>
      <c r="DM44" s="378"/>
      <c r="DN44" s="679"/>
      <c r="DO44" s="679"/>
      <c r="DP44" s="679"/>
      <c r="DQ44" s="679"/>
      <c r="DR44" s="679"/>
      <c r="DS44" s="378"/>
      <c r="DT44" s="679"/>
      <c r="DU44" s="679"/>
      <c r="DV44" s="679"/>
      <c r="DW44" s="679"/>
      <c r="DX44" s="679"/>
      <c r="DZ44" s="679"/>
      <c r="EA44" s="679"/>
      <c r="EB44" s="679"/>
      <c r="EC44" s="679"/>
      <c r="ED44" s="679"/>
      <c r="EE44" s="386"/>
      <c r="EF44" s="679"/>
      <c r="EG44" s="679"/>
      <c r="EH44" s="679"/>
      <c r="EI44" s="679"/>
      <c r="EJ44" s="679"/>
      <c r="EK44" s="386"/>
      <c r="EL44" s="679"/>
      <c r="EM44" s="679"/>
      <c r="EN44" s="679"/>
      <c r="EO44" s="679"/>
      <c r="EP44" s="679"/>
      <c r="ER44" s="679"/>
      <c r="ES44" s="679"/>
      <c r="ET44" s="679"/>
      <c r="EU44" s="679"/>
      <c r="EV44" s="679"/>
      <c r="EX44" s="679"/>
      <c r="EY44" s="679"/>
      <c r="EZ44" s="348"/>
      <c r="FA44" s="348"/>
      <c r="FB44" s="348"/>
      <c r="FD44" s="685"/>
      <c r="FE44" s="348"/>
      <c r="FF44" s="348"/>
      <c r="FG44" s="348"/>
      <c r="FH44" s="348"/>
      <c r="FJ44" s="390">
        <f>FJ43/FD43-1</f>
        <v>4</v>
      </c>
      <c r="FK44" s="390">
        <f>FK43/FE43-1</f>
        <v>2.2653061224489797</v>
      </c>
      <c r="FL44" s="390">
        <f>FL43/FF43-1</f>
        <v>1.25</v>
      </c>
      <c r="FM44" s="390">
        <f>FM43/FG43-1</f>
        <v>0.58730158730158721</v>
      </c>
      <c r="FN44" s="390">
        <f>FN43/FH43-1</f>
        <v>1.4210526315789473</v>
      </c>
      <c r="FP44" s="390">
        <f>FP43/FJ43-1</f>
        <v>0.39999999999999991</v>
      </c>
      <c r="FQ44" s="390">
        <f>FQ43/FK43-1</f>
        <v>0.375</v>
      </c>
      <c r="FR44" s="390">
        <f>FR43/FL43-1</f>
        <v>0.33333333333333326</v>
      </c>
      <c r="FS44" s="390">
        <f>FS43/FM43-1</f>
        <v>0.30000000000000004</v>
      </c>
      <c r="FT44" s="390">
        <f>FT43/FN43-1</f>
        <v>0.34782608695652173</v>
      </c>
    </row>
    <row r="45" spans="2:176" s="381" customFormat="1">
      <c r="B45" s="377"/>
      <c r="C45" s="389" t="s">
        <v>719</v>
      </c>
      <c r="D45" s="378"/>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c r="AC45" s="378"/>
      <c r="AD45" s="378"/>
      <c r="AE45" s="378"/>
      <c r="AF45" s="378"/>
      <c r="AG45" s="378"/>
      <c r="AH45" s="378"/>
      <c r="AI45" s="378"/>
      <c r="AJ45" s="378"/>
      <c r="AK45" s="378"/>
      <c r="AL45" s="378"/>
      <c r="AM45" s="378"/>
      <c r="AN45" s="378"/>
      <c r="AO45" s="378"/>
      <c r="AP45" s="378"/>
      <c r="AQ45" s="378"/>
      <c r="AR45" s="378"/>
      <c r="AS45" s="378"/>
      <c r="AT45" s="378"/>
      <c r="AU45" s="378"/>
      <c r="AV45" s="378"/>
      <c r="AW45" s="378"/>
      <c r="AX45" s="378"/>
      <c r="AY45" s="378"/>
      <c r="AZ45" s="869"/>
      <c r="BA45" s="869"/>
      <c r="BB45" s="869"/>
      <c r="BC45" s="869"/>
      <c r="BD45" s="378"/>
      <c r="BE45" s="378"/>
      <c r="BF45" s="869"/>
      <c r="BG45" s="869"/>
      <c r="BH45" s="869"/>
      <c r="BI45" s="869"/>
      <c r="BJ45" s="869"/>
      <c r="BK45" s="378"/>
      <c r="BL45" s="378"/>
      <c r="BM45" s="378"/>
      <c r="BN45" s="378"/>
      <c r="BO45" s="378"/>
      <c r="BP45" s="378"/>
      <c r="BQ45" s="378"/>
      <c r="BR45" s="378"/>
      <c r="BS45" s="378"/>
      <c r="BT45" s="378"/>
      <c r="BU45" s="378"/>
      <c r="BV45" s="378"/>
      <c r="BW45" s="378"/>
      <c r="BX45" s="378"/>
      <c r="BY45" s="378"/>
      <c r="BZ45" s="378"/>
      <c r="CA45" s="378"/>
      <c r="CB45" s="378"/>
      <c r="CC45" s="384"/>
      <c r="CD45" s="378"/>
      <c r="CE45" s="378"/>
      <c r="CF45" s="378"/>
      <c r="CG45" s="378"/>
      <c r="CH45" s="378"/>
      <c r="CI45" s="378"/>
      <c r="CJ45" s="378"/>
      <c r="CK45" s="378"/>
      <c r="CL45" s="378"/>
      <c r="CM45" s="378"/>
      <c r="CN45" s="378"/>
      <c r="CO45" s="378"/>
      <c r="CP45" s="378"/>
      <c r="CQ45" s="378"/>
      <c r="CR45" s="378"/>
      <c r="CS45" s="378"/>
      <c r="CT45" s="378"/>
      <c r="CU45" s="378"/>
      <c r="CV45" s="378"/>
      <c r="CW45" s="378"/>
      <c r="CX45" s="378"/>
      <c r="CY45" s="378"/>
      <c r="CZ45" s="378"/>
      <c r="DA45" s="378"/>
      <c r="DB45" s="378"/>
      <c r="DC45" s="378"/>
      <c r="DD45" s="378"/>
      <c r="DE45" s="378"/>
      <c r="DF45" s="378"/>
      <c r="DG45" s="378"/>
      <c r="DH45" s="679"/>
      <c r="DI45" s="679"/>
      <c r="DJ45" s="679"/>
      <c r="DK45" s="679"/>
      <c r="DL45" s="679"/>
      <c r="DM45" s="378"/>
      <c r="DN45" s="679"/>
      <c r="DO45" s="679"/>
      <c r="DP45" s="679"/>
      <c r="DQ45" s="679"/>
      <c r="DR45" s="679"/>
      <c r="DS45" s="378"/>
      <c r="DT45" s="679"/>
      <c r="DU45" s="679"/>
      <c r="DV45" s="679"/>
      <c r="DW45" s="679"/>
      <c r="DX45" s="679"/>
      <c r="DZ45" s="679"/>
      <c r="EA45" s="679"/>
      <c r="EB45" s="679"/>
      <c r="EC45" s="679"/>
      <c r="ED45" s="679"/>
      <c r="EE45" s="386"/>
      <c r="EF45" s="679"/>
      <c r="EG45" s="679"/>
      <c r="EH45" s="679"/>
      <c r="EI45" s="679"/>
      <c r="EJ45" s="679"/>
      <c r="EK45" s="386"/>
      <c r="EL45" s="679"/>
      <c r="EM45" s="679"/>
      <c r="EN45" s="679"/>
      <c r="EO45" s="679"/>
      <c r="EP45" s="679"/>
      <c r="ER45" s="679"/>
      <c r="ES45" s="679"/>
      <c r="ET45" s="679"/>
      <c r="EU45" s="679"/>
      <c r="EV45" s="679"/>
      <c r="EX45" s="679"/>
      <c r="EY45" s="679"/>
      <c r="EZ45" s="348"/>
      <c r="FA45" s="348"/>
      <c r="FB45" s="895">
        <f>FB43/EV33</f>
        <v>1.0525435717432656E-2</v>
      </c>
      <c r="FC45" s="896"/>
      <c r="FD45" s="903">
        <f>(FD43-EX43)/EX33</f>
        <v>4.0077799826579351E-2</v>
      </c>
      <c r="FE45" s="895">
        <f>(FE43-EY43)/EY33</f>
        <v>5.9170875135386013E-2</v>
      </c>
      <c r="FF45" s="895">
        <f>(FF43-EZ43)/EZ33</f>
        <v>8.0785761127912248E-2</v>
      </c>
      <c r="FG45" s="895">
        <f>(FG43-FA43)/FA33</f>
        <v>0.13375069141617424</v>
      </c>
      <c r="FH45" s="895">
        <f>(FH43-FB43)/FB33</f>
        <v>7.9301105030637059E-2</v>
      </c>
      <c r="FI45" s="896"/>
      <c r="FJ45" s="895">
        <f>(FJ43-FD43)/FD33</f>
        <v>0.12824895944505393</v>
      </c>
      <c r="FK45" s="895">
        <f>(FK43-FE43)/FE33</f>
        <v>0.10723211657188324</v>
      </c>
      <c r="FL45" s="895">
        <f>(FL43-FF43)/FF33</f>
        <v>9.5042071915190887E-2</v>
      </c>
      <c r="FM45" s="895">
        <f>(FM43-FG43)/FG33</f>
        <v>7.1982190289431952E-2</v>
      </c>
      <c r="FN45" s="895">
        <f>(FN43-FH43)/FH33</f>
        <v>9.9974933968585228E-2</v>
      </c>
      <c r="FP45" s="895">
        <f>(FP43-FJ43)/FJ33</f>
        <v>4.9326522863482283E-2</v>
      </c>
      <c r="FQ45" s="895">
        <f>(FQ43-FK43)/FK33</f>
        <v>4.4587158657747705E-2</v>
      </c>
      <c r="FR45" s="895">
        <f>(FR43-FL43)/FL33</f>
        <v>4.3865571653165014E-2</v>
      </c>
      <c r="FS45" s="895">
        <f>(FS43-FM43)/FM33</f>
        <v>4.4895336978855692E-2</v>
      </c>
      <c r="FT45" s="895">
        <f>(FT43-FN43)/FN33</f>
        <v>4.5572619472859364E-2</v>
      </c>
    </row>
    <row r="46" spans="2:176" s="381" customFormat="1">
      <c r="B46" s="377"/>
      <c r="C46" s="389" t="s">
        <v>721</v>
      </c>
      <c r="D46" s="378"/>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c r="AC46" s="378"/>
      <c r="AD46" s="378"/>
      <c r="AE46" s="378"/>
      <c r="AF46" s="378"/>
      <c r="AG46" s="378"/>
      <c r="AH46" s="378"/>
      <c r="AI46" s="378"/>
      <c r="AJ46" s="378"/>
      <c r="AK46" s="378"/>
      <c r="AL46" s="378"/>
      <c r="AM46" s="378"/>
      <c r="AN46" s="378"/>
      <c r="AO46" s="378"/>
      <c r="AP46" s="378"/>
      <c r="AQ46" s="378"/>
      <c r="AR46" s="378"/>
      <c r="AS46" s="378"/>
      <c r="AT46" s="378"/>
      <c r="AU46" s="378"/>
      <c r="AV46" s="378"/>
      <c r="AW46" s="378"/>
      <c r="AX46" s="378"/>
      <c r="AY46" s="378"/>
      <c r="AZ46" s="869"/>
      <c r="BA46" s="869"/>
      <c r="BB46" s="869"/>
      <c r="BC46" s="869"/>
      <c r="BD46" s="378"/>
      <c r="BE46" s="378"/>
      <c r="BF46" s="869"/>
      <c r="BG46" s="869"/>
      <c r="BH46" s="869"/>
      <c r="BI46" s="869"/>
      <c r="BJ46" s="869"/>
      <c r="BK46" s="378"/>
      <c r="BL46" s="378"/>
      <c r="BM46" s="378"/>
      <c r="BN46" s="378"/>
      <c r="BO46" s="378"/>
      <c r="BP46" s="378"/>
      <c r="BQ46" s="378"/>
      <c r="BR46" s="378"/>
      <c r="BS46" s="378"/>
      <c r="BT46" s="378"/>
      <c r="BU46" s="378"/>
      <c r="BV46" s="378"/>
      <c r="BW46" s="378"/>
      <c r="BX46" s="378"/>
      <c r="BY46" s="378"/>
      <c r="BZ46" s="378"/>
      <c r="CA46" s="378"/>
      <c r="CB46" s="378"/>
      <c r="CC46" s="384"/>
      <c r="CD46" s="378"/>
      <c r="CE46" s="378"/>
      <c r="CF46" s="378"/>
      <c r="CG46" s="378"/>
      <c r="CH46" s="378"/>
      <c r="CI46" s="378"/>
      <c r="CJ46" s="378"/>
      <c r="CK46" s="378"/>
      <c r="CL46" s="378"/>
      <c r="CM46" s="378"/>
      <c r="CN46" s="378"/>
      <c r="CO46" s="378"/>
      <c r="CP46" s="378"/>
      <c r="CQ46" s="378"/>
      <c r="CR46" s="378"/>
      <c r="CS46" s="378"/>
      <c r="CT46" s="378"/>
      <c r="CU46" s="378"/>
      <c r="CV46" s="378"/>
      <c r="CW46" s="378"/>
      <c r="CX46" s="378"/>
      <c r="CY46" s="378"/>
      <c r="CZ46" s="378"/>
      <c r="DA46" s="378"/>
      <c r="DB46" s="378"/>
      <c r="DC46" s="378"/>
      <c r="DD46" s="378"/>
      <c r="DE46" s="378"/>
      <c r="DF46" s="378"/>
      <c r="DG46" s="378"/>
      <c r="DH46" s="679"/>
      <c r="DI46" s="679"/>
      <c r="DJ46" s="679"/>
      <c r="DK46" s="679"/>
      <c r="DL46" s="679"/>
      <c r="DM46" s="378"/>
      <c r="DN46" s="679"/>
      <c r="DO46" s="679"/>
      <c r="DP46" s="679"/>
      <c r="DQ46" s="679"/>
      <c r="DR46" s="679"/>
      <c r="DS46" s="378"/>
      <c r="DT46" s="679"/>
      <c r="DU46" s="679"/>
      <c r="DV46" s="679"/>
      <c r="DW46" s="679"/>
      <c r="DX46" s="679"/>
      <c r="DZ46" s="679"/>
      <c r="EA46" s="679"/>
      <c r="EB46" s="679"/>
      <c r="EC46" s="679"/>
      <c r="ED46" s="679"/>
      <c r="EE46" s="386"/>
      <c r="EF46" s="679"/>
      <c r="EG46" s="679"/>
      <c r="EH46" s="679"/>
      <c r="EI46" s="679"/>
      <c r="EJ46" s="679"/>
      <c r="EK46" s="386"/>
      <c r="EL46" s="679"/>
      <c r="EM46" s="679"/>
      <c r="EN46" s="679"/>
      <c r="EO46" s="679"/>
      <c r="EP46" s="679"/>
      <c r="ER46" s="679"/>
      <c r="ES46" s="679"/>
      <c r="ET46" s="679"/>
      <c r="EU46" s="679"/>
      <c r="EV46" s="679"/>
      <c r="EX46" s="679"/>
      <c r="EY46" s="679"/>
      <c r="EZ46" s="348"/>
      <c r="FA46" s="348"/>
      <c r="FB46" s="895">
        <f>FB43/EV65</f>
        <v>3.0632603433370458E-3</v>
      </c>
      <c r="FC46" s="896"/>
      <c r="FD46" s="903">
        <f>(FD43-EX43)/EX65</f>
        <v>1.2524312445806048E-2</v>
      </c>
      <c r="FE46" s="895">
        <f>(FE43-EY43)/EY65</f>
        <v>1.865133917376547E-2</v>
      </c>
      <c r="FF46" s="895">
        <f>(FF43-EZ43)/EZ65</f>
        <v>2.4765396668960916E-2</v>
      </c>
      <c r="FG46" s="895">
        <f>(FG43-FA43)/FA65</f>
        <v>3.9452846462903972E-2</v>
      </c>
      <c r="FH46" s="895">
        <f>(FH43-FB43)/FB65</f>
        <v>2.4345412927781515E-2</v>
      </c>
      <c r="FI46" s="896"/>
      <c r="FJ46" s="895">
        <f>(FJ43-FD43)/FD65</f>
        <v>4.4463392619162809E-2</v>
      </c>
      <c r="FK46" s="895">
        <f>(FK43-FE43)/FE65</f>
        <v>3.8512342192555241E-2</v>
      </c>
      <c r="FL46" s="895">
        <f>(FL43-FF43)/FF65</f>
        <v>3.3084769986045572E-2</v>
      </c>
      <c r="FM46" s="895">
        <f>(FM43-FG43)/FG65</f>
        <v>2.3812721379544072E-2</v>
      </c>
      <c r="FN46" s="895">
        <f>(FN43-FH43)/FH65</f>
        <v>3.4582387290822275E-2</v>
      </c>
      <c r="FP46" s="895">
        <f>(FP43-FJ43)/FJ65</f>
        <v>2.0173137814311921E-2</v>
      </c>
      <c r="FQ46" s="895">
        <f>(FQ43-FK43)/FK65</f>
        <v>1.8889860330304681E-2</v>
      </c>
      <c r="FR46" s="895">
        <f>(FR43-FL43)/FL65</f>
        <v>1.8012747633543345E-2</v>
      </c>
      <c r="FS46" s="895">
        <f>(FS43-FM43)/FM65</f>
        <v>1.7519805839713805E-2</v>
      </c>
      <c r="FT46" s="895">
        <f>(FT43-FN43)/FN65</f>
        <v>1.8595671507320645E-2</v>
      </c>
    </row>
    <row r="47" spans="2:176" s="381" customFormat="1">
      <c r="B47" s="377"/>
      <c r="C47" s="374"/>
      <c r="D47" s="378"/>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AT47" s="378"/>
      <c r="AU47" s="378"/>
      <c r="AV47" s="378"/>
      <c r="AW47" s="378"/>
      <c r="AX47" s="378"/>
      <c r="AY47" s="378"/>
      <c r="AZ47" s="869"/>
      <c r="BA47" s="869"/>
      <c r="BB47" s="869"/>
      <c r="BC47" s="869"/>
      <c r="BD47" s="378"/>
      <c r="BE47" s="378"/>
      <c r="BF47" s="869"/>
      <c r="BG47" s="869"/>
      <c r="BH47" s="869"/>
      <c r="BI47" s="869"/>
      <c r="BJ47" s="869"/>
      <c r="BK47" s="378"/>
      <c r="BL47" s="378"/>
      <c r="BM47" s="378"/>
      <c r="BN47" s="378"/>
      <c r="BO47" s="378"/>
      <c r="BP47" s="378"/>
      <c r="BQ47" s="378"/>
      <c r="BR47" s="378"/>
      <c r="BS47" s="378"/>
      <c r="BT47" s="378"/>
      <c r="BU47" s="378"/>
      <c r="BV47" s="378"/>
      <c r="BW47" s="378"/>
      <c r="BX47" s="378"/>
      <c r="BY47" s="378"/>
      <c r="BZ47" s="378"/>
      <c r="CA47" s="378"/>
      <c r="CB47" s="378"/>
      <c r="CC47" s="384"/>
      <c r="CD47" s="378"/>
      <c r="CE47" s="378"/>
      <c r="CF47" s="378"/>
      <c r="CG47" s="378"/>
      <c r="CH47" s="378"/>
      <c r="CI47" s="378"/>
      <c r="CJ47" s="378"/>
      <c r="CK47" s="378"/>
      <c r="CL47" s="378"/>
      <c r="CM47" s="378"/>
      <c r="CN47" s="378"/>
      <c r="CO47" s="378"/>
      <c r="CP47" s="378"/>
      <c r="CQ47" s="378"/>
      <c r="CR47" s="378"/>
      <c r="CS47" s="378"/>
      <c r="CT47" s="378"/>
      <c r="CU47" s="378"/>
      <c r="CV47" s="378"/>
      <c r="CW47" s="378"/>
      <c r="CX47" s="378"/>
      <c r="CY47" s="378"/>
      <c r="CZ47" s="378"/>
      <c r="DA47" s="378"/>
      <c r="DB47" s="378"/>
      <c r="DC47" s="378"/>
      <c r="DD47" s="378"/>
      <c r="DE47" s="378"/>
      <c r="DF47" s="378"/>
      <c r="DG47" s="378"/>
      <c r="DH47" s="679"/>
      <c r="DI47" s="679"/>
      <c r="DJ47" s="679"/>
      <c r="DK47" s="679"/>
      <c r="DL47" s="679"/>
      <c r="DM47" s="378"/>
      <c r="DN47" s="679"/>
      <c r="DO47" s="679"/>
      <c r="DP47" s="679"/>
      <c r="DQ47" s="679"/>
      <c r="DR47" s="679"/>
      <c r="DS47" s="378"/>
      <c r="DT47" s="679"/>
      <c r="DU47" s="679"/>
      <c r="DV47" s="679"/>
      <c r="DW47" s="679"/>
      <c r="DX47" s="679"/>
      <c r="DZ47" s="679"/>
      <c r="EA47" s="679"/>
      <c r="EB47" s="679"/>
      <c r="EC47" s="679"/>
      <c r="ED47" s="679"/>
      <c r="EE47" s="386"/>
      <c r="EF47" s="679"/>
      <c r="EG47" s="679"/>
      <c r="EH47" s="679"/>
      <c r="EI47" s="679"/>
      <c r="EJ47" s="679"/>
      <c r="EK47" s="386"/>
      <c r="EL47" s="679"/>
      <c r="EM47" s="679"/>
      <c r="EN47" s="679"/>
      <c r="EO47" s="679"/>
      <c r="EP47" s="679"/>
      <c r="ER47" s="679"/>
      <c r="ES47" s="679"/>
      <c r="ET47" s="679"/>
      <c r="EU47" s="679"/>
      <c r="EV47" s="679"/>
      <c r="EX47" s="679"/>
      <c r="EY47" s="679"/>
      <c r="EZ47" s="679"/>
      <c r="FA47" s="880"/>
      <c r="FB47" s="679"/>
      <c r="FD47" s="879"/>
      <c r="FE47" s="880"/>
      <c r="FF47" s="880"/>
      <c r="FG47" s="880"/>
      <c r="FH47" s="679"/>
      <c r="FJ47" s="880"/>
      <c r="FK47" s="880"/>
      <c r="FL47" s="880"/>
      <c r="FM47" s="880"/>
      <c r="FN47" s="679"/>
      <c r="FP47" s="880"/>
      <c r="FQ47" s="880"/>
      <c r="FR47" s="880"/>
      <c r="FS47" s="880"/>
      <c r="FT47" s="679"/>
    </row>
    <row r="48" spans="2:176" s="381" customFormat="1">
      <c r="B48" s="377"/>
      <c r="C48" s="893" t="s">
        <v>720</v>
      </c>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AS48" s="378"/>
      <c r="AT48" s="378"/>
      <c r="AU48" s="378"/>
      <c r="AV48" s="378"/>
      <c r="AW48" s="378"/>
      <c r="AX48" s="378"/>
      <c r="AY48" s="378"/>
      <c r="AZ48" s="869"/>
      <c r="BA48" s="869"/>
      <c r="BB48" s="869"/>
      <c r="BC48" s="869"/>
      <c r="BD48" s="378"/>
      <c r="BE48" s="378"/>
      <c r="BF48" s="869"/>
      <c r="BG48" s="869"/>
      <c r="BH48" s="869"/>
      <c r="BI48" s="869"/>
      <c r="BJ48" s="869"/>
      <c r="BK48" s="378"/>
      <c r="BL48" s="378"/>
      <c r="BM48" s="378"/>
      <c r="BN48" s="378"/>
      <c r="BO48" s="378"/>
      <c r="BP48" s="378"/>
      <c r="BQ48" s="378"/>
      <c r="BR48" s="378"/>
      <c r="BS48" s="378"/>
      <c r="BT48" s="378"/>
      <c r="BU48" s="378"/>
      <c r="BV48" s="378"/>
      <c r="BW48" s="378"/>
      <c r="BX48" s="378"/>
      <c r="BY48" s="378"/>
      <c r="BZ48" s="378"/>
      <c r="CA48" s="378"/>
      <c r="CB48" s="378"/>
      <c r="CC48" s="384"/>
      <c r="CD48" s="378"/>
      <c r="CE48" s="378"/>
      <c r="CF48" s="378"/>
      <c r="CG48" s="378"/>
      <c r="CH48" s="378"/>
      <c r="CI48" s="378"/>
      <c r="CJ48" s="378"/>
      <c r="CK48" s="378"/>
      <c r="CL48" s="378"/>
      <c r="CM48" s="378"/>
      <c r="CN48" s="378"/>
      <c r="CO48" s="378"/>
      <c r="CP48" s="378"/>
      <c r="CQ48" s="378"/>
      <c r="CR48" s="378"/>
      <c r="CS48" s="378"/>
      <c r="CT48" s="378"/>
      <c r="CU48" s="378"/>
      <c r="CV48" s="378"/>
      <c r="CW48" s="378"/>
      <c r="CX48" s="378"/>
      <c r="CY48" s="378"/>
      <c r="CZ48" s="378"/>
      <c r="DA48" s="378"/>
      <c r="DB48" s="378"/>
      <c r="DC48" s="378"/>
      <c r="DD48" s="378"/>
      <c r="DE48" s="378"/>
      <c r="DF48" s="378"/>
      <c r="DG48" s="378"/>
      <c r="DH48" s="679"/>
      <c r="DI48" s="679"/>
      <c r="DJ48" s="679"/>
      <c r="DK48" s="679"/>
      <c r="DL48" s="679"/>
      <c r="DM48" s="378"/>
      <c r="DN48" s="679"/>
      <c r="DO48" s="679"/>
      <c r="DP48" s="679"/>
      <c r="DQ48" s="679"/>
      <c r="DR48" s="679"/>
      <c r="DS48" s="378"/>
      <c r="DT48" s="679"/>
      <c r="DU48" s="679"/>
      <c r="DV48" s="679"/>
      <c r="DW48" s="679"/>
      <c r="DX48" s="679"/>
      <c r="DZ48" s="679"/>
      <c r="EA48" s="679"/>
      <c r="EB48" s="679"/>
      <c r="EC48" s="679"/>
      <c r="ED48" s="679"/>
      <c r="EE48" s="386"/>
      <c r="EF48" s="679"/>
      <c r="EG48" s="679"/>
      <c r="EH48" s="679"/>
      <c r="EI48" s="679"/>
      <c r="EJ48" s="679"/>
      <c r="EK48" s="386"/>
      <c r="EL48" s="679"/>
      <c r="EM48" s="679"/>
      <c r="EN48" s="679"/>
      <c r="EO48" s="679"/>
      <c r="EP48" s="679"/>
      <c r="ER48" s="679"/>
      <c r="ES48" s="679"/>
      <c r="ET48" s="679"/>
      <c r="EU48" s="679"/>
      <c r="EV48" s="679"/>
      <c r="EX48" s="679"/>
      <c r="EY48" s="679"/>
      <c r="EZ48" s="679"/>
      <c r="FA48" s="880"/>
      <c r="FB48" s="679"/>
      <c r="FD48" s="879"/>
      <c r="FE48" s="880"/>
      <c r="FF48" s="880"/>
      <c r="FG48" s="880"/>
      <c r="FH48" s="679"/>
      <c r="FJ48" s="880"/>
      <c r="FK48" s="880"/>
      <c r="FL48" s="880"/>
      <c r="FM48" s="880"/>
      <c r="FN48" s="679"/>
      <c r="FP48" s="880"/>
      <c r="FQ48" s="880"/>
      <c r="FR48" s="880"/>
      <c r="FS48" s="880"/>
      <c r="FT48" s="679"/>
    </row>
    <row r="49" spans="2:176" s="381" customFormat="1">
      <c r="B49" s="377"/>
      <c r="C49" s="374" t="s">
        <v>718</v>
      </c>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c r="AT49" s="378"/>
      <c r="AU49" s="378"/>
      <c r="AV49" s="378"/>
      <c r="AW49" s="378"/>
      <c r="AX49" s="378"/>
      <c r="AY49" s="378"/>
      <c r="AZ49" s="869"/>
      <c r="BA49" s="869"/>
      <c r="BB49" s="869"/>
      <c r="BC49" s="869"/>
      <c r="BD49" s="378"/>
      <c r="BE49" s="378"/>
      <c r="BF49" s="869"/>
      <c r="BG49" s="869"/>
      <c r="BH49" s="869"/>
      <c r="BI49" s="869"/>
      <c r="BJ49" s="869"/>
      <c r="BK49" s="378"/>
      <c r="BL49" s="378"/>
      <c r="BM49" s="378"/>
      <c r="BN49" s="378"/>
      <c r="BO49" s="378"/>
      <c r="BP49" s="378"/>
      <c r="BQ49" s="378"/>
      <c r="BR49" s="378"/>
      <c r="BS49" s="378"/>
      <c r="BT49" s="378"/>
      <c r="BU49" s="378"/>
      <c r="BV49" s="378"/>
      <c r="BW49" s="378"/>
      <c r="BX49" s="378"/>
      <c r="BY49" s="378"/>
      <c r="BZ49" s="378"/>
      <c r="CA49" s="378"/>
      <c r="CB49" s="378"/>
      <c r="CC49" s="384"/>
      <c r="CD49" s="378"/>
      <c r="CE49" s="378"/>
      <c r="CF49" s="378"/>
      <c r="CG49" s="378"/>
      <c r="CH49" s="378"/>
      <c r="CI49" s="378"/>
      <c r="CJ49" s="378"/>
      <c r="CK49" s="378"/>
      <c r="CL49" s="378"/>
      <c r="CM49" s="378"/>
      <c r="CN49" s="378"/>
      <c r="CO49" s="378"/>
      <c r="CP49" s="378"/>
      <c r="CQ49" s="378"/>
      <c r="CR49" s="378"/>
      <c r="CS49" s="378"/>
      <c r="CT49" s="378"/>
      <c r="CU49" s="378"/>
      <c r="CV49" s="378"/>
      <c r="CW49" s="378"/>
      <c r="CX49" s="378"/>
      <c r="CY49" s="378"/>
      <c r="CZ49" s="378"/>
      <c r="DA49" s="378"/>
      <c r="DB49" s="378"/>
      <c r="DC49" s="378"/>
      <c r="DD49" s="378"/>
      <c r="DE49" s="378"/>
      <c r="DF49" s="378"/>
      <c r="DG49" s="378"/>
      <c r="DH49" s="679"/>
      <c r="DI49" s="679"/>
      <c r="DJ49" s="679"/>
      <c r="DK49" s="679"/>
      <c r="DL49" s="679"/>
      <c r="DM49" s="378"/>
      <c r="DN49" s="679"/>
      <c r="DO49" s="679"/>
      <c r="DP49" s="679"/>
      <c r="DQ49" s="679"/>
      <c r="DR49" s="679"/>
      <c r="DS49" s="378"/>
      <c r="DT49" s="679"/>
      <c r="DU49" s="679"/>
      <c r="DV49" s="679"/>
      <c r="DW49" s="679"/>
      <c r="DX49" s="679"/>
      <c r="DZ49" s="679"/>
      <c r="EA49" s="679"/>
      <c r="EB49" s="679"/>
      <c r="EC49" s="679"/>
      <c r="ED49" s="679"/>
      <c r="EE49" s="386"/>
      <c r="EF49" s="679"/>
      <c r="EG49" s="679"/>
      <c r="EH49" s="679"/>
      <c r="EI49" s="679"/>
      <c r="EJ49" s="679"/>
      <c r="EK49" s="386"/>
      <c r="EL49" s="679"/>
      <c r="EM49" s="679"/>
      <c r="EN49" s="679"/>
      <c r="EO49" s="679"/>
      <c r="EP49" s="679"/>
      <c r="ER49" s="679"/>
      <c r="ES49" s="679"/>
      <c r="ET49" s="679"/>
      <c r="EU49" s="679"/>
      <c r="EV49" s="679"/>
      <c r="EX49" s="679"/>
      <c r="EY49" s="679"/>
      <c r="EZ49" s="673"/>
      <c r="FA49" s="681"/>
      <c r="FB49" s="886"/>
      <c r="FD49" s="682">
        <v>500</v>
      </c>
      <c r="FE49" s="673">
        <v>1500</v>
      </c>
      <c r="FF49" s="673">
        <v>2000</v>
      </c>
      <c r="FG49" s="673">
        <v>3000</v>
      </c>
      <c r="FH49" s="886">
        <f>SUM(FD49:FG49)</f>
        <v>7000</v>
      </c>
      <c r="FJ49" s="673">
        <f>FG49</f>
        <v>3000</v>
      </c>
      <c r="FK49" s="673">
        <f>FJ49+250</f>
        <v>3250</v>
      </c>
      <c r="FL49" s="673">
        <f t="shared" ref="FL49:FM49" si="0">FK49+250</f>
        <v>3500</v>
      </c>
      <c r="FM49" s="673">
        <f t="shared" si="0"/>
        <v>3750</v>
      </c>
      <c r="FN49" s="886">
        <f>SUM(FJ49:FM49)</f>
        <v>13500</v>
      </c>
      <c r="FP49" s="673">
        <f>FM49</f>
        <v>3750</v>
      </c>
      <c r="FQ49" s="673">
        <f>FP49+250</f>
        <v>4000</v>
      </c>
      <c r="FR49" s="673">
        <f t="shared" ref="FR49" si="1">FQ49+250</f>
        <v>4250</v>
      </c>
      <c r="FS49" s="673">
        <f t="shared" ref="FS49" si="2">FR49+250</f>
        <v>4500</v>
      </c>
      <c r="FT49" s="886">
        <f>SUM(FP49:FS49)</f>
        <v>16500</v>
      </c>
    </row>
    <row r="50" spans="2:176" s="381" customFormat="1">
      <c r="B50" s="377"/>
      <c r="C50" s="374" t="s">
        <v>707</v>
      </c>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AS50" s="378"/>
      <c r="AT50" s="378"/>
      <c r="AU50" s="378"/>
      <c r="AV50" s="378"/>
      <c r="AW50" s="378"/>
      <c r="AX50" s="378"/>
      <c r="AY50" s="378"/>
      <c r="AZ50" s="869"/>
      <c r="BA50" s="869"/>
      <c r="BB50" s="869"/>
      <c r="BC50" s="869"/>
      <c r="BD50" s="378"/>
      <c r="BE50" s="378"/>
      <c r="BF50" s="869"/>
      <c r="BG50" s="869"/>
      <c r="BH50" s="869"/>
      <c r="BI50" s="869"/>
      <c r="BJ50" s="869"/>
      <c r="BK50" s="378"/>
      <c r="BL50" s="378"/>
      <c r="BM50" s="378"/>
      <c r="BN50" s="378"/>
      <c r="BO50" s="378"/>
      <c r="BP50" s="378"/>
      <c r="BQ50" s="378"/>
      <c r="BR50" s="378"/>
      <c r="BS50" s="378"/>
      <c r="BT50" s="378"/>
      <c r="BU50" s="378"/>
      <c r="BV50" s="378"/>
      <c r="BW50" s="378"/>
      <c r="BX50" s="378"/>
      <c r="BY50" s="378"/>
      <c r="BZ50" s="378"/>
      <c r="CA50" s="378"/>
      <c r="CB50" s="378"/>
      <c r="CC50" s="384"/>
      <c r="CD50" s="378"/>
      <c r="CE50" s="378"/>
      <c r="CF50" s="378"/>
      <c r="CG50" s="378"/>
      <c r="CH50" s="378"/>
      <c r="CI50" s="378"/>
      <c r="CJ50" s="378"/>
      <c r="CK50" s="378"/>
      <c r="CL50" s="378"/>
      <c r="CM50" s="378"/>
      <c r="CN50" s="378"/>
      <c r="CO50" s="378"/>
      <c r="CP50" s="378"/>
      <c r="CQ50" s="378"/>
      <c r="CR50" s="378"/>
      <c r="CS50" s="378"/>
      <c r="CT50" s="378"/>
      <c r="CU50" s="378"/>
      <c r="CV50" s="378"/>
      <c r="CW50" s="378"/>
      <c r="CX50" s="378"/>
      <c r="CY50" s="378"/>
      <c r="CZ50" s="378"/>
      <c r="DA50" s="378"/>
      <c r="DB50" s="378"/>
      <c r="DC50" s="378"/>
      <c r="DD50" s="378"/>
      <c r="DE50" s="378"/>
      <c r="DF50" s="378"/>
      <c r="DG50" s="378"/>
      <c r="DH50" s="679"/>
      <c r="DI50" s="679"/>
      <c r="DJ50" s="679"/>
      <c r="DK50" s="679"/>
      <c r="DL50" s="679"/>
      <c r="DM50" s="378"/>
      <c r="DN50" s="679"/>
      <c r="DO50" s="679"/>
      <c r="DP50" s="679"/>
      <c r="DQ50" s="679"/>
      <c r="DR50" s="679"/>
      <c r="DS50" s="378"/>
      <c r="DT50" s="679"/>
      <c r="DU50" s="679"/>
      <c r="DV50" s="679"/>
      <c r="DW50" s="679"/>
      <c r="DX50" s="679"/>
      <c r="DZ50" s="679"/>
      <c r="EA50" s="679"/>
      <c r="EB50" s="679"/>
      <c r="EC50" s="679"/>
      <c r="ED50" s="679"/>
      <c r="EE50" s="386"/>
      <c r="EF50" s="679"/>
      <c r="EG50" s="679"/>
      <c r="EH50" s="679"/>
      <c r="EI50" s="679"/>
      <c r="EJ50" s="679"/>
      <c r="EK50" s="386"/>
      <c r="EL50" s="679"/>
      <c r="EM50" s="679"/>
      <c r="EN50" s="679"/>
      <c r="EO50" s="679"/>
      <c r="EP50" s="679"/>
      <c r="ER50" s="679"/>
      <c r="ES50" s="679"/>
      <c r="ET50" s="679"/>
      <c r="EU50" s="679"/>
      <c r="EV50" s="679"/>
      <c r="EX50" s="679"/>
      <c r="EY50" s="679"/>
      <c r="EZ50" s="633"/>
      <c r="FA50" s="633"/>
      <c r="FB50" s="354"/>
      <c r="FD50" s="644">
        <v>700</v>
      </c>
      <c r="FE50" s="633">
        <v>700</v>
      </c>
      <c r="FF50" s="633">
        <v>700</v>
      </c>
      <c r="FG50" s="633">
        <v>700</v>
      </c>
      <c r="FH50" s="354">
        <f>(FH51*1000000)/FH49</f>
        <v>700</v>
      </c>
      <c r="FJ50" s="633">
        <v>750</v>
      </c>
      <c r="FK50" s="633">
        <v>750</v>
      </c>
      <c r="FL50" s="633">
        <v>750</v>
      </c>
      <c r="FM50" s="633">
        <v>720</v>
      </c>
      <c r="FN50" s="354">
        <f>(FN51*1000000)/FN49</f>
        <v>741.66666666666663</v>
      </c>
      <c r="FP50" s="633">
        <v>750</v>
      </c>
      <c r="FQ50" s="633">
        <v>750</v>
      </c>
      <c r="FR50" s="633">
        <v>750</v>
      </c>
      <c r="FS50" s="633">
        <v>720</v>
      </c>
      <c r="FT50" s="354">
        <f>(FT51*1000000)/FT49</f>
        <v>741.81818181818187</v>
      </c>
    </row>
    <row r="51" spans="2:176" s="381" customFormat="1">
      <c r="B51" s="377"/>
      <c r="C51" s="374" t="s">
        <v>127</v>
      </c>
      <c r="D51" s="378"/>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8"/>
      <c r="AT51" s="378"/>
      <c r="AU51" s="378"/>
      <c r="AV51" s="378"/>
      <c r="AW51" s="378"/>
      <c r="AX51" s="378"/>
      <c r="AY51" s="378"/>
      <c r="AZ51" s="869"/>
      <c r="BA51" s="869"/>
      <c r="BB51" s="869"/>
      <c r="BC51" s="869"/>
      <c r="BD51" s="378"/>
      <c r="BE51" s="378"/>
      <c r="BF51" s="869"/>
      <c r="BG51" s="869"/>
      <c r="BH51" s="869"/>
      <c r="BI51" s="869"/>
      <c r="BJ51" s="869"/>
      <c r="BK51" s="378"/>
      <c r="BL51" s="378"/>
      <c r="BM51" s="378"/>
      <c r="BN51" s="378"/>
      <c r="BO51" s="378"/>
      <c r="BP51" s="378"/>
      <c r="BQ51" s="378"/>
      <c r="BR51" s="378"/>
      <c r="BS51" s="378"/>
      <c r="BT51" s="378"/>
      <c r="BU51" s="378"/>
      <c r="BV51" s="378"/>
      <c r="BW51" s="378"/>
      <c r="BX51" s="378"/>
      <c r="BY51" s="378"/>
      <c r="BZ51" s="378"/>
      <c r="CA51" s="378"/>
      <c r="CB51" s="378"/>
      <c r="CC51" s="384"/>
      <c r="CD51" s="378"/>
      <c r="CE51" s="378"/>
      <c r="CF51" s="378"/>
      <c r="CG51" s="378"/>
      <c r="CH51" s="378"/>
      <c r="CI51" s="378"/>
      <c r="CJ51" s="378"/>
      <c r="CK51" s="378"/>
      <c r="CL51" s="378"/>
      <c r="CM51" s="378"/>
      <c r="CN51" s="378"/>
      <c r="CO51" s="378"/>
      <c r="CP51" s="378"/>
      <c r="CQ51" s="378"/>
      <c r="CR51" s="378"/>
      <c r="CS51" s="378"/>
      <c r="CT51" s="378"/>
      <c r="CU51" s="378"/>
      <c r="CV51" s="378"/>
      <c r="CW51" s="378"/>
      <c r="CX51" s="378"/>
      <c r="CY51" s="378"/>
      <c r="CZ51" s="378"/>
      <c r="DA51" s="378"/>
      <c r="DB51" s="378"/>
      <c r="DC51" s="378"/>
      <c r="DD51" s="378"/>
      <c r="DE51" s="378"/>
      <c r="DF51" s="378"/>
      <c r="DG51" s="378"/>
      <c r="DH51" s="679"/>
      <c r="DI51" s="679"/>
      <c r="DJ51" s="679"/>
      <c r="DK51" s="679"/>
      <c r="DL51" s="679"/>
      <c r="DM51" s="378"/>
      <c r="DN51" s="679"/>
      <c r="DO51" s="679"/>
      <c r="DP51" s="679"/>
      <c r="DQ51" s="679"/>
      <c r="DR51" s="679"/>
      <c r="DS51" s="378"/>
      <c r="DT51" s="679"/>
      <c r="DU51" s="679"/>
      <c r="DV51" s="679"/>
      <c r="DW51" s="679"/>
      <c r="DX51" s="679"/>
      <c r="DZ51" s="679"/>
      <c r="EA51" s="679"/>
      <c r="EB51" s="679"/>
      <c r="EC51" s="679"/>
      <c r="ED51" s="679"/>
      <c r="EE51" s="386"/>
      <c r="EF51" s="679"/>
      <c r="EG51" s="679"/>
      <c r="EH51" s="679"/>
      <c r="EI51" s="679"/>
      <c r="EJ51" s="679"/>
      <c r="EK51" s="386"/>
      <c r="EL51" s="679"/>
      <c r="EM51" s="679"/>
      <c r="EN51" s="679"/>
      <c r="EO51" s="679"/>
      <c r="EP51" s="679"/>
      <c r="ER51" s="679"/>
      <c r="ES51" s="679"/>
      <c r="ET51" s="679"/>
      <c r="EU51" s="679"/>
      <c r="EV51" s="679"/>
      <c r="EX51" s="679"/>
      <c r="EY51" s="679"/>
      <c r="EZ51" s="348"/>
      <c r="FA51" s="348"/>
      <c r="FB51" s="348"/>
      <c r="FD51" s="685">
        <f>(FD49*FD50)/1000000</f>
        <v>0.35</v>
      </c>
      <c r="FE51" s="348">
        <f>(FE49*FE50)/1000000</f>
        <v>1.05</v>
      </c>
      <c r="FF51" s="348">
        <f>(FF49*FF50)/1000000</f>
        <v>1.4</v>
      </c>
      <c r="FG51" s="348">
        <f>(FG49*FG50)/1000000</f>
        <v>2.1</v>
      </c>
      <c r="FH51" s="348">
        <f>SUM(FD51:FG51)</f>
        <v>4.9000000000000004</v>
      </c>
      <c r="FJ51" s="348">
        <f>(FJ49*FJ50)/1000000</f>
        <v>2.25</v>
      </c>
      <c r="FK51" s="348">
        <f>(FK49*FK50)/1000000</f>
        <v>2.4375</v>
      </c>
      <c r="FL51" s="348">
        <f>(FL49*FL50)/1000000</f>
        <v>2.625</v>
      </c>
      <c r="FM51" s="348">
        <f>(FM49*FM50)/1000000</f>
        <v>2.7</v>
      </c>
      <c r="FN51" s="348">
        <f>SUM(FJ51:FM51)</f>
        <v>10.012499999999999</v>
      </c>
      <c r="FP51" s="348">
        <f>(FP49*FP50)/1000000</f>
        <v>2.8125</v>
      </c>
      <c r="FQ51" s="348">
        <f>(FQ49*FQ50)/1000000</f>
        <v>3</v>
      </c>
      <c r="FR51" s="348">
        <f>(FR49*FR50)/1000000</f>
        <v>3.1875</v>
      </c>
      <c r="FS51" s="348">
        <f>(FS49*FS50)/1000000</f>
        <v>3.24</v>
      </c>
      <c r="FT51" s="348">
        <f>SUM(FP51:FS51)</f>
        <v>12.24</v>
      </c>
    </row>
    <row r="52" spans="2:176" s="381" customFormat="1">
      <c r="B52" s="377"/>
      <c r="C52" s="389" t="s">
        <v>125</v>
      </c>
      <c r="D52" s="378"/>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c r="AK52" s="378"/>
      <c r="AL52" s="378"/>
      <c r="AM52" s="378"/>
      <c r="AN52" s="378"/>
      <c r="AO52" s="378"/>
      <c r="AP52" s="378"/>
      <c r="AQ52" s="378"/>
      <c r="AR52" s="378"/>
      <c r="AS52" s="378"/>
      <c r="AT52" s="378"/>
      <c r="AU52" s="378"/>
      <c r="AV52" s="378"/>
      <c r="AW52" s="378"/>
      <c r="AX52" s="378"/>
      <c r="AY52" s="378"/>
      <c r="AZ52" s="869"/>
      <c r="BA52" s="869"/>
      <c r="BB52" s="869"/>
      <c r="BC52" s="869"/>
      <c r="BD52" s="378"/>
      <c r="BE52" s="378"/>
      <c r="BF52" s="869"/>
      <c r="BG52" s="869"/>
      <c r="BH52" s="869"/>
      <c r="BI52" s="869"/>
      <c r="BJ52" s="869"/>
      <c r="BK52" s="378"/>
      <c r="BL52" s="378"/>
      <c r="BM52" s="378"/>
      <c r="BN52" s="378"/>
      <c r="BO52" s="378"/>
      <c r="BP52" s="378"/>
      <c r="BQ52" s="378"/>
      <c r="BR52" s="378"/>
      <c r="BS52" s="378"/>
      <c r="BT52" s="378"/>
      <c r="BU52" s="378"/>
      <c r="BV52" s="378"/>
      <c r="BW52" s="378"/>
      <c r="BX52" s="378"/>
      <c r="BY52" s="378"/>
      <c r="BZ52" s="378"/>
      <c r="CA52" s="378"/>
      <c r="CB52" s="378"/>
      <c r="CC52" s="384"/>
      <c r="CD52" s="378"/>
      <c r="CE52" s="378"/>
      <c r="CF52" s="378"/>
      <c r="CG52" s="378"/>
      <c r="CH52" s="378"/>
      <c r="CI52" s="378"/>
      <c r="CJ52" s="378"/>
      <c r="CK52" s="378"/>
      <c r="CL52" s="378"/>
      <c r="CM52" s="378"/>
      <c r="CN52" s="378"/>
      <c r="CO52" s="378"/>
      <c r="CP52" s="378"/>
      <c r="CQ52" s="378"/>
      <c r="CR52" s="378"/>
      <c r="CS52" s="378"/>
      <c r="CT52" s="378"/>
      <c r="CU52" s="378"/>
      <c r="CV52" s="378"/>
      <c r="CW52" s="378"/>
      <c r="CX52" s="378"/>
      <c r="CY52" s="378"/>
      <c r="CZ52" s="378"/>
      <c r="DA52" s="378"/>
      <c r="DB52" s="378"/>
      <c r="DC52" s="378"/>
      <c r="DD52" s="378"/>
      <c r="DE52" s="378"/>
      <c r="DF52" s="378"/>
      <c r="DG52" s="378"/>
      <c r="DH52" s="679"/>
      <c r="DI52" s="679"/>
      <c r="DJ52" s="679"/>
      <c r="DK52" s="679"/>
      <c r="DL52" s="679"/>
      <c r="DM52" s="378"/>
      <c r="DN52" s="679"/>
      <c r="DO52" s="679"/>
      <c r="DP52" s="679"/>
      <c r="DQ52" s="679"/>
      <c r="DR52" s="679"/>
      <c r="DS52" s="378"/>
      <c r="DT52" s="679"/>
      <c r="DU52" s="679"/>
      <c r="DV52" s="679"/>
      <c r="DW52" s="679"/>
      <c r="DX52" s="679"/>
      <c r="DZ52" s="679"/>
      <c r="EA52" s="679"/>
      <c r="EB52" s="679"/>
      <c r="EC52" s="679"/>
      <c r="ED52" s="679"/>
      <c r="EE52" s="386"/>
      <c r="EF52" s="679"/>
      <c r="EG52" s="679"/>
      <c r="EH52" s="679"/>
      <c r="EI52" s="679"/>
      <c r="EJ52" s="679"/>
      <c r="EK52" s="386"/>
      <c r="EL52" s="679"/>
      <c r="EM52" s="679"/>
      <c r="EN52" s="679"/>
      <c r="EO52" s="679"/>
      <c r="EP52" s="679"/>
      <c r="ER52" s="679"/>
      <c r="ES52" s="679"/>
      <c r="ET52" s="679"/>
      <c r="EU52" s="679"/>
      <c r="EV52" s="679"/>
      <c r="EX52" s="679"/>
      <c r="EY52" s="679"/>
      <c r="EZ52" s="348"/>
      <c r="FA52" s="348"/>
      <c r="FB52" s="348"/>
      <c r="FD52" s="685"/>
      <c r="FE52" s="348"/>
      <c r="FF52" s="348"/>
      <c r="FG52" s="348"/>
      <c r="FH52" s="348"/>
      <c r="FJ52" s="390">
        <f>FJ51/FD51-1</f>
        <v>5.4285714285714288</v>
      </c>
      <c r="FK52" s="390">
        <f>FK51/FE51-1</f>
        <v>1.3214285714285712</v>
      </c>
      <c r="FL52" s="390">
        <f>FL51/FF51-1</f>
        <v>0.87500000000000022</v>
      </c>
      <c r="FM52" s="390">
        <f>FM51/FG51-1</f>
        <v>0.28571428571428581</v>
      </c>
      <c r="FN52" s="390">
        <f>FN51/FH51-1</f>
        <v>1.0433673469387754</v>
      </c>
      <c r="FP52" s="390">
        <f>FP51/FJ51-1</f>
        <v>0.25</v>
      </c>
      <c r="FQ52" s="390">
        <f>FQ51/FK51-1</f>
        <v>0.23076923076923084</v>
      </c>
      <c r="FR52" s="390">
        <f>FR51/FL51-1</f>
        <v>0.21428571428571419</v>
      </c>
      <c r="FS52" s="390">
        <f>FS51/FM51-1</f>
        <v>0.19999999999999996</v>
      </c>
      <c r="FT52" s="390">
        <f>FT51/FN51-1</f>
        <v>0.22247191011235956</v>
      </c>
    </row>
    <row r="53" spans="2:176" s="381" customFormat="1">
      <c r="B53" s="377"/>
      <c r="C53" s="389" t="s">
        <v>719</v>
      </c>
      <c r="D53" s="378"/>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c r="AP53" s="378"/>
      <c r="AQ53" s="378"/>
      <c r="AR53" s="378"/>
      <c r="AS53" s="378"/>
      <c r="AT53" s="378"/>
      <c r="AU53" s="378"/>
      <c r="AV53" s="378"/>
      <c r="AW53" s="378"/>
      <c r="AX53" s="378"/>
      <c r="AY53" s="378"/>
      <c r="AZ53" s="869"/>
      <c r="BA53" s="869"/>
      <c r="BB53" s="869"/>
      <c r="BC53" s="869"/>
      <c r="BD53" s="378"/>
      <c r="BE53" s="378"/>
      <c r="BF53" s="869"/>
      <c r="BG53" s="869"/>
      <c r="BH53" s="869"/>
      <c r="BI53" s="869"/>
      <c r="BJ53" s="869"/>
      <c r="BK53" s="378"/>
      <c r="BL53" s="378"/>
      <c r="BM53" s="378"/>
      <c r="BN53" s="378"/>
      <c r="BO53" s="378"/>
      <c r="BP53" s="378"/>
      <c r="BQ53" s="378"/>
      <c r="BR53" s="378"/>
      <c r="BS53" s="378"/>
      <c r="BT53" s="378"/>
      <c r="BU53" s="378"/>
      <c r="BV53" s="378"/>
      <c r="BW53" s="378"/>
      <c r="BX53" s="378"/>
      <c r="BY53" s="378"/>
      <c r="BZ53" s="378"/>
      <c r="CA53" s="378"/>
      <c r="CB53" s="378"/>
      <c r="CC53" s="384"/>
      <c r="CD53" s="378"/>
      <c r="CE53" s="378"/>
      <c r="CF53" s="378"/>
      <c r="CG53" s="378"/>
      <c r="CH53" s="378"/>
      <c r="CI53" s="378"/>
      <c r="CJ53" s="378"/>
      <c r="CK53" s="378"/>
      <c r="CL53" s="378"/>
      <c r="CM53" s="378"/>
      <c r="CN53" s="378"/>
      <c r="CO53" s="378"/>
      <c r="CP53" s="378"/>
      <c r="CQ53" s="378"/>
      <c r="CR53" s="378"/>
      <c r="CS53" s="378"/>
      <c r="CT53" s="378"/>
      <c r="CU53" s="378"/>
      <c r="CV53" s="378"/>
      <c r="CW53" s="378"/>
      <c r="CX53" s="378"/>
      <c r="CY53" s="378"/>
      <c r="CZ53" s="378"/>
      <c r="DA53" s="378"/>
      <c r="DB53" s="378"/>
      <c r="DC53" s="378"/>
      <c r="DD53" s="378"/>
      <c r="DE53" s="378"/>
      <c r="DF53" s="378"/>
      <c r="DG53" s="378"/>
      <c r="DH53" s="679"/>
      <c r="DI53" s="679"/>
      <c r="DJ53" s="679"/>
      <c r="DK53" s="679"/>
      <c r="DL53" s="679"/>
      <c r="DM53" s="378"/>
      <c r="DN53" s="679"/>
      <c r="DO53" s="679"/>
      <c r="DP53" s="679"/>
      <c r="DQ53" s="679"/>
      <c r="DR53" s="679"/>
      <c r="DS53" s="378"/>
      <c r="DT53" s="679"/>
      <c r="DU53" s="679"/>
      <c r="DV53" s="679"/>
      <c r="DW53" s="679"/>
      <c r="DX53" s="679"/>
      <c r="DZ53" s="679"/>
      <c r="EA53" s="679"/>
      <c r="EB53" s="679"/>
      <c r="EC53" s="679"/>
      <c r="ED53" s="679"/>
      <c r="EE53" s="386"/>
      <c r="EF53" s="679"/>
      <c r="EG53" s="679"/>
      <c r="EH53" s="679"/>
      <c r="EI53" s="679"/>
      <c r="EJ53" s="679"/>
      <c r="EK53" s="386"/>
      <c r="EL53" s="679"/>
      <c r="EM53" s="679"/>
      <c r="EN53" s="679"/>
      <c r="EO53" s="679"/>
      <c r="EP53" s="679"/>
      <c r="ER53" s="679"/>
      <c r="ES53" s="679"/>
      <c r="ET53" s="679"/>
      <c r="EU53" s="679"/>
      <c r="EV53" s="679"/>
      <c r="EX53" s="679"/>
      <c r="EY53" s="679"/>
      <c r="EZ53" s="348"/>
      <c r="FA53" s="348"/>
      <c r="FB53" s="390"/>
      <c r="FD53" s="903">
        <f>(FD51-EX51)/EX33</f>
        <v>7.4811893009614789E-3</v>
      </c>
      <c r="FE53" s="895">
        <f>(FE51-EY51)/EY33</f>
        <v>2.0287157189275207E-2</v>
      </c>
      <c r="FF53" s="895">
        <f>(FF51-EZ51)/EZ33</f>
        <v>2.6611780136253444E-2</v>
      </c>
      <c r="FG53" s="895">
        <f>(FG51-FA51)/FA33</f>
        <v>4.0854756650758682E-2</v>
      </c>
      <c r="FH53" s="895">
        <f>(FH51-FB51)/FB33</f>
        <v>2.4191465503509518E-2</v>
      </c>
      <c r="FI53" s="896"/>
      <c r="FJ53" s="895">
        <f>(FJ51-FD51)/FD33</f>
        <v>3.2489736392746993E-2</v>
      </c>
      <c r="FK53" s="895">
        <f>(FK51-FE51)/FE33</f>
        <v>2.1446423314376645E-2</v>
      </c>
      <c r="FL53" s="895">
        <f>(FL51-FF51)/FF33</f>
        <v>1.8628246095377415E-2</v>
      </c>
      <c r="FM53" s="895">
        <f>(FM51-FG51)/FG33</f>
        <v>9.3382300916019841E-3</v>
      </c>
      <c r="FN53" s="895">
        <f>(FN51-FH51)/FH33</f>
        <v>2.01924681447661E-2</v>
      </c>
      <c r="FP53" s="895">
        <f>(FP51-FJ51)/FJ33</f>
        <v>7.3989784295223427E-3</v>
      </c>
      <c r="FQ53" s="895">
        <f>(FQ51-FK51)/FK33</f>
        <v>6.6880737986621556E-3</v>
      </c>
      <c r="FR53" s="895">
        <f>(FR51-FL51)/FL33</f>
        <v>6.5798357479747525E-3</v>
      </c>
      <c r="FS53" s="895">
        <f>(FS51-FM51)/FM33</f>
        <v>6.4649285249552199E-3</v>
      </c>
      <c r="FT53" s="895">
        <f>(FT51-FN51)/FN33</f>
        <v>6.7675339917196188E-3</v>
      </c>
    </row>
    <row r="54" spans="2:176" s="381" customFormat="1">
      <c r="B54" s="377"/>
      <c r="C54" s="389" t="s">
        <v>721</v>
      </c>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869"/>
      <c r="BA54" s="869"/>
      <c r="BB54" s="869"/>
      <c r="BC54" s="869"/>
      <c r="BD54" s="378"/>
      <c r="BE54" s="378"/>
      <c r="BF54" s="869"/>
      <c r="BG54" s="869"/>
      <c r="BH54" s="869"/>
      <c r="BI54" s="869"/>
      <c r="BJ54" s="869"/>
      <c r="BK54" s="378"/>
      <c r="BL54" s="378"/>
      <c r="BM54" s="378"/>
      <c r="BN54" s="378"/>
      <c r="BO54" s="378"/>
      <c r="BP54" s="378"/>
      <c r="BQ54" s="378"/>
      <c r="BR54" s="378"/>
      <c r="BS54" s="378"/>
      <c r="BT54" s="378"/>
      <c r="BU54" s="378"/>
      <c r="BV54" s="378"/>
      <c r="BW54" s="378"/>
      <c r="BX54" s="378"/>
      <c r="BY54" s="378"/>
      <c r="BZ54" s="378"/>
      <c r="CA54" s="378"/>
      <c r="CB54" s="378"/>
      <c r="CC54" s="384"/>
      <c r="CD54" s="378"/>
      <c r="CE54" s="378"/>
      <c r="CF54" s="378"/>
      <c r="CG54" s="378"/>
      <c r="CH54" s="378"/>
      <c r="CI54" s="378"/>
      <c r="CJ54" s="378"/>
      <c r="CK54" s="378"/>
      <c r="CL54" s="378"/>
      <c r="CM54" s="378"/>
      <c r="CN54" s="378"/>
      <c r="CO54" s="378"/>
      <c r="CP54" s="378"/>
      <c r="CQ54" s="378"/>
      <c r="CR54" s="378"/>
      <c r="CS54" s="378"/>
      <c r="CT54" s="378"/>
      <c r="CU54" s="378"/>
      <c r="CV54" s="378"/>
      <c r="CW54" s="378"/>
      <c r="CX54" s="378"/>
      <c r="CY54" s="378"/>
      <c r="CZ54" s="378"/>
      <c r="DA54" s="378"/>
      <c r="DB54" s="378"/>
      <c r="DC54" s="378"/>
      <c r="DD54" s="378"/>
      <c r="DE54" s="378"/>
      <c r="DF54" s="378"/>
      <c r="DG54" s="378"/>
      <c r="DH54" s="679"/>
      <c r="DI54" s="679"/>
      <c r="DJ54" s="679"/>
      <c r="DK54" s="679"/>
      <c r="DL54" s="679"/>
      <c r="DM54" s="378"/>
      <c r="DN54" s="679"/>
      <c r="DO54" s="679"/>
      <c r="DP54" s="679"/>
      <c r="DQ54" s="679"/>
      <c r="DR54" s="679"/>
      <c r="DS54" s="378"/>
      <c r="DT54" s="679"/>
      <c r="DU54" s="679"/>
      <c r="DV54" s="679"/>
      <c r="DW54" s="679"/>
      <c r="DX54" s="679"/>
      <c r="DZ54" s="679"/>
      <c r="EA54" s="679"/>
      <c r="EB54" s="679"/>
      <c r="EC54" s="679"/>
      <c r="ED54" s="679"/>
      <c r="EE54" s="386"/>
      <c r="EF54" s="679"/>
      <c r="EG54" s="679"/>
      <c r="EH54" s="679"/>
      <c r="EI54" s="679"/>
      <c r="EJ54" s="679"/>
      <c r="EK54" s="386"/>
      <c r="EL54" s="679"/>
      <c r="EM54" s="679"/>
      <c r="EN54" s="679"/>
      <c r="EO54" s="679"/>
      <c r="EP54" s="679"/>
      <c r="ER54" s="679"/>
      <c r="ES54" s="679"/>
      <c r="ET54" s="679"/>
      <c r="EU54" s="679"/>
      <c r="EV54" s="679"/>
      <c r="EX54" s="679"/>
      <c r="EY54" s="679"/>
      <c r="EZ54" s="348"/>
      <c r="FA54" s="348"/>
      <c r="FB54" s="390"/>
      <c r="FD54" s="903">
        <f>(FD51-EX51)/EX65</f>
        <v>2.337871656550462E-3</v>
      </c>
      <c r="FE54" s="895">
        <f>(FE51-EY51)/EY65</f>
        <v>6.3947448595767327E-3</v>
      </c>
      <c r="FF54" s="895">
        <f>(FF51-EZ51)/EZ65</f>
        <v>8.1580130203635949E-3</v>
      </c>
      <c r="FG54" s="895">
        <f>(FG51-FA51)/FA65</f>
        <v>1.2051051283214305E-2</v>
      </c>
      <c r="FH54" s="895">
        <f>(FH51-FB51)/FB65</f>
        <v>7.4267718814710927E-3</v>
      </c>
      <c r="FI54" s="896"/>
      <c r="FJ54" s="895">
        <f>(FJ51-FD51)/FD65</f>
        <v>1.1264059463521244E-2</v>
      </c>
      <c r="FK54" s="895">
        <f>(FK51-FE51)/FE65</f>
        <v>7.7024684385110474E-3</v>
      </c>
      <c r="FL54" s="895">
        <f>(FL51-FF51)/FF65</f>
        <v>6.4846149172649321E-3</v>
      </c>
      <c r="FM54" s="895">
        <f>(FM51-FG51)/FG65</f>
        <v>3.0892179086976098E-3</v>
      </c>
      <c r="FN54" s="895">
        <f>(FN51-FH51)/FH65</f>
        <v>6.9847883466401528E-3</v>
      </c>
      <c r="FP54" s="895">
        <f>(FP51-FJ51)/FJ65</f>
        <v>3.0259706721467881E-3</v>
      </c>
      <c r="FQ54" s="895">
        <f>(FQ51-FK51)/FK65</f>
        <v>2.8334790495457025E-3</v>
      </c>
      <c r="FR54" s="895">
        <f>(FR51-FL51)/FL65</f>
        <v>2.7019121450315019E-3</v>
      </c>
      <c r="FS54" s="895">
        <f>(FS51-FM51)/FM65</f>
        <v>2.5228520409187882E-3</v>
      </c>
      <c r="FT54" s="895">
        <f>(FT51-FN51)/FN65</f>
        <v>2.761457218837117E-3</v>
      </c>
    </row>
    <row r="55" spans="2:176" s="381" customFormat="1">
      <c r="B55" s="378"/>
      <c r="C55" s="374"/>
      <c r="D55" s="378"/>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c r="AT55" s="378"/>
      <c r="AU55" s="378"/>
      <c r="AV55" s="378"/>
      <c r="AW55" s="378"/>
      <c r="AX55" s="378"/>
      <c r="AY55" s="378"/>
      <c r="AZ55" s="383"/>
      <c r="BA55" s="383"/>
      <c r="BB55" s="383"/>
      <c r="BC55" s="383"/>
      <c r="BD55" s="378"/>
      <c r="BE55" s="378"/>
      <c r="BF55" s="383"/>
      <c r="BG55" s="383"/>
      <c r="BH55" s="383"/>
      <c r="BI55" s="383"/>
      <c r="BJ55" s="383"/>
      <c r="BK55" s="378"/>
      <c r="BL55" s="378"/>
      <c r="BM55" s="378"/>
      <c r="BN55" s="378"/>
      <c r="BO55" s="378"/>
      <c r="BP55" s="378"/>
      <c r="BQ55" s="378"/>
      <c r="BR55" s="378"/>
      <c r="BS55" s="378"/>
      <c r="BT55" s="378"/>
      <c r="BU55" s="378"/>
      <c r="BV55" s="378"/>
      <c r="BW55" s="378"/>
      <c r="BX55" s="378"/>
      <c r="BY55" s="378"/>
      <c r="BZ55" s="378"/>
      <c r="CA55" s="379"/>
      <c r="CB55" s="378"/>
      <c r="CC55" s="384"/>
      <c r="CD55" s="378"/>
      <c r="CE55" s="378"/>
      <c r="CF55" s="378"/>
      <c r="CG55" s="378"/>
      <c r="CH55" s="378"/>
      <c r="CI55" s="378"/>
      <c r="CJ55" s="378"/>
      <c r="CK55" s="378"/>
      <c r="CL55" s="378"/>
      <c r="CM55" s="378"/>
      <c r="CN55" s="378"/>
      <c r="CO55" s="378"/>
      <c r="CP55" s="378"/>
      <c r="CQ55" s="378"/>
      <c r="CR55" s="378"/>
      <c r="CS55" s="378"/>
      <c r="CT55" s="378"/>
      <c r="CU55" s="378"/>
      <c r="CV55" s="379"/>
      <c r="CW55" s="379"/>
      <c r="CX55" s="379"/>
      <c r="CY55" s="379"/>
      <c r="CZ55" s="378"/>
      <c r="DA55" s="378"/>
      <c r="DB55" s="379"/>
      <c r="DC55" s="379"/>
      <c r="DD55" s="379"/>
      <c r="DE55" s="379"/>
      <c r="DF55" s="378"/>
      <c r="DG55" s="378"/>
      <c r="DH55" s="385"/>
      <c r="DI55" s="385"/>
      <c r="DJ55" s="385"/>
      <c r="DK55" s="385"/>
      <c r="DL55" s="378"/>
      <c r="DM55" s="378"/>
      <c r="DN55" s="385"/>
      <c r="DO55" s="385"/>
      <c r="DP55" s="385"/>
      <c r="DQ55" s="382"/>
      <c r="DR55" s="378"/>
      <c r="DS55" s="378"/>
      <c r="DT55" s="385"/>
      <c r="DU55" s="385"/>
      <c r="DV55" s="385"/>
      <c r="DW55" s="382"/>
      <c r="DX55" s="378"/>
      <c r="DZ55" s="385"/>
      <c r="EA55" s="385"/>
      <c r="EB55" s="17"/>
      <c r="EC55" s="382"/>
      <c r="ED55" s="378"/>
      <c r="EE55" s="386"/>
      <c r="EF55" s="385"/>
      <c r="EG55" s="385"/>
      <c r="EH55" s="17"/>
      <c r="EI55" s="382"/>
      <c r="EJ55" s="378"/>
      <c r="EK55" s="386"/>
      <c r="EL55" s="385"/>
      <c r="EM55" s="385"/>
      <c r="EN55" s="17"/>
      <c r="EO55" s="382"/>
      <c r="EP55" s="378"/>
      <c r="ER55" s="385"/>
      <c r="ES55" s="385"/>
      <c r="ET55" s="385"/>
      <c r="EU55" s="382"/>
      <c r="EV55" s="679"/>
      <c r="EX55" s="382"/>
      <c r="EY55" s="382"/>
      <c r="EZ55" s="382"/>
      <c r="FA55" s="382"/>
      <c r="FB55" s="385"/>
      <c r="FD55" s="698"/>
      <c r="FE55" s="382"/>
      <c r="FF55" s="382"/>
      <c r="FG55" s="382"/>
      <c r="FH55" s="385"/>
      <c r="FJ55" s="382"/>
      <c r="FK55" s="382"/>
      <c r="FL55" s="382"/>
      <c r="FM55" s="382"/>
      <c r="FN55" s="385"/>
    </row>
    <row r="56" spans="2:176" s="381" customFormat="1">
      <c r="B56" s="378"/>
      <c r="C56" s="384" t="s">
        <v>642</v>
      </c>
      <c r="D56" s="378"/>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c r="AT56" s="378"/>
      <c r="AU56" s="378"/>
      <c r="AV56" s="378"/>
      <c r="AW56" s="378"/>
      <c r="AX56" s="378"/>
      <c r="AY56" s="378"/>
      <c r="AZ56" s="383"/>
      <c r="BA56" s="383"/>
      <c r="BB56" s="383"/>
      <c r="BC56" s="383"/>
      <c r="BD56" s="378"/>
      <c r="BE56" s="378"/>
      <c r="BF56" s="383"/>
      <c r="BG56" s="383"/>
      <c r="BH56" s="383"/>
      <c r="BI56" s="383"/>
      <c r="BJ56" s="383"/>
      <c r="BK56" s="378"/>
      <c r="BL56" s="378"/>
      <c r="BM56" s="378"/>
      <c r="BN56" s="378"/>
      <c r="BO56" s="378"/>
      <c r="BP56" s="378"/>
      <c r="BQ56" s="378"/>
      <c r="BR56" s="378"/>
      <c r="BS56" s="378"/>
      <c r="BT56" s="378"/>
      <c r="BU56" s="378"/>
      <c r="BV56" s="378"/>
      <c r="BW56" s="378"/>
      <c r="BX56" s="378"/>
      <c r="BY56" s="378"/>
      <c r="BZ56" s="378"/>
      <c r="CA56" s="379"/>
      <c r="CB56" s="378"/>
      <c r="CC56" s="384"/>
      <c r="CD56" s="378"/>
      <c r="CE56" s="378"/>
      <c r="CF56" s="378"/>
      <c r="CG56" s="378"/>
      <c r="CH56" s="378"/>
      <c r="CI56" s="378"/>
      <c r="CJ56" s="378"/>
      <c r="CK56" s="378"/>
      <c r="CL56" s="378"/>
      <c r="CM56" s="378"/>
      <c r="CN56" s="378"/>
      <c r="CO56" s="378"/>
      <c r="CP56" s="378"/>
      <c r="CQ56" s="378"/>
      <c r="CR56" s="378"/>
      <c r="CS56" s="378"/>
      <c r="CT56" s="378"/>
      <c r="CU56" s="378"/>
      <c r="CV56" s="379"/>
      <c r="CW56" s="379"/>
      <c r="CX56" s="379"/>
      <c r="CY56" s="379"/>
      <c r="CZ56" s="378"/>
      <c r="DA56" s="378"/>
      <c r="DB56" s="379"/>
      <c r="DC56" s="379"/>
      <c r="DD56" s="379"/>
      <c r="DE56" s="379"/>
      <c r="DF56" s="378"/>
      <c r="DG56" s="378"/>
      <c r="DH56" s="385"/>
      <c r="DI56" s="385"/>
      <c r="DJ56" s="385"/>
      <c r="DK56" s="385"/>
      <c r="DL56" s="378"/>
      <c r="DM56" s="378"/>
      <c r="DN56" s="385"/>
      <c r="DO56" s="385"/>
      <c r="DP56" s="385"/>
      <c r="DQ56" s="382"/>
      <c r="DR56" s="378"/>
      <c r="DS56" s="378"/>
      <c r="DT56" s="385"/>
      <c r="DU56" s="385"/>
      <c r="DV56" s="385"/>
      <c r="DW56" s="382"/>
      <c r="DX56" s="378"/>
      <c r="DZ56" s="385"/>
      <c r="EA56" s="385"/>
      <c r="EB56" s="17"/>
      <c r="EC56" s="382"/>
      <c r="ED56" s="378"/>
      <c r="EE56" s="386"/>
      <c r="EF56" s="17">
        <f>EF10-EF33</f>
        <v>80.020709999999994</v>
      </c>
      <c r="EG56" s="17">
        <f>EG10-EG33</f>
        <v>84.50800000000001</v>
      </c>
      <c r="EH56" s="17">
        <f>EH10-EH33</f>
        <v>83.867980000000003</v>
      </c>
      <c r="EI56" s="17">
        <f>EI10-EI33</f>
        <v>84.369479999999996</v>
      </c>
      <c r="EJ56" s="17">
        <f>EJ10-EJ33</f>
        <v>332.76616999999999</v>
      </c>
      <c r="EK56" s="386"/>
      <c r="EL56" s="17">
        <f>EL10-EL33</f>
        <v>88.449129999999997</v>
      </c>
      <c r="EM56" s="17">
        <f>EM10-EM33</f>
        <v>93.598560000000006</v>
      </c>
      <c r="EN56" s="17">
        <f>EN10-EN33</f>
        <v>94.389219999999995</v>
      </c>
      <c r="EO56" s="17">
        <f>EO10-EO33</f>
        <v>96.242919999999998</v>
      </c>
      <c r="EP56" s="17">
        <f>EP10-EP33</f>
        <v>372.67982999999992</v>
      </c>
      <c r="ER56" s="17">
        <f>ER10-ER33</f>
        <v>94.847174999999993</v>
      </c>
      <c r="ES56" s="17">
        <f>ES10-ES33</f>
        <v>98.971599999999995</v>
      </c>
      <c r="ET56" s="17">
        <f>ET10-ET33</f>
        <v>103.50592999999999</v>
      </c>
      <c r="EU56" s="348">
        <f>EU10-EU33</f>
        <v>107.6981292</v>
      </c>
      <c r="EV56" s="17">
        <f>EV10-EV33</f>
        <v>405.02283420000003</v>
      </c>
      <c r="EX56" s="348">
        <f>EX10-EX33</f>
        <v>102.92481168750001</v>
      </c>
      <c r="EY56" s="348">
        <f>EY10-EY33</f>
        <v>107.7404430375</v>
      </c>
      <c r="EZ56" s="348">
        <f>EZ10-EZ33</f>
        <v>114.40213427499999</v>
      </c>
      <c r="FA56" s="348">
        <f>FA10-FA33</f>
        <v>118.52105255999999</v>
      </c>
      <c r="FB56" s="17">
        <f>FB10-FB33</f>
        <v>443.58844155999998</v>
      </c>
      <c r="FC56" s="372"/>
      <c r="FD56" s="685">
        <f>FD10-FD33</f>
        <v>105.74308016752499</v>
      </c>
      <c r="FE56" s="348">
        <f>FE10-FE33</f>
        <v>110.75095504687503</v>
      </c>
      <c r="FF56" s="348">
        <f>FF10-FF33</f>
        <v>118.21832225775002</v>
      </c>
      <c r="FG56" s="348">
        <f>FG10-FG33</f>
        <v>124.87191182799999</v>
      </c>
      <c r="FH56" s="17">
        <f>FH10-FH33</f>
        <v>459.58426930015008</v>
      </c>
      <c r="FI56" s="372"/>
      <c r="FJ56" s="348">
        <f>FJ10-FJ33</f>
        <v>104.96625533844963</v>
      </c>
      <c r="FK56" s="348">
        <f>FK10-FK33</f>
        <v>109.25526888168754</v>
      </c>
      <c r="FL56" s="348">
        <f>FL10-FL33</f>
        <v>117.2744395159194</v>
      </c>
      <c r="FM56" s="348">
        <f>FM10-FM33</f>
        <v>124.90586237466884</v>
      </c>
      <c r="FN56" s="17">
        <f>FN10-FN33</f>
        <v>456.40182611072532</v>
      </c>
      <c r="FP56" s="348">
        <f>FP10-FP33</f>
        <v>100.63815870007177</v>
      </c>
      <c r="FQ56" s="348">
        <f>FQ10-FQ33</f>
        <v>103.76586555639241</v>
      </c>
      <c r="FR56" s="348">
        <f>FR10-FR33</f>
        <v>112.32999431284384</v>
      </c>
      <c r="FS56" s="348">
        <f>FS10-FS33</f>
        <v>121.12863777686157</v>
      </c>
      <c r="FT56" s="17">
        <f>FT10-FT33</f>
        <v>437.86265634616962</v>
      </c>
    </row>
    <row r="57" spans="2:176" s="381" customFormat="1">
      <c r="B57" s="378"/>
      <c r="C57" s="389" t="s">
        <v>125</v>
      </c>
      <c r="D57" s="378"/>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c r="AT57" s="378"/>
      <c r="AU57" s="378"/>
      <c r="AV57" s="378"/>
      <c r="AW57" s="378"/>
      <c r="AX57" s="378"/>
      <c r="AY57" s="378"/>
      <c r="AZ57" s="383"/>
      <c r="BA57" s="383"/>
      <c r="BB57" s="383"/>
      <c r="BC57" s="383"/>
      <c r="BD57" s="378"/>
      <c r="BE57" s="378"/>
      <c r="BF57" s="383"/>
      <c r="BG57" s="383"/>
      <c r="BH57" s="383"/>
      <c r="BI57" s="383"/>
      <c r="BJ57" s="383"/>
      <c r="BK57" s="378"/>
      <c r="BL57" s="378"/>
      <c r="BM57" s="378"/>
      <c r="BN57" s="378"/>
      <c r="BO57" s="378"/>
      <c r="BP57" s="378"/>
      <c r="BQ57" s="378"/>
      <c r="BR57" s="378"/>
      <c r="BS57" s="378"/>
      <c r="BT57" s="378"/>
      <c r="BU57" s="378"/>
      <c r="BV57" s="378"/>
      <c r="BW57" s="378"/>
      <c r="BX57" s="378"/>
      <c r="BY57" s="378"/>
      <c r="BZ57" s="378"/>
      <c r="CA57" s="379"/>
      <c r="CB57" s="378"/>
      <c r="CC57" s="384"/>
      <c r="CD57" s="378"/>
      <c r="CE57" s="378"/>
      <c r="CF57" s="378"/>
      <c r="CG57" s="378"/>
      <c r="CH57" s="378"/>
      <c r="CI57" s="378"/>
      <c r="CJ57" s="378"/>
      <c r="CK57" s="378"/>
      <c r="CL57" s="378"/>
      <c r="CM57" s="378"/>
      <c r="CN57" s="378"/>
      <c r="CO57" s="378"/>
      <c r="CP57" s="378"/>
      <c r="CQ57" s="378"/>
      <c r="CR57" s="378"/>
      <c r="CS57" s="378"/>
      <c r="CT57" s="378"/>
      <c r="CU57" s="378"/>
      <c r="CV57" s="379"/>
      <c r="CW57" s="379"/>
      <c r="CX57" s="379"/>
      <c r="CY57" s="379"/>
      <c r="CZ57" s="378"/>
      <c r="DA57" s="378"/>
      <c r="DB57" s="379"/>
      <c r="DC57" s="379"/>
      <c r="DD57" s="379"/>
      <c r="DE57" s="379"/>
      <c r="DF57" s="378"/>
      <c r="DG57" s="378"/>
      <c r="DH57" s="385"/>
      <c r="DI57" s="385"/>
      <c r="DJ57" s="385"/>
      <c r="DK57" s="385"/>
      <c r="DL57" s="378"/>
      <c r="DM57" s="378"/>
      <c r="DN57" s="385"/>
      <c r="DO57" s="385"/>
      <c r="DP57" s="385"/>
      <c r="DQ57" s="382"/>
      <c r="DR57" s="378"/>
      <c r="DS57" s="378"/>
      <c r="DT57" s="385"/>
      <c r="DU57" s="385"/>
      <c r="DV57" s="385"/>
      <c r="DW57" s="382"/>
      <c r="DX57" s="378"/>
      <c r="DZ57" s="385"/>
      <c r="EA57" s="385"/>
      <c r="EB57" s="17"/>
      <c r="EC57" s="382"/>
      <c r="ED57" s="378"/>
      <c r="EE57" s="386"/>
      <c r="EF57" s="385"/>
      <c r="EG57" s="385"/>
      <c r="EH57" s="17"/>
      <c r="EI57" s="382"/>
      <c r="EJ57" s="378"/>
      <c r="EK57" s="386"/>
      <c r="EL57" s="390">
        <f>EL56/EF56-1</f>
        <v>0.10532798321834447</v>
      </c>
      <c r="EM57" s="390">
        <f>EM56/EG56-1</f>
        <v>0.10757040753538116</v>
      </c>
      <c r="EN57" s="390">
        <f>EN56/EH56-1</f>
        <v>0.1254500227619646</v>
      </c>
      <c r="EO57" s="390">
        <f>EO56/EI56-1</f>
        <v>0.14073145881662419</v>
      </c>
      <c r="EP57" s="390">
        <f>EP56/EJ56-1</f>
        <v>0.1199450653292069</v>
      </c>
      <c r="ER57" s="390">
        <f>ER56/EL56-1</f>
        <v>7.2335872608356944E-2</v>
      </c>
      <c r="ES57" s="390">
        <f>ES56/EM56-1</f>
        <v>5.7405156660529588E-2</v>
      </c>
      <c r="ET57" s="390">
        <f>ET56/EN56-1</f>
        <v>9.6586347466373734E-2</v>
      </c>
      <c r="EU57" s="390">
        <f>EU56/EO56-1</f>
        <v>0.11902391573323001</v>
      </c>
      <c r="EV57" s="390">
        <f>EV56/EP56-1</f>
        <v>8.6784960162722191E-2</v>
      </c>
      <c r="EX57" s="390">
        <f>EX56/ER56-1</f>
        <v>8.5164757806439839E-2</v>
      </c>
      <c r="EY57" s="390">
        <f>EY56/ES56-1</f>
        <v>8.8599588543582186E-2</v>
      </c>
      <c r="EZ57" s="390">
        <f>EZ56/ET56-1</f>
        <v>0.10527130450400279</v>
      </c>
      <c r="FA57" s="390">
        <f>FA56/EU56-1</f>
        <v>0.10049314171373736</v>
      </c>
      <c r="FB57" s="390">
        <f>FB56/EV56-1</f>
        <v>9.5218353395246424E-2</v>
      </c>
      <c r="FD57" s="567">
        <f>FD56/EX56-1</f>
        <v>2.7381818181817952E-2</v>
      </c>
      <c r="FE57" s="390">
        <f>FE56/EY56-1</f>
        <v>2.7942264988897403E-2</v>
      </c>
      <c r="FF57" s="390">
        <f>FF56/EZ56-1</f>
        <v>3.3357664233576889E-2</v>
      </c>
      <c r="FG57" s="390">
        <f>FG56/FA56-1</f>
        <v>5.3584229390680971E-2</v>
      </c>
      <c r="FH57" s="390">
        <f>FH56/FB56-1</f>
        <v>3.6060064333273356E-2</v>
      </c>
      <c r="FJ57" s="390">
        <f>FJ56/FD56-1</f>
        <v>-7.3463419813822872E-3</v>
      </c>
      <c r="FK57" s="390">
        <f>FK56/FE56-1</f>
        <v>-1.3504950495049406E-2</v>
      </c>
      <c r="FL57" s="390">
        <f>FL56/FF56-1</f>
        <v>-7.9842339478705115E-3</v>
      </c>
      <c r="FM57" s="390">
        <f>FM56/FG56-1</f>
        <v>2.7188297329505673E-4</v>
      </c>
      <c r="FN57" s="390">
        <f>FN56/FH56-1</f>
        <v>-6.9246129643882881E-3</v>
      </c>
      <c r="FP57" s="390">
        <f>FP56/FJ56-1</f>
        <v>-4.1233219422970646E-2</v>
      </c>
      <c r="FQ57" s="390">
        <f>FQ56/FK56-1</f>
        <v>-5.0243831546829987E-2</v>
      </c>
      <c r="FR57" s="390">
        <f>FR56/FL56-1</f>
        <v>-4.2161320262838475E-2</v>
      </c>
      <c r="FS57" s="390">
        <f>FS56/FM56-1</f>
        <v>-3.0240570986789006E-2</v>
      </c>
      <c r="FT57" s="390">
        <f>FT56/FN56-1</f>
        <v>-4.0620279551769389E-2</v>
      </c>
    </row>
    <row r="58" spans="2:176" s="381" customFormat="1">
      <c r="B58" s="378"/>
      <c r="C58" s="374" t="s">
        <v>641</v>
      </c>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c r="AT58" s="378"/>
      <c r="AU58" s="378"/>
      <c r="AV58" s="378"/>
      <c r="AW58" s="378"/>
      <c r="AX58" s="378"/>
      <c r="AY58" s="378"/>
      <c r="AZ58" s="383"/>
      <c r="BA58" s="383"/>
      <c r="BB58" s="383"/>
      <c r="BC58" s="383"/>
      <c r="BD58" s="378"/>
      <c r="BE58" s="378"/>
      <c r="BF58" s="383"/>
      <c r="BG58" s="383"/>
      <c r="BH58" s="383"/>
      <c r="BI58" s="383"/>
      <c r="BJ58" s="383"/>
      <c r="BK58" s="378"/>
      <c r="BL58" s="378"/>
      <c r="BM58" s="378"/>
      <c r="BN58" s="378"/>
      <c r="BO58" s="378"/>
      <c r="BP58" s="378"/>
      <c r="BQ58" s="378"/>
      <c r="BR58" s="378"/>
      <c r="BS58" s="378"/>
      <c r="BT58" s="378"/>
      <c r="BU58" s="378"/>
      <c r="BV58" s="378"/>
      <c r="BW58" s="378"/>
      <c r="BX58" s="378"/>
      <c r="BY58" s="378"/>
      <c r="BZ58" s="378"/>
      <c r="CA58" s="379"/>
      <c r="CB58" s="378"/>
      <c r="CC58" s="384"/>
      <c r="CD58" s="378"/>
      <c r="CE58" s="378"/>
      <c r="CF58" s="378"/>
      <c r="CG58" s="378"/>
      <c r="CH58" s="378"/>
      <c r="CI58" s="378"/>
      <c r="CJ58" s="378"/>
      <c r="CK58" s="378"/>
      <c r="CL58" s="378"/>
      <c r="CM58" s="378"/>
      <c r="CN58" s="378"/>
      <c r="CO58" s="378"/>
      <c r="CP58" s="378"/>
      <c r="CQ58" s="378"/>
      <c r="CR58" s="378"/>
      <c r="CS58" s="378"/>
      <c r="CT58" s="378"/>
      <c r="CU58" s="378"/>
      <c r="CV58" s="379"/>
      <c r="CW58" s="379"/>
      <c r="CX58" s="379"/>
      <c r="CY58" s="379"/>
      <c r="CZ58" s="378"/>
      <c r="DA58" s="378"/>
      <c r="DB58" s="379"/>
      <c r="DC58" s="379"/>
      <c r="DD58" s="379"/>
      <c r="DE58" s="379"/>
      <c r="DF58" s="378"/>
      <c r="DG58" s="378"/>
      <c r="DH58" s="385"/>
      <c r="DI58" s="385"/>
      <c r="DJ58" s="385"/>
      <c r="DK58" s="385"/>
      <c r="DL58" s="378"/>
      <c r="DM58" s="378"/>
      <c r="DN58" s="385"/>
      <c r="DO58" s="385"/>
      <c r="DP58" s="385"/>
      <c r="DQ58" s="382"/>
      <c r="DR58" s="378"/>
      <c r="DS58" s="378"/>
      <c r="DT58" s="385"/>
      <c r="DU58" s="385"/>
      <c r="DV58" s="385"/>
      <c r="DW58" s="382"/>
      <c r="DX58" s="378"/>
      <c r="DZ58" s="385"/>
      <c r="EA58" s="385"/>
      <c r="EB58" s="17"/>
      <c r="EC58" s="382"/>
      <c r="ED58" s="378"/>
      <c r="EE58" s="386"/>
      <c r="EF58" s="679">
        <f>EF56/EF10</f>
        <v>0.80999999999999994</v>
      </c>
      <c r="EG58" s="679">
        <f>EG56/EG10</f>
        <v>0.8</v>
      </c>
      <c r="EH58" s="679">
        <f>EH56/EH10</f>
        <v>0.79</v>
      </c>
      <c r="EI58" s="679">
        <f>EI56/EI10</f>
        <v>0.78</v>
      </c>
      <c r="EJ58" s="679">
        <f>EJ56/EJ10</f>
        <v>0.79465788983508223</v>
      </c>
      <c r="EK58" s="386"/>
      <c r="EL58" s="679">
        <f>EL56/EL10</f>
        <v>0.77</v>
      </c>
      <c r="EM58" s="679">
        <f>EM56/EM10</f>
        <v>0.76</v>
      </c>
      <c r="EN58" s="679">
        <f>EN56/EN10</f>
        <v>0.74</v>
      </c>
      <c r="EO58" s="679">
        <f>EO56/EO10</f>
        <v>0.74</v>
      </c>
      <c r="EP58" s="679">
        <f>EP56/EP10</f>
        <v>0.75192243904801093</v>
      </c>
      <c r="ER58" s="679">
        <f>ER56/ER10</f>
        <v>0.70499999999999996</v>
      </c>
      <c r="ES58" s="679">
        <f>ES56/ES10</f>
        <v>0.7</v>
      </c>
      <c r="ET58" s="679">
        <f>ET56/ET10</f>
        <v>0.71</v>
      </c>
      <c r="EU58" s="679">
        <f>EU56/EU10</f>
        <v>0.72</v>
      </c>
      <c r="EV58" s="679">
        <f>EV56/EV10</f>
        <v>0.7089659349433346</v>
      </c>
      <c r="EX58" s="679">
        <f>EX56/EX10</f>
        <v>0.6875</v>
      </c>
      <c r="EY58" s="679">
        <f>EY56/EY10</f>
        <v>0.6755000000000001</v>
      </c>
      <c r="EZ58" s="679">
        <f>EZ56/EZ10</f>
        <v>0.68499999999999994</v>
      </c>
      <c r="FA58" s="679">
        <f>FA56/FA10</f>
        <v>0.69750000000000001</v>
      </c>
      <c r="FB58" s="679">
        <f>FB56/FB10</f>
        <v>0.68652146880303955</v>
      </c>
      <c r="FD58" s="730">
        <f>FD56/FD10</f>
        <v>0.64389899266147044</v>
      </c>
      <c r="FE58" s="679">
        <f>FE56/FE10</f>
        <v>0.63125000000000009</v>
      </c>
      <c r="FF58" s="679">
        <f>FF56/FF10</f>
        <v>0.64256535947712423</v>
      </c>
      <c r="FG58" s="679">
        <f>FG56/FG10</f>
        <v>0.66026504941599284</v>
      </c>
      <c r="FH58" s="679">
        <f>FH56/FH10</f>
        <v>0.64478374050425835</v>
      </c>
      <c r="FJ58" s="679">
        <f>FJ56/FJ10</f>
        <v>0.57995525856084895</v>
      </c>
      <c r="FK58" s="679">
        <f>FK56/FK10</f>
        <v>0.56503493330913723</v>
      </c>
      <c r="FL58" s="679">
        <f>FL56/FL10</f>
        <v>0.57838214982330227</v>
      </c>
      <c r="FM58" s="679">
        <f>FM56/FM10</f>
        <v>0.59926010728680768</v>
      </c>
      <c r="FN58" s="679">
        <f>FN56/FN10</f>
        <v>0.58099887728476174</v>
      </c>
      <c r="FP58" s="679">
        <f>FP56/FP10</f>
        <v>0.5045293858353177</v>
      </c>
      <c r="FQ58" s="679">
        <f>FQ56/FQ10</f>
        <v>0.48692987324369702</v>
      </c>
      <c r="FR58" s="679">
        <f>FR56/FR10</f>
        <v>0.50267379980972049</v>
      </c>
      <c r="FS58" s="679">
        <f>FS56/FS10</f>
        <v>0.52730073448221582</v>
      </c>
      <c r="FT58" s="679">
        <f>FT56/FT10</f>
        <v>0.50576040329388472</v>
      </c>
    </row>
    <row r="59" spans="2:176" s="381" customFormat="1">
      <c r="B59" s="378"/>
      <c r="C59" s="389"/>
      <c r="D59" s="378"/>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83"/>
      <c r="BA59" s="383"/>
      <c r="BB59" s="383"/>
      <c r="BC59" s="383"/>
      <c r="BD59" s="378"/>
      <c r="BE59" s="378"/>
      <c r="BF59" s="383"/>
      <c r="BG59" s="383"/>
      <c r="BH59" s="383"/>
      <c r="BI59" s="383"/>
      <c r="BJ59" s="383"/>
      <c r="BK59" s="378"/>
      <c r="BL59" s="378"/>
      <c r="BM59" s="378"/>
      <c r="BN59" s="378"/>
      <c r="BO59" s="378"/>
      <c r="BP59" s="378"/>
      <c r="BQ59" s="378"/>
      <c r="BR59" s="378"/>
      <c r="BS59" s="378"/>
      <c r="BT59" s="378"/>
      <c r="BU59" s="378"/>
      <c r="BV59" s="378"/>
      <c r="BW59" s="378"/>
      <c r="BX59" s="378"/>
      <c r="BY59" s="378"/>
      <c r="BZ59" s="378"/>
      <c r="CA59" s="379"/>
      <c r="CB59" s="378"/>
      <c r="CC59" s="384"/>
      <c r="CD59" s="378"/>
      <c r="CE59" s="378"/>
      <c r="CF59" s="378"/>
      <c r="CG59" s="378"/>
      <c r="CH59" s="378"/>
      <c r="CI59" s="378"/>
      <c r="CJ59" s="378"/>
      <c r="CK59" s="378"/>
      <c r="CL59" s="378"/>
      <c r="CM59" s="378"/>
      <c r="CN59" s="378"/>
      <c r="CO59" s="378"/>
      <c r="CP59" s="378"/>
      <c r="CQ59" s="378"/>
      <c r="CR59" s="378"/>
      <c r="CS59" s="378"/>
      <c r="CT59" s="378"/>
      <c r="CU59" s="378"/>
      <c r="CV59" s="379"/>
      <c r="CW59" s="379"/>
      <c r="CX59" s="379"/>
      <c r="CY59" s="379"/>
      <c r="CZ59" s="378"/>
      <c r="DA59" s="378"/>
      <c r="DB59" s="379"/>
      <c r="DC59" s="379"/>
      <c r="DD59" s="379"/>
      <c r="DE59" s="379"/>
      <c r="DF59" s="378"/>
      <c r="DG59" s="378"/>
      <c r="DH59" s="385"/>
      <c r="DI59" s="385"/>
      <c r="DJ59" s="385"/>
      <c r="DK59" s="385"/>
      <c r="DL59" s="378"/>
      <c r="DM59" s="378"/>
      <c r="DN59" s="385"/>
      <c r="DO59" s="385"/>
      <c r="DP59" s="385"/>
      <c r="DQ59" s="382"/>
      <c r="DR59" s="378"/>
      <c r="DS59" s="378"/>
      <c r="DT59" s="385"/>
      <c r="DU59" s="385"/>
      <c r="DV59" s="385"/>
      <c r="DW59" s="382"/>
      <c r="DX59" s="378"/>
      <c r="DZ59" s="385"/>
      <c r="EA59" s="385"/>
      <c r="EB59" s="17"/>
      <c r="EC59" s="382"/>
      <c r="ED59" s="378"/>
      <c r="EE59" s="386"/>
      <c r="EF59" s="385"/>
      <c r="EG59" s="385"/>
      <c r="EH59" s="17"/>
      <c r="EI59" s="382"/>
      <c r="EJ59" s="378"/>
      <c r="EK59" s="386"/>
      <c r="EL59" s="390"/>
      <c r="EM59" s="390"/>
      <c r="EN59" s="390"/>
      <c r="EO59" s="390"/>
      <c r="EP59" s="390"/>
      <c r="ER59" s="390"/>
      <c r="ES59" s="390"/>
      <c r="ET59" s="390"/>
      <c r="EU59" s="390"/>
      <c r="EV59" s="390"/>
      <c r="EX59" s="390"/>
      <c r="EY59" s="390"/>
      <c r="EZ59" s="390"/>
      <c r="FA59" s="390"/>
      <c r="FB59" s="390"/>
      <c r="FD59" s="567"/>
      <c r="FE59" s="390"/>
      <c r="FF59" s="390"/>
      <c r="FG59" s="390"/>
      <c r="FH59" s="390"/>
      <c r="FJ59" s="390"/>
      <c r="FK59" s="390"/>
      <c r="FL59" s="390"/>
      <c r="FM59" s="390"/>
      <c r="FN59" s="390"/>
      <c r="FP59" s="390"/>
      <c r="FQ59" s="390"/>
      <c r="FR59" s="390"/>
      <c r="FS59" s="390"/>
      <c r="FT59" s="390"/>
    </row>
    <row r="60" spans="2:176" s="381" customFormat="1">
      <c r="B60" s="892" t="s">
        <v>695</v>
      </c>
      <c r="C60" s="348"/>
      <c r="D60" s="373"/>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5"/>
      <c r="BA60" s="375"/>
      <c r="BB60" s="375"/>
      <c r="BC60" s="375"/>
      <c r="BD60" s="373"/>
      <c r="BE60" s="373"/>
      <c r="BF60" s="375"/>
      <c r="BG60" s="375"/>
      <c r="BH60" s="375"/>
      <c r="BI60" s="375"/>
      <c r="BJ60" s="375"/>
      <c r="BK60" s="373"/>
      <c r="BL60" s="373"/>
      <c r="BM60" s="373"/>
      <c r="BN60" s="373"/>
      <c r="BO60" s="373"/>
      <c r="BP60" s="373"/>
      <c r="BQ60" s="373"/>
      <c r="BR60" s="373"/>
      <c r="BS60" s="373"/>
      <c r="BT60" s="373"/>
      <c r="BU60" s="373"/>
      <c r="BV60" s="373"/>
      <c r="BW60" s="373"/>
      <c r="BX60" s="373"/>
      <c r="BY60" s="373"/>
      <c r="BZ60" s="373"/>
      <c r="CA60" s="376"/>
      <c r="CB60" s="373"/>
      <c r="CC60" s="377"/>
      <c r="CD60" s="373"/>
      <c r="CE60" s="373"/>
      <c r="CF60" s="373"/>
      <c r="CG60" s="373"/>
      <c r="CH60" s="373"/>
      <c r="CI60" s="373"/>
      <c r="CJ60" s="373"/>
      <c r="CK60" s="373"/>
      <c r="CL60" s="373"/>
      <c r="CM60" s="373"/>
      <c r="CN60" s="373"/>
      <c r="CO60" s="373"/>
      <c r="CP60" s="373"/>
      <c r="CQ60" s="373"/>
      <c r="CR60" s="373"/>
      <c r="CS60" s="373"/>
      <c r="CT60" s="373"/>
      <c r="CU60" s="373"/>
      <c r="CV60" s="376"/>
      <c r="CW60" s="376"/>
      <c r="CX60" s="376"/>
      <c r="CY60" s="376"/>
      <c r="CZ60" s="373"/>
      <c r="DA60" s="373"/>
      <c r="DB60" s="376"/>
      <c r="DC60" s="376"/>
      <c r="DD60" s="376"/>
      <c r="DE60" s="376"/>
      <c r="DF60" s="373"/>
      <c r="DG60" s="373"/>
      <c r="DH60" s="17"/>
      <c r="DI60" s="17"/>
      <c r="DJ60" s="17"/>
      <c r="DK60" s="17"/>
      <c r="DL60" s="17"/>
      <c r="DM60" s="373"/>
      <c r="DN60" s="17"/>
      <c r="DO60" s="17"/>
      <c r="DP60" s="17"/>
      <c r="DQ60" s="17"/>
      <c r="DR60" s="17"/>
      <c r="DS60" s="354"/>
      <c r="DT60" s="17"/>
      <c r="DU60" s="17"/>
      <c r="DV60" s="17"/>
      <c r="DW60" s="17"/>
      <c r="DX60" s="17"/>
      <c r="DY60" s="31"/>
      <c r="DZ60" s="17"/>
      <c r="EA60" s="17"/>
      <c r="EB60" s="17"/>
      <c r="EC60" s="17"/>
      <c r="ED60" s="17"/>
      <c r="EE60" s="41"/>
      <c r="EF60" s="17"/>
      <c r="EG60" s="17"/>
      <c r="EH60" s="17"/>
      <c r="EI60" s="17"/>
      <c r="EJ60" s="17"/>
      <c r="EK60" s="41"/>
      <c r="EL60" s="17"/>
      <c r="EM60" s="17"/>
      <c r="EN60" s="17"/>
      <c r="EO60" s="17"/>
      <c r="EP60" s="17"/>
      <c r="EQ60" s="372"/>
      <c r="ER60" s="17"/>
      <c r="ES60" s="17"/>
      <c r="ET60" s="17"/>
      <c r="EU60" s="17"/>
      <c r="EV60" s="17"/>
      <c r="EW60" s="372"/>
      <c r="EX60" s="17"/>
      <c r="EY60" s="17">
        <v>4.7</v>
      </c>
      <c r="EZ60" s="17">
        <v>4.5999999999999996</v>
      </c>
      <c r="FA60" s="923">
        <f>(FA62*FA63)/1000000</f>
        <v>4.3360000000000003</v>
      </c>
      <c r="FB60" s="17">
        <f>SUM(EX60:FA60)</f>
        <v>13.636000000000001</v>
      </c>
      <c r="FC60" s="372"/>
      <c r="FD60" s="565">
        <f t="shared" ref="FD60:FG60" si="3">(FD62*FD63)/1000000</f>
        <v>4.4550000000000001</v>
      </c>
      <c r="FE60" s="17">
        <f t="shared" si="3"/>
        <v>4.6900000000000004</v>
      </c>
      <c r="FF60" s="17">
        <f t="shared" si="3"/>
        <v>4.93</v>
      </c>
      <c r="FG60" s="17">
        <f t="shared" si="3"/>
        <v>5.0999999999999996</v>
      </c>
      <c r="FH60" s="17">
        <f>SUM(FD60:FG60)</f>
        <v>19.174999999999997</v>
      </c>
      <c r="FI60" s="372"/>
      <c r="FJ60" s="17">
        <f>FD60*(1+FJ61)</f>
        <v>4.9005000000000001</v>
      </c>
      <c r="FK60" s="17">
        <f>FE60*(1+FK61)</f>
        <v>5.1590000000000007</v>
      </c>
      <c r="FL60" s="17">
        <f>FF60*(1+FL61)</f>
        <v>5.423</v>
      </c>
      <c r="FM60" s="17">
        <f>FG60*(1+FM61)</f>
        <v>5.61</v>
      </c>
      <c r="FN60" s="17">
        <f>SUM(FJ60:FM60)</f>
        <v>21.092500000000001</v>
      </c>
      <c r="FP60" s="17">
        <f>FJ60*(1+FP61)</f>
        <v>5.3905500000000002</v>
      </c>
      <c r="FQ60" s="17">
        <f>FK60*(1+FQ61)</f>
        <v>5.6749000000000009</v>
      </c>
      <c r="FR60" s="17">
        <f>FL60*(1+FR61)</f>
        <v>5.9653000000000009</v>
      </c>
      <c r="FS60" s="17">
        <f>FM60*(1+FS61)</f>
        <v>6.1710000000000012</v>
      </c>
      <c r="FT60" s="17">
        <f>SUM(FP60:FS60)</f>
        <v>23.201750000000004</v>
      </c>
    </row>
    <row r="61" spans="2:176" s="381" customFormat="1">
      <c r="B61" s="373"/>
      <c r="C61" s="389" t="s">
        <v>125</v>
      </c>
      <c r="D61" s="373"/>
      <c r="E61" s="373"/>
      <c r="F61" s="373"/>
      <c r="G61" s="373"/>
      <c r="H61" s="373"/>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73"/>
      <c r="AT61" s="373"/>
      <c r="AU61" s="373"/>
      <c r="AV61" s="373"/>
      <c r="AW61" s="373"/>
      <c r="AX61" s="373"/>
      <c r="AY61" s="373"/>
      <c r="AZ61" s="375"/>
      <c r="BA61" s="375"/>
      <c r="BB61" s="375"/>
      <c r="BC61" s="375"/>
      <c r="BD61" s="373"/>
      <c r="BE61" s="373"/>
      <c r="BF61" s="375"/>
      <c r="BG61" s="375"/>
      <c r="BH61" s="375"/>
      <c r="BI61" s="375"/>
      <c r="BJ61" s="375"/>
      <c r="BK61" s="373"/>
      <c r="BL61" s="373"/>
      <c r="BM61" s="373"/>
      <c r="BN61" s="373"/>
      <c r="BO61" s="373"/>
      <c r="BP61" s="373"/>
      <c r="BQ61" s="373"/>
      <c r="BR61" s="373"/>
      <c r="BS61" s="373"/>
      <c r="BT61" s="373"/>
      <c r="BU61" s="373"/>
      <c r="BV61" s="373"/>
      <c r="BW61" s="373"/>
      <c r="BX61" s="373"/>
      <c r="BY61" s="373"/>
      <c r="BZ61" s="373"/>
      <c r="CA61" s="376"/>
      <c r="CB61" s="373"/>
      <c r="CC61" s="377"/>
      <c r="CD61" s="373"/>
      <c r="CE61" s="373"/>
      <c r="CF61" s="373"/>
      <c r="CG61" s="373"/>
      <c r="CH61" s="373"/>
      <c r="CI61" s="373"/>
      <c r="CJ61" s="373"/>
      <c r="CK61" s="373"/>
      <c r="CL61" s="373"/>
      <c r="CM61" s="373"/>
      <c r="CN61" s="373"/>
      <c r="CO61" s="373"/>
      <c r="CP61" s="373"/>
      <c r="CQ61" s="373"/>
      <c r="CR61" s="373"/>
      <c r="CS61" s="373"/>
      <c r="CT61" s="373"/>
      <c r="CU61" s="373"/>
      <c r="CV61" s="376"/>
      <c r="CW61" s="376"/>
      <c r="CX61" s="376"/>
      <c r="CY61" s="376"/>
      <c r="CZ61" s="373"/>
      <c r="DA61" s="373"/>
      <c r="DB61" s="376"/>
      <c r="DC61" s="376"/>
      <c r="DD61" s="376"/>
      <c r="DE61" s="376"/>
      <c r="DF61" s="373"/>
      <c r="DG61" s="373"/>
      <c r="DH61" s="17"/>
      <c r="DI61" s="17"/>
      <c r="DJ61" s="17"/>
      <c r="DK61" s="17"/>
      <c r="DL61" s="17"/>
      <c r="DM61" s="373"/>
      <c r="DN61" s="17"/>
      <c r="DO61" s="17"/>
      <c r="DP61" s="17"/>
      <c r="DQ61" s="17"/>
      <c r="DR61" s="17"/>
      <c r="DS61" s="354"/>
      <c r="DT61" s="17"/>
      <c r="DU61" s="17"/>
      <c r="DV61" s="17"/>
      <c r="DW61" s="17"/>
      <c r="DX61" s="17"/>
      <c r="DY61" s="31"/>
      <c r="DZ61" s="17"/>
      <c r="EA61" s="17"/>
      <c r="EB61" s="17"/>
      <c r="EC61" s="17"/>
      <c r="ED61" s="17"/>
      <c r="EE61" s="41"/>
      <c r="EF61" s="17"/>
      <c r="EG61" s="17"/>
      <c r="EH61" s="17"/>
      <c r="EI61" s="17"/>
      <c r="EJ61" s="17"/>
      <c r="EK61" s="41"/>
      <c r="EL61" s="17"/>
      <c r="EM61" s="17"/>
      <c r="EN61" s="17"/>
      <c r="EO61" s="17"/>
      <c r="EP61" s="17"/>
      <c r="EQ61" s="372"/>
      <c r="ER61" s="17"/>
      <c r="ES61" s="17"/>
      <c r="ET61" s="17"/>
      <c r="EU61" s="17"/>
      <c r="EV61" s="17"/>
      <c r="EW61" s="372"/>
      <c r="EX61" s="17"/>
      <c r="EY61" s="17"/>
      <c r="EZ61" s="17"/>
      <c r="FA61" s="17"/>
      <c r="FB61" s="17"/>
      <c r="FC61" s="372"/>
      <c r="FD61" s="565"/>
      <c r="FE61" s="390">
        <f>FE60/EY60-1</f>
        <v>-2.1276595744680327E-3</v>
      </c>
      <c r="FF61" s="390">
        <f>FF60/EZ60-1</f>
        <v>7.1739130434782528E-2</v>
      </c>
      <c r="FG61" s="390">
        <f>FG60/FA60-1</f>
        <v>0.17619926199261982</v>
      </c>
      <c r="FH61" s="390">
        <f>FH60/FB60-1</f>
        <v>0.40620416544441151</v>
      </c>
      <c r="FI61" s="372"/>
      <c r="FJ61" s="561">
        <v>0.1</v>
      </c>
      <c r="FK61" s="561">
        <v>0.1</v>
      </c>
      <c r="FL61" s="561">
        <v>0.1</v>
      </c>
      <c r="FM61" s="561">
        <v>0.1</v>
      </c>
      <c r="FN61" s="390">
        <f>FN60/FH60-1</f>
        <v>0.10000000000000031</v>
      </c>
      <c r="FP61" s="561">
        <v>0.1</v>
      </c>
      <c r="FQ61" s="561">
        <v>0.1</v>
      </c>
      <c r="FR61" s="561">
        <v>0.1</v>
      </c>
      <c r="FS61" s="561">
        <v>0.1</v>
      </c>
      <c r="FT61" s="390">
        <f>FT60/FN60-1</f>
        <v>0.10000000000000009</v>
      </c>
    </row>
    <row r="62" spans="2:176" s="381" customFormat="1">
      <c r="B62" s="373"/>
      <c r="C62" s="348" t="s">
        <v>560</v>
      </c>
      <c r="D62" s="373"/>
      <c r="E62" s="373"/>
      <c r="F62" s="373"/>
      <c r="G62" s="373"/>
      <c r="H62" s="373"/>
      <c r="I62" s="373"/>
      <c r="J62" s="373"/>
      <c r="K62" s="373"/>
      <c r="L62" s="373"/>
      <c r="M62" s="373"/>
      <c r="N62" s="373"/>
      <c r="O62" s="373"/>
      <c r="P62" s="373"/>
      <c r="Q62" s="373"/>
      <c r="R62" s="373"/>
      <c r="S62" s="373"/>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5"/>
      <c r="BA62" s="375"/>
      <c r="BB62" s="375"/>
      <c r="BC62" s="375"/>
      <c r="BD62" s="373"/>
      <c r="BE62" s="373"/>
      <c r="BF62" s="375"/>
      <c r="BG62" s="375"/>
      <c r="BH62" s="375"/>
      <c r="BI62" s="375"/>
      <c r="BJ62" s="375"/>
      <c r="BK62" s="373"/>
      <c r="BL62" s="373"/>
      <c r="BM62" s="373"/>
      <c r="BN62" s="373"/>
      <c r="BO62" s="373"/>
      <c r="BP62" s="373"/>
      <c r="BQ62" s="373"/>
      <c r="BR62" s="373"/>
      <c r="BS62" s="373"/>
      <c r="BT62" s="373"/>
      <c r="BU62" s="373"/>
      <c r="BV62" s="373"/>
      <c r="BW62" s="373"/>
      <c r="BX62" s="373"/>
      <c r="BY62" s="373"/>
      <c r="BZ62" s="373"/>
      <c r="CA62" s="376"/>
      <c r="CB62" s="373"/>
      <c r="CC62" s="377"/>
      <c r="CD62" s="373"/>
      <c r="CE62" s="373"/>
      <c r="CF62" s="373"/>
      <c r="CG62" s="373"/>
      <c r="CH62" s="373"/>
      <c r="CI62" s="373"/>
      <c r="CJ62" s="373"/>
      <c r="CK62" s="373"/>
      <c r="CL62" s="373"/>
      <c r="CM62" s="373"/>
      <c r="CN62" s="373"/>
      <c r="CO62" s="373"/>
      <c r="CP62" s="373"/>
      <c r="CQ62" s="373"/>
      <c r="CR62" s="373"/>
      <c r="CS62" s="373"/>
      <c r="CT62" s="373"/>
      <c r="CU62" s="373"/>
      <c r="CV62" s="376"/>
      <c r="CW62" s="376"/>
      <c r="CX62" s="376"/>
      <c r="CY62" s="376"/>
      <c r="CZ62" s="373"/>
      <c r="DA62" s="373"/>
      <c r="DB62" s="376"/>
      <c r="DC62" s="376"/>
      <c r="DD62" s="376"/>
      <c r="DE62" s="376"/>
      <c r="DF62" s="373"/>
      <c r="DG62" s="373"/>
      <c r="DH62" s="17"/>
      <c r="DI62" s="17"/>
      <c r="DJ62" s="17"/>
      <c r="DK62" s="17"/>
      <c r="DL62" s="17"/>
      <c r="DM62" s="373"/>
      <c r="DN62" s="17"/>
      <c r="DO62" s="17"/>
      <c r="DP62" s="17"/>
      <c r="DQ62" s="17"/>
      <c r="DR62" s="17"/>
      <c r="DS62" s="354"/>
      <c r="DT62" s="17"/>
      <c r="DU62" s="17"/>
      <c r="DV62" s="17"/>
      <c r="DW62" s="17"/>
      <c r="DX62" s="17"/>
      <c r="DY62" s="31"/>
      <c r="DZ62" s="17"/>
      <c r="EA62" s="17"/>
      <c r="EB62" s="17"/>
      <c r="EC62" s="17"/>
      <c r="ED62" s="17"/>
      <c r="EE62" s="41"/>
      <c r="EF62" s="17"/>
      <c r="EG62" s="17"/>
      <c r="EH62" s="17"/>
      <c r="EI62" s="17"/>
      <c r="EJ62" s="17"/>
      <c r="EK62" s="41"/>
      <c r="EL62" s="17"/>
      <c r="EM62" s="17"/>
      <c r="EN62" s="17"/>
      <c r="EO62" s="17"/>
      <c r="EP62" s="17"/>
      <c r="EQ62" s="372"/>
      <c r="ER62" s="17"/>
      <c r="ES62" s="17"/>
      <c r="ET62" s="17"/>
      <c r="EU62" s="17"/>
      <c r="EV62" s="17"/>
      <c r="EW62" s="372"/>
      <c r="EX62" s="17"/>
      <c r="EY62" s="43">
        <f>356630-EY19</f>
        <v>13625</v>
      </c>
      <c r="EZ62" s="43">
        <f>360774-EZ19</f>
        <v>13559</v>
      </c>
      <c r="FA62" s="43">
        <f>356136-FA19</f>
        <v>13550</v>
      </c>
      <c r="FB62" s="17"/>
      <c r="FC62" s="372"/>
      <c r="FD62" s="878">
        <v>13500</v>
      </c>
      <c r="FE62" s="43">
        <f>FD62+500</f>
        <v>14000</v>
      </c>
      <c r="FF62" s="43">
        <f t="shared" ref="FF62:FG62" si="4">FE62+500</f>
        <v>14500</v>
      </c>
      <c r="FG62" s="43">
        <f t="shared" si="4"/>
        <v>15000</v>
      </c>
      <c r="FH62" s="17"/>
      <c r="FI62" s="372"/>
      <c r="FJ62" s="17"/>
      <c r="FK62" s="17"/>
      <c r="FL62" s="17"/>
      <c r="FM62" s="17"/>
      <c r="FN62" s="17"/>
      <c r="FP62" s="17"/>
      <c r="FQ62" s="17"/>
      <c r="FR62" s="17"/>
      <c r="FS62" s="17"/>
      <c r="FT62" s="17"/>
    </row>
    <row r="63" spans="2:176" s="381" customFormat="1">
      <c r="B63" s="373"/>
      <c r="C63" s="348" t="s">
        <v>705</v>
      </c>
      <c r="D63" s="373"/>
      <c r="E63" s="373"/>
      <c r="F63" s="373"/>
      <c r="G63" s="373"/>
      <c r="H63" s="373"/>
      <c r="I63" s="373"/>
      <c r="J63" s="373"/>
      <c r="K63" s="373"/>
      <c r="L63" s="373"/>
      <c r="M63" s="373"/>
      <c r="N63" s="373"/>
      <c r="O63" s="373"/>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5"/>
      <c r="BA63" s="375"/>
      <c r="BB63" s="375"/>
      <c r="BC63" s="375"/>
      <c r="BD63" s="373"/>
      <c r="BE63" s="373"/>
      <c r="BF63" s="375"/>
      <c r="BG63" s="375"/>
      <c r="BH63" s="375"/>
      <c r="BI63" s="375"/>
      <c r="BJ63" s="375"/>
      <c r="BK63" s="373"/>
      <c r="BL63" s="373"/>
      <c r="BM63" s="373"/>
      <c r="BN63" s="373"/>
      <c r="BO63" s="373"/>
      <c r="BP63" s="373"/>
      <c r="BQ63" s="373"/>
      <c r="BR63" s="373"/>
      <c r="BS63" s="373"/>
      <c r="BT63" s="373"/>
      <c r="BU63" s="373"/>
      <c r="BV63" s="373"/>
      <c r="BW63" s="373"/>
      <c r="BX63" s="373"/>
      <c r="BY63" s="373"/>
      <c r="BZ63" s="373"/>
      <c r="CA63" s="376"/>
      <c r="CB63" s="373"/>
      <c r="CC63" s="377"/>
      <c r="CD63" s="373"/>
      <c r="CE63" s="373"/>
      <c r="CF63" s="373"/>
      <c r="CG63" s="373"/>
      <c r="CH63" s="373"/>
      <c r="CI63" s="373"/>
      <c r="CJ63" s="373"/>
      <c r="CK63" s="373"/>
      <c r="CL63" s="373"/>
      <c r="CM63" s="373"/>
      <c r="CN63" s="373"/>
      <c r="CO63" s="373"/>
      <c r="CP63" s="373"/>
      <c r="CQ63" s="373"/>
      <c r="CR63" s="373"/>
      <c r="CS63" s="373"/>
      <c r="CT63" s="373"/>
      <c r="CU63" s="373"/>
      <c r="CV63" s="376"/>
      <c r="CW63" s="376"/>
      <c r="CX63" s="376"/>
      <c r="CY63" s="376"/>
      <c r="CZ63" s="373"/>
      <c r="DA63" s="373"/>
      <c r="DB63" s="376"/>
      <c r="DC63" s="376"/>
      <c r="DD63" s="376"/>
      <c r="DE63" s="376"/>
      <c r="DF63" s="373"/>
      <c r="DG63" s="373"/>
      <c r="DH63" s="17"/>
      <c r="DI63" s="17"/>
      <c r="DJ63" s="17"/>
      <c r="DK63" s="17"/>
      <c r="DL63" s="17"/>
      <c r="DM63" s="373"/>
      <c r="DN63" s="17"/>
      <c r="DO63" s="17"/>
      <c r="DP63" s="17"/>
      <c r="DQ63" s="17"/>
      <c r="DR63" s="17"/>
      <c r="DS63" s="354"/>
      <c r="DT63" s="17"/>
      <c r="DU63" s="17"/>
      <c r="DV63" s="17"/>
      <c r="DW63" s="17"/>
      <c r="DX63" s="17"/>
      <c r="DY63" s="31"/>
      <c r="DZ63" s="17"/>
      <c r="EA63" s="17"/>
      <c r="EB63" s="17"/>
      <c r="EC63" s="17"/>
      <c r="ED63" s="17"/>
      <c r="EE63" s="41"/>
      <c r="EF63" s="17"/>
      <c r="EG63" s="17"/>
      <c r="EH63" s="17"/>
      <c r="EI63" s="17"/>
      <c r="EJ63" s="17"/>
      <c r="EK63" s="41"/>
      <c r="EL63" s="17"/>
      <c r="EM63" s="17"/>
      <c r="EN63" s="17"/>
      <c r="EO63" s="17"/>
      <c r="EP63" s="17"/>
      <c r="EQ63" s="372"/>
      <c r="ER63" s="17"/>
      <c r="ES63" s="17"/>
      <c r="ET63" s="17"/>
      <c r="EU63" s="17"/>
      <c r="EV63" s="17"/>
      <c r="EW63" s="372"/>
      <c r="EX63" s="17"/>
      <c r="EY63" s="354">
        <f>EY60/EY62*1000000</f>
        <v>344.95412844036696</v>
      </c>
      <c r="EZ63" s="354">
        <f>EZ60/EZ62*1000000</f>
        <v>339.2580573788627</v>
      </c>
      <c r="FA63" s="354">
        <v>320</v>
      </c>
      <c r="FB63" s="17"/>
      <c r="FC63" s="372"/>
      <c r="FD63" s="547">
        <v>330</v>
      </c>
      <c r="FE63" s="354">
        <f>FD63+5</f>
        <v>335</v>
      </c>
      <c r="FF63" s="354">
        <f t="shared" ref="FF63" si="5">FE63+5</f>
        <v>340</v>
      </c>
      <c r="FG63" s="354">
        <f>FF63</f>
        <v>340</v>
      </c>
      <c r="FH63" s="17"/>
      <c r="FI63" s="372"/>
      <c r="FJ63" s="17"/>
      <c r="FK63" s="17"/>
      <c r="FL63" s="17"/>
      <c r="FM63" s="17"/>
      <c r="FN63" s="17"/>
      <c r="FP63" s="17"/>
      <c r="FQ63" s="17"/>
      <c r="FR63" s="17"/>
      <c r="FS63" s="17"/>
      <c r="FT63" s="17"/>
    </row>
    <row r="64" spans="2:176" s="381" customFormat="1">
      <c r="B64" s="373"/>
      <c r="C64" s="348"/>
      <c r="D64" s="373"/>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73"/>
      <c r="AT64" s="373"/>
      <c r="AU64" s="373"/>
      <c r="AV64" s="373"/>
      <c r="AW64" s="373"/>
      <c r="AX64" s="373"/>
      <c r="AY64" s="373"/>
      <c r="AZ64" s="375"/>
      <c r="BA64" s="375"/>
      <c r="BB64" s="375"/>
      <c r="BC64" s="375"/>
      <c r="BD64" s="373"/>
      <c r="BE64" s="373"/>
      <c r="BF64" s="375"/>
      <c r="BG64" s="375"/>
      <c r="BH64" s="375"/>
      <c r="BI64" s="375"/>
      <c r="BJ64" s="375"/>
      <c r="BK64" s="373"/>
      <c r="BL64" s="373"/>
      <c r="BM64" s="373"/>
      <c r="BN64" s="373"/>
      <c r="BO64" s="373"/>
      <c r="BP64" s="373"/>
      <c r="BQ64" s="373"/>
      <c r="BR64" s="373"/>
      <c r="BS64" s="373"/>
      <c r="BT64" s="373"/>
      <c r="BU64" s="373"/>
      <c r="BV64" s="373"/>
      <c r="BW64" s="373"/>
      <c r="BX64" s="373"/>
      <c r="BY64" s="373"/>
      <c r="BZ64" s="373"/>
      <c r="CA64" s="376"/>
      <c r="CB64" s="373"/>
      <c r="CC64" s="377"/>
      <c r="CD64" s="373"/>
      <c r="CE64" s="373"/>
      <c r="CF64" s="373"/>
      <c r="CG64" s="373"/>
      <c r="CH64" s="373"/>
      <c r="CI64" s="373"/>
      <c r="CJ64" s="373"/>
      <c r="CK64" s="373"/>
      <c r="CL64" s="373"/>
      <c r="CM64" s="373"/>
      <c r="CN64" s="373"/>
      <c r="CO64" s="373"/>
      <c r="CP64" s="373"/>
      <c r="CQ64" s="373"/>
      <c r="CR64" s="373"/>
      <c r="CS64" s="373"/>
      <c r="CT64" s="373"/>
      <c r="CU64" s="373"/>
      <c r="CV64" s="376"/>
      <c r="CW64" s="376"/>
      <c r="CX64" s="376"/>
      <c r="CY64" s="376"/>
      <c r="CZ64" s="373"/>
      <c r="DA64" s="373"/>
      <c r="DB64" s="376"/>
      <c r="DC64" s="376"/>
      <c r="DD64" s="376"/>
      <c r="DE64" s="376"/>
      <c r="DF64" s="373"/>
      <c r="DG64" s="373"/>
      <c r="DH64" s="17"/>
      <c r="DI64" s="17"/>
      <c r="DJ64" s="17"/>
      <c r="DK64" s="17"/>
      <c r="DL64" s="17"/>
      <c r="DM64" s="373"/>
      <c r="DN64" s="17"/>
      <c r="DO64" s="17"/>
      <c r="DP64" s="17"/>
      <c r="DQ64" s="17"/>
      <c r="DR64" s="17"/>
      <c r="DS64" s="354"/>
      <c r="DT64" s="17"/>
      <c r="DU64" s="17"/>
      <c r="DV64" s="17"/>
      <c r="DW64" s="17"/>
      <c r="DX64" s="17"/>
      <c r="DY64" s="31"/>
      <c r="DZ64" s="17"/>
      <c r="EA64" s="17"/>
      <c r="EB64" s="17"/>
      <c r="EC64" s="17"/>
      <c r="ED64" s="17"/>
      <c r="EE64" s="41"/>
      <c r="EF64" s="17"/>
      <c r="EG64" s="17"/>
      <c r="EH64" s="17"/>
      <c r="EI64" s="17"/>
      <c r="EJ64" s="17"/>
      <c r="EK64" s="41"/>
      <c r="EL64" s="17"/>
      <c r="EM64" s="17"/>
      <c r="EN64" s="17"/>
      <c r="EO64" s="17"/>
      <c r="EP64" s="17"/>
      <c r="EQ64" s="372"/>
      <c r="ER64" s="17"/>
      <c r="ES64" s="17"/>
      <c r="ET64" s="17"/>
      <c r="EU64" s="17"/>
      <c r="EV64" s="17"/>
      <c r="EW64" s="372"/>
      <c r="EX64" s="17"/>
      <c r="EY64" s="354"/>
      <c r="EZ64" s="17"/>
      <c r="FA64" s="17"/>
      <c r="FB64" s="17"/>
      <c r="FC64" s="372"/>
      <c r="FD64" s="565"/>
      <c r="FE64" s="17"/>
      <c r="FF64" s="17"/>
      <c r="FG64" s="17"/>
      <c r="FH64" s="17"/>
      <c r="FI64" s="372"/>
      <c r="FJ64" s="17"/>
      <c r="FK64" s="17"/>
      <c r="FL64" s="17"/>
      <c r="FM64" s="17"/>
      <c r="FN64" s="17"/>
      <c r="FP64" s="17"/>
      <c r="FQ64" s="17"/>
      <c r="FR64" s="17"/>
      <c r="FS64" s="17"/>
      <c r="FT64" s="17"/>
    </row>
    <row r="65" spans="2:176" s="381" customFormat="1">
      <c r="B65" s="378" t="s">
        <v>706</v>
      </c>
      <c r="C65" s="358"/>
      <c r="D65" s="378"/>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c r="AT65" s="378"/>
      <c r="AU65" s="378"/>
      <c r="AV65" s="378"/>
      <c r="AW65" s="378"/>
      <c r="AX65" s="378"/>
      <c r="AY65" s="378"/>
      <c r="AZ65" s="383"/>
      <c r="BA65" s="383"/>
      <c r="BB65" s="383"/>
      <c r="BC65" s="383"/>
      <c r="BD65" s="378"/>
      <c r="BE65" s="378"/>
      <c r="BF65" s="383"/>
      <c r="BG65" s="383"/>
      <c r="BH65" s="383"/>
      <c r="BI65" s="383"/>
      <c r="BJ65" s="383"/>
      <c r="BK65" s="378"/>
      <c r="BL65" s="378"/>
      <c r="BM65" s="378"/>
      <c r="BN65" s="378"/>
      <c r="BO65" s="378"/>
      <c r="BP65" s="378"/>
      <c r="BQ65" s="378"/>
      <c r="BR65" s="378"/>
      <c r="BS65" s="378"/>
      <c r="BT65" s="378"/>
      <c r="BU65" s="378"/>
      <c r="BV65" s="378"/>
      <c r="BW65" s="378"/>
      <c r="BX65" s="378"/>
      <c r="BY65" s="378"/>
      <c r="BZ65" s="378"/>
      <c r="CA65" s="379"/>
      <c r="CB65" s="378"/>
      <c r="CC65" s="384"/>
      <c r="CD65" s="378"/>
      <c r="CE65" s="378"/>
      <c r="CF65" s="378"/>
      <c r="CG65" s="378"/>
      <c r="CH65" s="378"/>
      <c r="CI65" s="378"/>
      <c r="CJ65" s="378"/>
      <c r="CK65" s="378"/>
      <c r="CL65" s="378"/>
      <c r="CM65" s="378"/>
      <c r="CN65" s="378"/>
      <c r="CO65" s="378"/>
      <c r="CP65" s="378"/>
      <c r="CQ65" s="378"/>
      <c r="CR65" s="378"/>
      <c r="CS65" s="378"/>
      <c r="CT65" s="378"/>
      <c r="CU65" s="378"/>
      <c r="CV65" s="379"/>
      <c r="CW65" s="379"/>
      <c r="CX65" s="379"/>
      <c r="CY65" s="379"/>
      <c r="CZ65" s="378"/>
      <c r="DA65" s="378"/>
      <c r="DB65" s="379"/>
      <c r="DC65" s="379"/>
      <c r="DD65" s="379"/>
      <c r="DE65" s="379"/>
      <c r="DF65" s="378"/>
      <c r="DG65" s="378"/>
      <c r="DH65" s="67"/>
      <c r="DI65" s="67"/>
      <c r="DJ65" s="67"/>
      <c r="DK65" s="67"/>
      <c r="DL65" s="67"/>
      <c r="DM65" s="378"/>
      <c r="DN65" s="67"/>
      <c r="DO65" s="67"/>
      <c r="DP65" s="67"/>
      <c r="DQ65" s="67"/>
      <c r="DR65" s="67"/>
      <c r="DS65" s="344"/>
      <c r="DT65" s="67"/>
      <c r="DU65" s="67"/>
      <c r="DV65" s="67"/>
      <c r="DW65" s="67"/>
      <c r="DX65" s="67"/>
      <c r="DY65" s="66"/>
      <c r="DZ65" s="67"/>
      <c r="EA65" s="67"/>
      <c r="EB65" s="67"/>
      <c r="EC65" s="67"/>
      <c r="ED65" s="67"/>
      <c r="EE65" s="386"/>
      <c r="EF65" s="67"/>
      <c r="EG65" s="67"/>
      <c r="EH65" s="67"/>
      <c r="EI65" s="67"/>
      <c r="EJ65" s="67"/>
      <c r="EK65" s="386"/>
      <c r="EL65" s="67"/>
      <c r="EM65" s="67"/>
      <c r="EN65" s="67"/>
      <c r="EO65" s="67"/>
      <c r="EP65" s="67"/>
      <c r="ER65" s="67">
        <f>ER10+ER60</f>
        <v>134.535</v>
      </c>
      <c r="ES65" s="67">
        <f>ES10+ES60</f>
        <v>141.38800000000001</v>
      </c>
      <c r="ET65" s="67">
        <f>ET10+ET60</f>
        <v>145.78299999999999</v>
      </c>
      <c r="EU65" s="67">
        <f>EU10+EU60</f>
        <v>149.580735</v>
      </c>
      <c r="EV65" s="67">
        <f>EV10+EV60</f>
        <v>571.28673500000002</v>
      </c>
      <c r="EW65" s="29"/>
      <c r="EX65" s="67">
        <f>EX10+EX60</f>
        <v>149.70881700000001</v>
      </c>
      <c r="EY65" s="67">
        <f>EY10+EY60</f>
        <v>164.19732499999998</v>
      </c>
      <c r="EZ65" s="67">
        <f>EZ10+EZ60</f>
        <v>171.61041499999999</v>
      </c>
      <c r="FA65" s="67">
        <f>FA10+FA60</f>
        <v>174.258656</v>
      </c>
      <c r="FB65" s="67">
        <f>FB10+FB60</f>
        <v>659.77521299999989</v>
      </c>
      <c r="FC65" s="29"/>
      <c r="FD65" s="676">
        <f>FD10+FD60</f>
        <v>168.67808680815</v>
      </c>
      <c r="FE65" s="67">
        <f>FE10+FE60</f>
        <v>180.13705750000003</v>
      </c>
      <c r="FF65" s="67">
        <f>FF10+FF60</f>
        <v>188.90867316400002</v>
      </c>
      <c r="FG65" s="67">
        <f>FG10+FG60</f>
        <v>194.22391612799998</v>
      </c>
      <c r="FH65" s="67">
        <f>FH10+FH60</f>
        <v>731.94773360015006</v>
      </c>
      <c r="FI65" s="29"/>
      <c r="FJ65" s="67">
        <f>FJ10+FJ60</f>
        <v>185.89076397126212</v>
      </c>
      <c r="FK65" s="67">
        <f>FK10+FK60</f>
        <v>198.51920207075003</v>
      </c>
      <c r="FL65" s="67">
        <f>FL10+FL60</f>
        <v>208.1858956940444</v>
      </c>
      <c r="FM65" s="67">
        <f>FM10+FM60</f>
        <v>214.04346796466885</v>
      </c>
      <c r="FN65" s="67">
        <f>FN10+FN60</f>
        <v>806.63932970072528</v>
      </c>
      <c r="FP65" s="67">
        <f>FP10+FP60</f>
        <v>204.85991992272801</v>
      </c>
      <c r="FQ65" s="67">
        <f>FQ10+FQ60</f>
        <v>218.77717870217367</v>
      </c>
      <c r="FR65" s="67">
        <f>FR10+FR60</f>
        <v>229.43028734440637</v>
      </c>
      <c r="FS65" s="67">
        <f>FS10+FS60</f>
        <v>235.88552504386155</v>
      </c>
      <c r="FT65" s="67">
        <f>FT10+FT60</f>
        <v>888.95291101316957</v>
      </c>
    </row>
    <row r="66" spans="2:176" s="381" customFormat="1">
      <c r="B66" s="378"/>
      <c r="C66" s="389" t="s">
        <v>125</v>
      </c>
      <c r="D66" s="378"/>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c r="AP66" s="378"/>
      <c r="AQ66" s="378"/>
      <c r="AR66" s="378"/>
      <c r="AS66" s="378"/>
      <c r="AT66" s="378"/>
      <c r="AU66" s="378"/>
      <c r="AV66" s="378"/>
      <c r="AW66" s="378"/>
      <c r="AX66" s="378"/>
      <c r="AY66" s="378"/>
      <c r="AZ66" s="383"/>
      <c r="BA66" s="383"/>
      <c r="BB66" s="383"/>
      <c r="BC66" s="383"/>
      <c r="BD66" s="378"/>
      <c r="BE66" s="378"/>
      <c r="BF66" s="383"/>
      <c r="BG66" s="383"/>
      <c r="BH66" s="383"/>
      <c r="BI66" s="383"/>
      <c r="BJ66" s="383"/>
      <c r="BK66" s="378"/>
      <c r="BL66" s="378"/>
      <c r="BM66" s="378"/>
      <c r="BN66" s="378"/>
      <c r="BO66" s="378"/>
      <c r="BP66" s="378"/>
      <c r="BQ66" s="378"/>
      <c r="BR66" s="378"/>
      <c r="BS66" s="378"/>
      <c r="BT66" s="378"/>
      <c r="BU66" s="378"/>
      <c r="BV66" s="378"/>
      <c r="BW66" s="378"/>
      <c r="BX66" s="378"/>
      <c r="BY66" s="378"/>
      <c r="BZ66" s="378"/>
      <c r="CA66" s="379"/>
      <c r="CB66" s="378"/>
      <c r="CC66" s="384"/>
      <c r="CD66" s="378"/>
      <c r="CE66" s="378"/>
      <c r="CF66" s="378"/>
      <c r="CG66" s="378"/>
      <c r="CH66" s="378"/>
      <c r="CI66" s="378"/>
      <c r="CJ66" s="378"/>
      <c r="CK66" s="378"/>
      <c r="CL66" s="378"/>
      <c r="CM66" s="378"/>
      <c r="CN66" s="378"/>
      <c r="CO66" s="378"/>
      <c r="CP66" s="378"/>
      <c r="CQ66" s="378"/>
      <c r="CR66" s="378"/>
      <c r="CS66" s="378"/>
      <c r="CT66" s="378"/>
      <c r="CU66" s="378"/>
      <c r="CV66" s="379"/>
      <c r="CW66" s="379"/>
      <c r="CX66" s="379"/>
      <c r="CY66" s="379"/>
      <c r="CZ66" s="378"/>
      <c r="DA66" s="378"/>
      <c r="DB66" s="379"/>
      <c r="DC66" s="379"/>
      <c r="DD66" s="379"/>
      <c r="DE66" s="379"/>
      <c r="DF66" s="378"/>
      <c r="DG66" s="378"/>
      <c r="DH66" s="67"/>
      <c r="DI66" s="67"/>
      <c r="DJ66" s="67"/>
      <c r="DK66" s="67"/>
      <c r="DL66" s="67"/>
      <c r="DM66" s="378"/>
      <c r="DN66" s="67"/>
      <c r="DO66" s="67"/>
      <c r="DP66" s="67"/>
      <c r="DQ66" s="67"/>
      <c r="DR66" s="67"/>
      <c r="DS66" s="344"/>
      <c r="DT66" s="67"/>
      <c r="DU66" s="67"/>
      <c r="DV66" s="67"/>
      <c r="DW66" s="67"/>
      <c r="DX66" s="67"/>
      <c r="DY66" s="66"/>
      <c r="DZ66" s="67"/>
      <c r="EA66" s="67"/>
      <c r="EB66" s="67"/>
      <c r="EC66" s="67"/>
      <c r="ED66" s="67"/>
      <c r="EE66" s="386"/>
      <c r="EF66" s="67"/>
      <c r="EG66" s="67"/>
      <c r="EH66" s="67"/>
      <c r="EI66" s="67"/>
      <c r="EJ66" s="67"/>
      <c r="EK66" s="386"/>
      <c r="EL66" s="67"/>
      <c r="EM66" s="67"/>
      <c r="EN66" s="67"/>
      <c r="EO66" s="67"/>
      <c r="EP66" s="67"/>
      <c r="ER66" s="390">
        <f>ER65/EL10-1</f>
        <v>0.17120371901905651</v>
      </c>
      <c r="ES66" s="390">
        <f>ES65/EM10-1</f>
        <v>0.14803988437428961</v>
      </c>
      <c r="ET66" s="390">
        <f>ET65/EN10-1</f>
        <v>0.14292098186636126</v>
      </c>
      <c r="EU66" s="390">
        <f>EU65/EO10-1</f>
        <v>0.15010791339248652</v>
      </c>
      <c r="EV66" s="390">
        <f>EV65/EP10-1</f>
        <v>0.15263365655440708</v>
      </c>
      <c r="EX66" s="390">
        <f>EX65/ER65-1</f>
        <v>0.1127871334596946</v>
      </c>
      <c r="EY66" s="390">
        <f>EY65/ES65-1</f>
        <v>0.16132433445554062</v>
      </c>
      <c r="EZ66" s="390">
        <f>EZ65/ET65-1</f>
        <v>0.17716342097501081</v>
      </c>
      <c r="FA66" s="390">
        <f>FA65/EU65-1</f>
        <v>0.16498061063812797</v>
      </c>
      <c r="FB66" s="390">
        <f>FB65/EV65-1</f>
        <v>0.15489328314265838</v>
      </c>
      <c r="FC66" s="390"/>
      <c r="FD66" s="567">
        <f>FD65/EX65-1</f>
        <v>0.12670776637123504</v>
      </c>
      <c r="FE66" s="390">
        <f>FE65/EY65-1</f>
        <v>9.7076688064193783E-2</v>
      </c>
      <c r="FF66" s="390">
        <f>FF65/EZ65-1</f>
        <v>0.10079958237965947</v>
      </c>
      <c r="FG66" s="390">
        <f>FG65/FA65-1</f>
        <v>0.11457255889773399</v>
      </c>
      <c r="FH66" s="390">
        <f>FH65/FB65-1</f>
        <v>0.10938956053226301</v>
      </c>
      <c r="FI66" s="390"/>
      <c r="FJ66" s="390">
        <f>FJ65/FD65-1</f>
        <v>0.10204453636404698</v>
      </c>
      <c r="FK66" s="390">
        <f>FK65/FE65-1</f>
        <v>0.10204532496457586</v>
      </c>
      <c r="FL66" s="390">
        <f>FL65/FF65-1</f>
        <v>0.10204519574021331</v>
      </c>
      <c r="FM66" s="390">
        <f>FM65/FG65-1</f>
        <v>0.1020448574603301</v>
      </c>
      <c r="FN66" s="390">
        <f>FN65/FH65-1</f>
        <v>0.10204498582596599</v>
      </c>
      <c r="FP66" s="390">
        <f>FP65/FJ65-1</f>
        <v>0.1020446392613592</v>
      </c>
      <c r="FQ66" s="390">
        <f>FQ65/FK65-1</f>
        <v>0.10204542643791159</v>
      </c>
      <c r="FR66" s="390">
        <f>FR65/FL65-1</f>
        <v>0.10204529744696678</v>
      </c>
      <c r="FS66" s="390">
        <f>FS65/FM65-1</f>
        <v>0.10204495977797401</v>
      </c>
      <c r="FT66" s="390">
        <f>FT65/FN65-1</f>
        <v>0.10204508791182265</v>
      </c>
    </row>
    <row r="67" spans="2:176" s="381" customFormat="1">
      <c r="B67" s="378"/>
      <c r="C67" s="389" t="s">
        <v>722</v>
      </c>
      <c r="D67" s="378"/>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c r="AT67" s="378"/>
      <c r="AU67" s="378"/>
      <c r="AV67" s="378"/>
      <c r="AW67" s="378"/>
      <c r="AX67" s="378"/>
      <c r="AY67" s="378"/>
      <c r="AZ67" s="383"/>
      <c r="BA67" s="383"/>
      <c r="BB67" s="383"/>
      <c r="BC67" s="383"/>
      <c r="BD67" s="378"/>
      <c r="BE67" s="378"/>
      <c r="BF67" s="383"/>
      <c r="BG67" s="383"/>
      <c r="BH67" s="383"/>
      <c r="BI67" s="383"/>
      <c r="BJ67" s="383"/>
      <c r="BK67" s="378"/>
      <c r="BL67" s="378"/>
      <c r="BM67" s="378"/>
      <c r="BN67" s="378"/>
      <c r="BO67" s="378"/>
      <c r="BP67" s="378"/>
      <c r="BQ67" s="378"/>
      <c r="BR67" s="378"/>
      <c r="BS67" s="378"/>
      <c r="BT67" s="378"/>
      <c r="BU67" s="378"/>
      <c r="BV67" s="378"/>
      <c r="BW67" s="378"/>
      <c r="BX67" s="378"/>
      <c r="BY67" s="378"/>
      <c r="BZ67" s="378"/>
      <c r="CA67" s="379"/>
      <c r="CB67" s="378"/>
      <c r="CC67" s="384"/>
      <c r="CD67" s="378"/>
      <c r="CE67" s="378"/>
      <c r="CF67" s="378"/>
      <c r="CG67" s="378"/>
      <c r="CH67" s="378"/>
      <c r="CI67" s="378"/>
      <c r="CJ67" s="378"/>
      <c r="CK67" s="378"/>
      <c r="CL67" s="378"/>
      <c r="CM67" s="378"/>
      <c r="CN67" s="378"/>
      <c r="CO67" s="378"/>
      <c r="CP67" s="378"/>
      <c r="CQ67" s="378"/>
      <c r="CR67" s="378"/>
      <c r="CS67" s="378"/>
      <c r="CT67" s="378"/>
      <c r="CU67" s="378"/>
      <c r="CV67" s="379"/>
      <c r="CW67" s="379"/>
      <c r="CX67" s="379"/>
      <c r="CY67" s="379"/>
      <c r="CZ67" s="378"/>
      <c r="DA67" s="378"/>
      <c r="DB67" s="379"/>
      <c r="DC67" s="379"/>
      <c r="DD67" s="379"/>
      <c r="DE67" s="379"/>
      <c r="DF67" s="378"/>
      <c r="DG67" s="378"/>
      <c r="DH67" s="67"/>
      <c r="DI67" s="67"/>
      <c r="DJ67" s="67"/>
      <c r="DK67" s="67"/>
      <c r="DL67" s="67"/>
      <c r="DM67" s="378"/>
      <c r="DN67" s="67"/>
      <c r="DO67" s="67"/>
      <c r="DP67" s="67"/>
      <c r="DQ67" s="67"/>
      <c r="DR67" s="67"/>
      <c r="DS67" s="344"/>
      <c r="DT67" s="67"/>
      <c r="DU67" s="67"/>
      <c r="DV67" s="67"/>
      <c r="DW67" s="67"/>
      <c r="DX67" s="67"/>
      <c r="DY67" s="66"/>
      <c r="DZ67" s="67"/>
      <c r="EA67" s="67"/>
      <c r="EB67" s="67"/>
      <c r="EC67" s="67"/>
      <c r="ED67" s="67"/>
      <c r="EE67" s="386"/>
      <c r="EF67" s="67"/>
      <c r="EG67" s="67"/>
      <c r="EH67" s="67"/>
      <c r="EI67" s="67"/>
      <c r="EJ67" s="67"/>
      <c r="EK67" s="386"/>
      <c r="EL67" s="67"/>
      <c r="EM67" s="67"/>
      <c r="EN67" s="67"/>
      <c r="EO67" s="67"/>
      <c r="EP67" s="67"/>
      <c r="ER67" s="390"/>
      <c r="ES67" s="390"/>
      <c r="ET67" s="390"/>
      <c r="EU67" s="390"/>
      <c r="EV67" s="390"/>
      <c r="EX67" s="887"/>
      <c r="EY67" s="887"/>
      <c r="EZ67" s="887">
        <v>0.15</v>
      </c>
      <c r="FA67" s="887">
        <v>0.14000000000000001</v>
      </c>
      <c r="FB67" s="887">
        <v>0.13</v>
      </c>
      <c r="FC67" s="390"/>
      <c r="FD67" s="567"/>
      <c r="FE67" s="390"/>
      <c r="FF67" s="390"/>
      <c r="FG67" s="390"/>
      <c r="FH67" s="390"/>
      <c r="FI67" s="390"/>
      <c r="FJ67" s="390"/>
      <c r="FK67" s="390"/>
      <c r="FL67" s="390"/>
      <c r="FM67" s="390"/>
      <c r="FN67" s="390"/>
      <c r="FP67" s="390"/>
      <c r="FQ67" s="390"/>
      <c r="FR67" s="390"/>
      <c r="FS67" s="390"/>
      <c r="FT67" s="390"/>
    </row>
    <row r="68" spans="2:176" s="381" customFormat="1">
      <c r="B68" s="378"/>
      <c r="C68" s="348"/>
      <c r="D68" s="378"/>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8"/>
      <c r="AE68" s="378"/>
      <c r="AF68" s="378"/>
      <c r="AG68" s="378"/>
      <c r="AH68" s="378"/>
      <c r="AI68" s="378"/>
      <c r="AJ68" s="378"/>
      <c r="AK68" s="378"/>
      <c r="AL68" s="378"/>
      <c r="AM68" s="378"/>
      <c r="AN68" s="378"/>
      <c r="AO68" s="378"/>
      <c r="AP68" s="378"/>
      <c r="AQ68" s="378"/>
      <c r="AR68" s="378"/>
      <c r="AS68" s="378"/>
      <c r="AT68" s="378"/>
      <c r="AU68" s="378"/>
      <c r="AV68" s="378"/>
      <c r="AW68" s="378"/>
      <c r="AX68" s="378"/>
      <c r="AY68" s="378"/>
      <c r="AZ68" s="383"/>
      <c r="BA68" s="383"/>
      <c r="BB68" s="383"/>
      <c r="BC68" s="383"/>
      <c r="BD68" s="378"/>
      <c r="BE68" s="378"/>
      <c r="BF68" s="383"/>
      <c r="BG68" s="383"/>
      <c r="BH68" s="383"/>
      <c r="BI68" s="383"/>
      <c r="BJ68" s="383"/>
      <c r="BK68" s="378"/>
      <c r="BL68" s="378"/>
      <c r="BM68" s="378"/>
      <c r="BN68" s="378"/>
      <c r="BO68" s="378"/>
      <c r="BP68" s="378"/>
      <c r="BQ68" s="378"/>
      <c r="BR68" s="378"/>
      <c r="BS68" s="378"/>
      <c r="BT68" s="378"/>
      <c r="BU68" s="378"/>
      <c r="BV68" s="378"/>
      <c r="BW68" s="378"/>
      <c r="BX68" s="378"/>
      <c r="BY68" s="378"/>
      <c r="BZ68" s="378"/>
      <c r="CA68" s="379"/>
      <c r="CB68" s="378"/>
      <c r="CC68" s="384"/>
      <c r="CD68" s="378"/>
      <c r="CE68" s="378"/>
      <c r="CF68" s="378"/>
      <c r="CG68" s="378"/>
      <c r="CH68" s="378"/>
      <c r="CI68" s="378"/>
      <c r="CJ68" s="378"/>
      <c r="CK68" s="378"/>
      <c r="CL68" s="378"/>
      <c r="CM68" s="378"/>
      <c r="CN68" s="378"/>
      <c r="CO68" s="378"/>
      <c r="CP68" s="378"/>
      <c r="CQ68" s="378"/>
      <c r="CR68" s="378"/>
      <c r="CS68" s="378"/>
      <c r="CT68" s="378"/>
      <c r="CU68" s="378"/>
      <c r="CV68" s="379"/>
      <c r="CW68" s="379"/>
      <c r="CX68" s="379"/>
      <c r="CY68" s="379"/>
      <c r="CZ68" s="378"/>
      <c r="DA68" s="378"/>
      <c r="DB68" s="379"/>
      <c r="DC68" s="379"/>
      <c r="DD68" s="379"/>
      <c r="DE68" s="379"/>
      <c r="DF68" s="378"/>
      <c r="DG68" s="378"/>
      <c r="DH68" s="67"/>
      <c r="DI68" s="67"/>
      <c r="DJ68" s="67"/>
      <c r="DK68" s="67"/>
      <c r="DL68" s="67"/>
      <c r="DM68" s="378"/>
      <c r="DN68" s="67"/>
      <c r="DO68" s="67"/>
      <c r="DP68" s="67"/>
      <c r="DQ68" s="67"/>
      <c r="DR68" s="67"/>
      <c r="DS68" s="344"/>
      <c r="DT68" s="67"/>
      <c r="DU68" s="67"/>
      <c r="DV68" s="67"/>
      <c r="DW68" s="67"/>
      <c r="DX68" s="67"/>
      <c r="DY68" s="66"/>
      <c r="DZ68" s="67"/>
      <c r="EA68" s="67"/>
      <c r="EB68" s="67"/>
      <c r="EC68" s="67"/>
      <c r="ED68" s="67"/>
      <c r="EE68" s="386"/>
      <c r="EF68" s="67"/>
      <c r="EG68" s="67"/>
      <c r="EH68" s="67"/>
      <c r="EI68" s="67"/>
      <c r="EJ68" s="67"/>
      <c r="EK68" s="386"/>
      <c r="EL68" s="67"/>
      <c r="EM68" s="67"/>
      <c r="EN68" s="67"/>
      <c r="EO68" s="67"/>
      <c r="EP68" s="67"/>
      <c r="ER68" s="390"/>
      <c r="ES68" s="390"/>
      <c r="ET68" s="390"/>
      <c r="EU68" s="390"/>
      <c r="EV68" s="390"/>
      <c r="EX68" s="390"/>
      <c r="EY68" s="390"/>
      <c r="EZ68" s="390"/>
      <c r="FA68" s="390"/>
      <c r="FB68" s="390"/>
      <c r="FC68" s="390"/>
      <c r="FD68" s="567"/>
      <c r="FE68" s="390"/>
      <c r="FF68" s="390"/>
      <c r="FG68" s="390"/>
      <c r="FH68" s="390"/>
      <c r="FI68" s="390"/>
      <c r="FJ68" s="390"/>
      <c r="FK68" s="390"/>
      <c r="FL68" s="390"/>
      <c r="FM68" s="390"/>
      <c r="FN68" s="390"/>
      <c r="FP68" s="390"/>
      <c r="FQ68" s="390"/>
      <c r="FR68" s="390"/>
      <c r="FS68" s="390"/>
      <c r="FT68" s="390"/>
    </row>
    <row r="69" spans="2:176" s="381" customFormat="1">
      <c r="B69" s="373"/>
      <c r="C69" s="348" t="s">
        <v>560</v>
      </c>
      <c r="D69" s="373"/>
      <c r="E69" s="373"/>
      <c r="F69" s="373"/>
      <c r="G69" s="373"/>
      <c r="H69" s="373"/>
      <c r="I69" s="373"/>
      <c r="J69" s="373"/>
      <c r="K69" s="373"/>
      <c r="L69" s="373"/>
      <c r="M69" s="373"/>
      <c r="N69" s="373"/>
      <c r="O69" s="373"/>
      <c r="P69" s="373"/>
      <c r="Q69" s="373"/>
      <c r="R69" s="373"/>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5"/>
      <c r="BA69" s="375"/>
      <c r="BB69" s="375"/>
      <c r="BC69" s="375"/>
      <c r="BD69" s="373"/>
      <c r="BE69" s="373"/>
      <c r="BF69" s="375"/>
      <c r="BG69" s="375"/>
      <c r="BH69" s="375"/>
      <c r="BI69" s="375"/>
      <c r="BJ69" s="375"/>
      <c r="BK69" s="373"/>
      <c r="BL69" s="373"/>
      <c r="BM69" s="373"/>
      <c r="BN69" s="373"/>
      <c r="BO69" s="373"/>
      <c r="BP69" s="373"/>
      <c r="BQ69" s="373"/>
      <c r="BR69" s="373"/>
      <c r="BS69" s="373"/>
      <c r="BT69" s="373"/>
      <c r="BU69" s="373"/>
      <c r="BV69" s="373"/>
      <c r="BW69" s="373"/>
      <c r="BX69" s="373"/>
      <c r="BY69" s="373"/>
      <c r="BZ69" s="373"/>
      <c r="CA69" s="376"/>
      <c r="CB69" s="373"/>
      <c r="CC69" s="377"/>
      <c r="CD69" s="373"/>
      <c r="CE69" s="373"/>
      <c r="CF69" s="373"/>
      <c r="CG69" s="373"/>
      <c r="CH69" s="373"/>
      <c r="CI69" s="373"/>
      <c r="CJ69" s="373"/>
      <c r="CK69" s="373"/>
      <c r="CL69" s="373"/>
      <c r="CM69" s="373"/>
      <c r="CN69" s="373"/>
      <c r="CO69" s="373"/>
      <c r="CP69" s="373"/>
      <c r="CQ69" s="373"/>
      <c r="CR69" s="373"/>
      <c r="CS69" s="373"/>
      <c r="CT69" s="373"/>
      <c r="CU69" s="373"/>
      <c r="CV69" s="376"/>
      <c r="CW69" s="376"/>
      <c r="CX69" s="376"/>
      <c r="CY69" s="376"/>
      <c r="CZ69" s="373"/>
      <c r="DA69" s="373"/>
      <c r="DB69" s="376"/>
      <c r="DC69" s="376"/>
      <c r="DD69" s="376"/>
      <c r="DE69" s="376"/>
      <c r="DF69" s="373"/>
      <c r="DG69" s="373"/>
      <c r="DH69" s="17"/>
      <c r="DI69" s="17"/>
      <c r="DJ69" s="17"/>
      <c r="DK69" s="17"/>
      <c r="DL69" s="17"/>
      <c r="DM69" s="373"/>
      <c r="DN69" s="17"/>
      <c r="DO69" s="17"/>
      <c r="DP69" s="17"/>
      <c r="DQ69" s="17"/>
      <c r="DR69" s="17"/>
      <c r="DS69" s="354"/>
      <c r="DT69" s="17"/>
      <c r="DU69" s="17"/>
      <c r="DV69" s="17"/>
      <c r="DW69" s="17"/>
      <c r="DX69" s="17"/>
      <c r="DY69" s="31"/>
      <c r="DZ69" s="17"/>
      <c r="EA69" s="17"/>
      <c r="EB69" s="17"/>
      <c r="EC69" s="17"/>
      <c r="ED69" s="17"/>
      <c r="EE69" s="41"/>
      <c r="EF69" s="17"/>
      <c r="EG69" s="17"/>
      <c r="EH69" s="17"/>
      <c r="EI69" s="17"/>
      <c r="EJ69" s="17"/>
      <c r="EK69" s="41"/>
      <c r="EL69" s="17"/>
      <c r="EM69" s="17"/>
      <c r="EN69" s="17"/>
      <c r="EO69" s="17"/>
      <c r="EP69" s="17"/>
      <c r="EQ69" s="372"/>
      <c r="ER69" s="43">
        <f>ER19+ER62</f>
        <v>300827</v>
      </c>
      <c r="ES69" s="43">
        <f>ES19+ES62</f>
        <v>311670</v>
      </c>
      <c r="ET69" s="43">
        <f>ET19+ET62</f>
        <v>314564</v>
      </c>
      <c r="EU69" s="43">
        <f>EU19+EU62</f>
        <v>321679</v>
      </c>
      <c r="EV69" s="43">
        <f>EV19+EV62</f>
        <v>1248740</v>
      </c>
      <c r="EW69" s="372"/>
      <c r="EX69" s="43">
        <f>EX19+EX62</f>
        <v>326163</v>
      </c>
      <c r="EY69" s="43">
        <f>EY19+EY62</f>
        <v>356630</v>
      </c>
      <c r="EZ69" s="43">
        <f>EZ19+EZ62</f>
        <v>360774</v>
      </c>
      <c r="FA69" s="43">
        <f>FA19+FA62</f>
        <v>356136</v>
      </c>
      <c r="FB69" s="43">
        <f>SUM(EX69:FA69)</f>
        <v>1399703</v>
      </c>
      <c r="FC69" s="372"/>
      <c r="FD69" s="878">
        <f>FD19+FD62</f>
        <v>349447.89</v>
      </c>
      <c r="FE69" s="43">
        <f>FE19+FE62</f>
        <v>357005</v>
      </c>
      <c r="FF69" s="43">
        <f>FF19+FF62</f>
        <v>368659.3</v>
      </c>
      <c r="FG69" s="43">
        <f>FG19+FG62</f>
        <v>374715.3</v>
      </c>
      <c r="FH69" s="43">
        <f>FH19+FH62</f>
        <v>1392827.49</v>
      </c>
      <c r="FI69" s="372"/>
      <c r="FJ69" s="43">
        <f>FJ19+FJ62</f>
        <v>346026.32670000003</v>
      </c>
      <c r="FK69" s="43">
        <f>FK19+FK62</f>
        <v>353295.15</v>
      </c>
      <c r="FL69" s="43">
        <f>FL19+FL62</f>
        <v>364784.07899999997</v>
      </c>
      <c r="FM69" s="43">
        <f>FM19+FM62</f>
        <v>370506.75900000002</v>
      </c>
      <c r="FN69" s="43">
        <f>FN19+FN62</f>
        <v>1434612.3147</v>
      </c>
      <c r="FP69" s="43">
        <f>FP19+FP62</f>
        <v>356407.11650100007</v>
      </c>
      <c r="FQ69" s="43">
        <f>FQ19+FQ62</f>
        <v>363894.00450000004</v>
      </c>
      <c r="FR69" s="43">
        <f>FR19+FR62</f>
        <v>375727.60136999999</v>
      </c>
      <c r="FS69" s="43">
        <f>FS19+FS62</f>
        <v>381621.96177000005</v>
      </c>
      <c r="FT69" s="43">
        <f>FT19+FT62</f>
        <v>1477650.6841410003</v>
      </c>
    </row>
    <row r="70" spans="2:176" s="381" customFormat="1">
      <c r="B70" s="373"/>
      <c r="C70" s="389" t="s">
        <v>125</v>
      </c>
      <c r="D70" s="373"/>
      <c r="E70" s="373"/>
      <c r="F70" s="373"/>
      <c r="G70" s="373"/>
      <c r="H70" s="373"/>
      <c r="I70" s="373"/>
      <c r="J70" s="373"/>
      <c r="K70" s="373"/>
      <c r="L70" s="373"/>
      <c r="M70" s="373"/>
      <c r="N70" s="373"/>
      <c r="O70" s="373"/>
      <c r="P70" s="373"/>
      <c r="Q70" s="373"/>
      <c r="R70" s="373"/>
      <c r="S70" s="373"/>
      <c r="T70" s="373"/>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373"/>
      <c r="AS70" s="373"/>
      <c r="AT70" s="373"/>
      <c r="AU70" s="373"/>
      <c r="AV70" s="373"/>
      <c r="AW70" s="373"/>
      <c r="AX70" s="373"/>
      <c r="AY70" s="373"/>
      <c r="AZ70" s="375"/>
      <c r="BA70" s="375"/>
      <c r="BB70" s="375"/>
      <c r="BC70" s="375"/>
      <c r="BD70" s="373"/>
      <c r="BE70" s="373"/>
      <c r="BF70" s="375"/>
      <c r="BG70" s="375"/>
      <c r="BH70" s="375"/>
      <c r="BI70" s="375"/>
      <c r="BJ70" s="375"/>
      <c r="BK70" s="373"/>
      <c r="BL70" s="373"/>
      <c r="BM70" s="373"/>
      <c r="BN70" s="373"/>
      <c r="BO70" s="373"/>
      <c r="BP70" s="373"/>
      <c r="BQ70" s="373"/>
      <c r="BR70" s="373"/>
      <c r="BS70" s="373"/>
      <c r="BT70" s="373"/>
      <c r="BU70" s="373"/>
      <c r="BV70" s="373"/>
      <c r="BW70" s="373"/>
      <c r="BX70" s="373"/>
      <c r="BY70" s="373"/>
      <c r="BZ70" s="373"/>
      <c r="CA70" s="376"/>
      <c r="CB70" s="373"/>
      <c r="CC70" s="377"/>
      <c r="CD70" s="373"/>
      <c r="CE70" s="373"/>
      <c r="CF70" s="373"/>
      <c r="CG70" s="373"/>
      <c r="CH70" s="373"/>
      <c r="CI70" s="373"/>
      <c r="CJ70" s="373"/>
      <c r="CK70" s="373"/>
      <c r="CL70" s="373"/>
      <c r="CM70" s="373"/>
      <c r="CN70" s="373"/>
      <c r="CO70" s="373"/>
      <c r="CP70" s="373"/>
      <c r="CQ70" s="373"/>
      <c r="CR70" s="373"/>
      <c r="CS70" s="373"/>
      <c r="CT70" s="373"/>
      <c r="CU70" s="373"/>
      <c r="CV70" s="376"/>
      <c r="CW70" s="376"/>
      <c r="CX70" s="376"/>
      <c r="CY70" s="376"/>
      <c r="CZ70" s="373"/>
      <c r="DA70" s="373"/>
      <c r="DB70" s="376"/>
      <c r="DC70" s="376"/>
      <c r="DD70" s="376"/>
      <c r="DE70" s="376"/>
      <c r="DF70" s="373"/>
      <c r="DG70" s="373"/>
      <c r="DH70" s="17"/>
      <c r="DI70" s="17"/>
      <c r="DJ70" s="17"/>
      <c r="DK70" s="17"/>
      <c r="DL70" s="17"/>
      <c r="DM70" s="373"/>
      <c r="DN70" s="17"/>
      <c r="DO70" s="17"/>
      <c r="DP70" s="17"/>
      <c r="DQ70" s="17"/>
      <c r="DR70" s="17"/>
      <c r="DS70" s="354"/>
      <c r="DT70" s="17"/>
      <c r="DU70" s="17"/>
      <c r="DV70" s="17"/>
      <c r="DW70" s="17"/>
      <c r="DX70" s="17"/>
      <c r="DY70" s="31"/>
      <c r="DZ70" s="17"/>
      <c r="EA70" s="17"/>
      <c r="EB70" s="17"/>
      <c r="EC70" s="17"/>
      <c r="ED70" s="17"/>
      <c r="EE70" s="41"/>
      <c r="EF70" s="17"/>
      <c r="EG70" s="17"/>
      <c r="EH70" s="17"/>
      <c r="EI70" s="17"/>
      <c r="EJ70" s="17"/>
      <c r="EK70" s="41"/>
      <c r="EL70" s="17"/>
      <c r="EM70" s="17"/>
      <c r="EN70" s="17"/>
      <c r="EO70" s="17"/>
      <c r="EP70" s="17"/>
      <c r="EQ70" s="372"/>
      <c r="ER70" s="43"/>
      <c r="ES70" s="43"/>
      <c r="ET70" s="43"/>
      <c r="EU70" s="43"/>
      <c r="EV70" s="43"/>
      <c r="EW70" s="372"/>
      <c r="EX70" s="43"/>
      <c r="EY70" s="43"/>
      <c r="EZ70" s="390">
        <f>EZ69/ET69-1</f>
        <v>0.14690174336542006</v>
      </c>
      <c r="FA70" s="390">
        <f t="shared" ref="FA70:FB70" si="6">FA69/EU69-1</f>
        <v>0.10711610021170181</v>
      </c>
      <c r="FB70" s="390">
        <f t="shared" si="6"/>
        <v>0.12089225939747261</v>
      </c>
      <c r="FC70" s="372"/>
      <c r="FD70" s="567">
        <f t="shared" ref="FD70:FH70" si="7">FD69/EX69-1</f>
        <v>7.139034777089992E-2</v>
      </c>
      <c r="FE70" s="390">
        <f t="shared" si="7"/>
        <v>1.0515099683146012E-3</v>
      </c>
      <c r="FF70" s="390">
        <f t="shared" si="7"/>
        <v>2.1856619379445164E-2</v>
      </c>
      <c r="FG70" s="390">
        <f t="shared" si="7"/>
        <v>5.2169115169485858E-2</v>
      </c>
      <c r="FH70" s="390">
        <f t="shared" si="7"/>
        <v>-4.9121206427363839E-3</v>
      </c>
      <c r="FI70" s="372"/>
      <c r="FJ70" s="390">
        <f t="shared" ref="FJ70" si="8">FJ69/FD69-1</f>
        <v>-9.7913405629662664E-3</v>
      </c>
      <c r="FK70" s="390">
        <f t="shared" ref="FK70" si="9">FK69/FE69-1</f>
        <v>-1.039159115418542E-2</v>
      </c>
      <c r="FL70" s="390">
        <f t="shared" ref="FL70" si="10">FL69/FF69-1</f>
        <v>-1.0511659410192609E-2</v>
      </c>
      <c r="FM70" s="390">
        <f t="shared" ref="FM70" si="11">FM69/FG69-1</f>
        <v>-1.1231302805089549E-2</v>
      </c>
      <c r="FN70" s="390">
        <f t="shared" ref="FN70" si="12">FN69/FH69-1</f>
        <v>3.0000000000000027E-2</v>
      </c>
      <c r="FP70" s="390">
        <f t="shared" ref="FP70" si="13">FP69/FJ69-1</f>
        <v>3.0000000000000027E-2</v>
      </c>
      <c r="FQ70" s="390">
        <f t="shared" ref="FQ70" si="14">FQ69/FK69-1</f>
        <v>3.0000000000000027E-2</v>
      </c>
      <c r="FR70" s="390">
        <f t="shared" ref="FR70" si="15">FR69/FL69-1</f>
        <v>3.0000000000000027E-2</v>
      </c>
      <c r="FS70" s="390">
        <f t="shared" ref="FS70" si="16">FS69/FM69-1</f>
        <v>3.0000000000000027E-2</v>
      </c>
      <c r="FT70" s="390">
        <f t="shared" ref="FT70" si="17">FT69/FN69-1</f>
        <v>3.0000000000000249E-2</v>
      </c>
    </row>
    <row r="71" spans="2:176" s="381" customFormat="1">
      <c r="B71" s="373"/>
      <c r="C71" s="389" t="s">
        <v>723</v>
      </c>
      <c r="D71" s="373"/>
      <c r="E71" s="373"/>
      <c r="F71" s="373"/>
      <c r="G71" s="373"/>
      <c r="H71" s="373"/>
      <c r="I71" s="373"/>
      <c r="J71" s="373"/>
      <c r="K71" s="373"/>
      <c r="L71" s="373"/>
      <c r="M71" s="373"/>
      <c r="N71" s="373"/>
      <c r="O71" s="373"/>
      <c r="P71" s="373"/>
      <c r="Q71" s="373"/>
      <c r="R71" s="373"/>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5"/>
      <c r="BA71" s="375"/>
      <c r="BB71" s="375"/>
      <c r="BC71" s="375"/>
      <c r="BD71" s="373"/>
      <c r="BE71" s="373"/>
      <c r="BF71" s="375"/>
      <c r="BG71" s="375"/>
      <c r="BH71" s="375"/>
      <c r="BI71" s="375"/>
      <c r="BJ71" s="375"/>
      <c r="BK71" s="373"/>
      <c r="BL71" s="373"/>
      <c r="BM71" s="373"/>
      <c r="BN71" s="373"/>
      <c r="BO71" s="373"/>
      <c r="BP71" s="373"/>
      <c r="BQ71" s="373"/>
      <c r="BR71" s="373"/>
      <c r="BS71" s="373"/>
      <c r="BT71" s="373"/>
      <c r="BU71" s="373"/>
      <c r="BV71" s="373"/>
      <c r="BW71" s="373"/>
      <c r="BX71" s="373"/>
      <c r="BY71" s="373"/>
      <c r="BZ71" s="373"/>
      <c r="CA71" s="376"/>
      <c r="CB71" s="373"/>
      <c r="CC71" s="377"/>
      <c r="CD71" s="373"/>
      <c r="CE71" s="373"/>
      <c r="CF71" s="373"/>
      <c r="CG71" s="373"/>
      <c r="CH71" s="373"/>
      <c r="CI71" s="373"/>
      <c r="CJ71" s="373"/>
      <c r="CK71" s="373"/>
      <c r="CL71" s="373"/>
      <c r="CM71" s="373"/>
      <c r="CN71" s="373"/>
      <c r="CO71" s="373"/>
      <c r="CP71" s="373"/>
      <c r="CQ71" s="373"/>
      <c r="CR71" s="373"/>
      <c r="CS71" s="373"/>
      <c r="CT71" s="373"/>
      <c r="CU71" s="373"/>
      <c r="CV71" s="376"/>
      <c r="CW71" s="376"/>
      <c r="CX71" s="376"/>
      <c r="CY71" s="376"/>
      <c r="CZ71" s="373"/>
      <c r="DA71" s="373"/>
      <c r="DB71" s="376"/>
      <c r="DC71" s="376"/>
      <c r="DD71" s="376"/>
      <c r="DE71" s="376"/>
      <c r="DF71" s="373"/>
      <c r="DG71" s="373"/>
      <c r="DH71" s="17"/>
      <c r="DI71" s="17"/>
      <c r="DJ71" s="17"/>
      <c r="DK71" s="17"/>
      <c r="DL71" s="17"/>
      <c r="DM71" s="373"/>
      <c r="DN71" s="17"/>
      <c r="DO71" s="17"/>
      <c r="DP71" s="17"/>
      <c r="DQ71" s="17"/>
      <c r="DR71" s="17"/>
      <c r="DS71" s="354"/>
      <c r="DT71" s="17"/>
      <c r="DU71" s="17"/>
      <c r="DV71" s="17"/>
      <c r="DW71" s="17"/>
      <c r="DX71" s="17"/>
      <c r="DY71" s="31"/>
      <c r="DZ71" s="17"/>
      <c r="EA71" s="17"/>
      <c r="EB71" s="17"/>
      <c r="EC71" s="17"/>
      <c r="ED71" s="17"/>
      <c r="EE71" s="41"/>
      <c r="EF71" s="17"/>
      <c r="EG71" s="17"/>
      <c r="EH71" s="17"/>
      <c r="EI71" s="17"/>
      <c r="EJ71" s="17"/>
      <c r="EK71" s="41"/>
      <c r="EL71" s="17"/>
      <c r="EM71" s="17"/>
      <c r="EN71" s="17"/>
      <c r="EO71" s="17"/>
      <c r="EP71" s="17"/>
      <c r="EQ71" s="372"/>
      <c r="ER71" s="43"/>
      <c r="ES71" s="43"/>
      <c r="ET71" s="43"/>
      <c r="EU71" s="43"/>
      <c r="EV71" s="43"/>
      <c r="EW71" s="372"/>
      <c r="EX71" s="43"/>
      <c r="EY71" s="43"/>
      <c r="EZ71" s="887">
        <v>0.1</v>
      </c>
      <c r="FA71" s="887">
        <v>0.06</v>
      </c>
      <c r="FB71" s="887">
        <v>0.09</v>
      </c>
      <c r="FC71" s="372"/>
      <c r="FD71" s="878"/>
      <c r="FE71" s="43"/>
      <c r="FF71" s="43"/>
      <c r="FG71" s="43"/>
      <c r="FH71" s="43"/>
      <c r="FI71" s="372"/>
      <c r="FJ71" s="43"/>
      <c r="FK71" s="43"/>
      <c r="FL71" s="43"/>
      <c r="FM71" s="43"/>
      <c r="FN71" s="43"/>
      <c r="FP71" s="43"/>
      <c r="FQ71" s="43"/>
      <c r="FR71" s="43"/>
      <c r="FS71" s="43"/>
      <c r="FT71" s="43"/>
    </row>
    <row r="72" spans="2:176" s="381" customFormat="1">
      <c r="B72" s="373"/>
      <c r="C72" s="389"/>
      <c r="D72" s="373"/>
      <c r="E72" s="373"/>
      <c r="F72" s="373"/>
      <c r="G72" s="373"/>
      <c r="H72" s="373"/>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5"/>
      <c r="BA72" s="375"/>
      <c r="BB72" s="375"/>
      <c r="BC72" s="375"/>
      <c r="BD72" s="373"/>
      <c r="BE72" s="373"/>
      <c r="BF72" s="375"/>
      <c r="BG72" s="375"/>
      <c r="BH72" s="375"/>
      <c r="BI72" s="375"/>
      <c r="BJ72" s="375"/>
      <c r="BK72" s="373"/>
      <c r="BL72" s="373"/>
      <c r="BM72" s="373"/>
      <c r="BN72" s="373"/>
      <c r="BO72" s="373"/>
      <c r="BP72" s="373"/>
      <c r="BQ72" s="373"/>
      <c r="BR72" s="373"/>
      <c r="BS72" s="373"/>
      <c r="BT72" s="373"/>
      <c r="BU72" s="373"/>
      <c r="BV72" s="373"/>
      <c r="BW72" s="373"/>
      <c r="BX72" s="373"/>
      <c r="BY72" s="373"/>
      <c r="BZ72" s="373"/>
      <c r="CA72" s="376"/>
      <c r="CB72" s="373"/>
      <c r="CC72" s="377"/>
      <c r="CD72" s="373"/>
      <c r="CE72" s="373"/>
      <c r="CF72" s="373"/>
      <c r="CG72" s="373"/>
      <c r="CH72" s="373"/>
      <c r="CI72" s="373"/>
      <c r="CJ72" s="373"/>
      <c r="CK72" s="373"/>
      <c r="CL72" s="373"/>
      <c r="CM72" s="373"/>
      <c r="CN72" s="373"/>
      <c r="CO72" s="373"/>
      <c r="CP72" s="373"/>
      <c r="CQ72" s="373"/>
      <c r="CR72" s="373"/>
      <c r="CS72" s="373"/>
      <c r="CT72" s="373"/>
      <c r="CU72" s="373"/>
      <c r="CV72" s="376"/>
      <c r="CW72" s="376"/>
      <c r="CX72" s="376"/>
      <c r="CY72" s="376"/>
      <c r="CZ72" s="373"/>
      <c r="DA72" s="373"/>
      <c r="DB72" s="376"/>
      <c r="DC72" s="376"/>
      <c r="DD72" s="376"/>
      <c r="DE72" s="376"/>
      <c r="DF72" s="373"/>
      <c r="DG72" s="373"/>
      <c r="DH72" s="17"/>
      <c r="DI72" s="17"/>
      <c r="DJ72" s="17"/>
      <c r="DK72" s="17"/>
      <c r="DL72" s="17"/>
      <c r="DM72" s="373"/>
      <c r="DN72" s="17"/>
      <c r="DO72" s="17"/>
      <c r="DP72" s="17"/>
      <c r="DQ72" s="17"/>
      <c r="DR72" s="17"/>
      <c r="DS72" s="354"/>
      <c r="DT72" s="17"/>
      <c r="DU72" s="17"/>
      <c r="DV72" s="17"/>
      <c r="DW72" s="17"/>
      <c r="DX72" s="17"/>
      <c r="DY72" s="31"/>
      <c r="DZ72" s="17"/>
      <c r="EA72" s="17"/>
      <c r="EB72" s="17"/>
      <c r="EC72" s="17"/>
      <c r="ED72" s="17"/>
      <c r="EE72" s="41"/>
      <c r="EF72" s="17"/>
      <c r="EG72" s="17"/>
      <c r="EH72" s="17"/>
      <c r="EI72" s="17"/>
      <c r="EJ72" s="17"/>
      <c r="EK72" s="41"/>
      <c r="EL72" s="17"/>
      <c r="EM72" s="17"/>
      <c r="EN72" s="17"/>
      <c r="EO72" s="17"/>
      <c r="EP72" s="17"/>
      <c r="EQ72" s="372"/>
      <c r="ER72" s="43"/>
      <c r="ES72" s="43"/>
      <c r="ET72" s="43"/>
      <c r="EU72" s="43"/>
      <c r="EV72" s="43"/>
      <c r="EW72" s="372"/>
      <c r="EX72" s="43"/>
      <c r="EY72" s="43"/>
      <c r="EZ72" s="43"/>
      <c r="FA72" s="43"/>
      <c r="FB72" s="43"/>
      <c r="FC72" s="372"/>
      <c r="FD72" s="878"/>
      <c r="FE72" s="43"/>
      <c r="FF72" s="43"/>
      <c r="FG72" s="43"/>
      <c r="FH72" s="43"/>
      <c r="FI72" s="372"/>
      <c r="FJ72" s="43"/>
      <c r="FK72" s="43"/>
      <c r="FL72" s="43"/>
      <c r="FM72" s="43"/>
      <c r="FN72" s="43"/>
      <c r="FP72" s="43"/>
      <c r="FQ72" s="43"/>
      <c r="FR72" s="43"/>
      <c r="FS72" s="43"/>
      <c r="FT72" s="43"/>
    </row>
    <row r="73" spans="2:176" s="381" customFormat="1">
      <c r="B73" s="373"/>
      <c r="C73" s="348" t="s">
        <v>707</v>
      </c>
      <c r="D73" s="373"/>
      <c r="E73" s="373"/>
      <c r="F73" s="373"/>
      <c r="G73" s="373"/>
      <c r="H73" s="373"/>
      <c r="I73" s="373"/>
      <c r="J73" s="373"/>
      <c r="K73" s="373"/>
      <c r="L73" s="373"/>
      <c r="M73" s="373"/>
      <c r="N73" s="373"/>
      <c r="O73" s="373"/>
      <c r="P73" s="373"/>
      <c r="Q73" s="373"/>
      <c r="R73" s="373"/>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5"/>
      <c r="BA73" s="375"/>
      <c r="BB73" s="375"/>
      <c r="BC73" s="375"/>
      <c r="BD73" s="373"/>
      <c r="BE73" s="373"/>
      <c r="BF73" s="375"/>
      <c r="BG73" s="375"/>
      <c r="BH73" s="375"/>
      <c r="BI73" s="375"/>
      <c r="BJ73" s="375"/>
      <c r="BK73" s="373"/>
      <c r="BL73" s="373"/>
      <c r="BM73" s="373"/>
      <c r="BN73" s="373"/>
      <c r="BO73" s="373"/>
      <c r="BP73" s="373"/>
      <c r="BQ73" s="373"/>
      <c r="BR73" s="373"/>
      <c r="BS73" s="373"/>
      <c r="BT73" s="373"/>
      <c r="BU73" s="373"/>
      <c r="BV73" s="373"/>
      <c r="BW73" s="373"/>
      <c r="BX73" s="373"/>
      <c r="BY73" s="373"/>
      <c r="BZ73" s="373"/>
      <c r="CA73" s="376"/>
      <c r="CB73" s="373"/>
      <c r="CC73" s="377"/>
      <c r="CD73" s="373"/>
      <c r="CE73" s="373"/>
      <c r="CF73" s="373"/>
      <c r="CG73" s="373"/>
      <c r="CH73" s="373"/>
      <c r="CI73" s="373"/>
      <c r="CJ73" s="373"/>
      <c r="CK73" s="373"/>
      <c r="CL73" s="373"/>
      <c r="CM73" s="373"/>
      <c r="CN73" s="373"/>
      <c r="CO73" s="373"/>
      <c r="CP73" s="373"/>
      <c r="CQ73" s="373"/>
      <c r="CR73" s="373"/>
      <c r="CS73" s="373"/>
      <c r="CT73" s="373"/>
      <c r="CU73" s="373"/>
      <c r="CV73" s="376"/>
      <c r="CW73" s="376"/>
      <c r="CX73" s="376"/>
      <c r="CY73" s="376"/>
      <c r="CZ73" s="373"/>
      <c r="DA73" s="373"/>
      <c r="DB73" s="376"/>
      <c r="DC73" s="376"/>
      <c r="DD73" s="376"/>
      <c r="DE73" s="376"/>
      <c r="DF73" s="373"/>
      <c r="DG73" s="373"/>
      <c r="DH73" s="17"/>
      <c r="DI73" s="17"/>
      <c r="DJ73" s="17"/>
      <c r="DK73" s="17"/>
      <c r="DL73" s="17"/>
      <c r="DM73" s="373"/>
      <c r="DN73" s="17"/>
      <c r="DO73" s="17"/>
      <c r="DP73" s="17"/>
      <c r="DQ73" s="17"/>
      <c r="DR73" s="17"/>
      <c r="DS73" s="354"/>
      <c r="DT73" s="17"/>
      <c r="DU73" s="17"/>
      <c r="DV73" s="17"/>
      <c r="DW73" s="17"/>
      <c r="DX73" s="17"/>
      <c r="DY73" s="31"/>
      <c r="DZ73" s="17"/>
      <c r="EA73" s="17"/>
      <c r="EB73" s="17"/>
      <c r="EC73" s="17"/>
      <c r="ED73" s="17"/>
      <c r="EE73" s="41"/>
      <c r="EF73" s="17"/>
      <c r="EG73" s="17"/>
      <c r="EH73" s="17"/>
      <c r="EI73" s="17"/>
      <c r="EJ73" s="17"/>
      <c r="EK73" s="41"/>
      <c r="EL73" s="17"/>
      <c r="EM73" s="17"/>
      <c r="EN73" s="17"/>
      <c r="EO73" s="17"/>
      <c r="EP73" s="17"/>
      <c r="EQ73" s="372"/>
      <c r="ER73" s="354">
        <f>ER65/ER69*1000000</f>
        <v>447.21717133103078</v>
      </c>
      <c r="ES73" s="354">
        <f>ES65/ES69*1000000</f>
        <v>453.64648506433088</v>
      </c>
      <c r="ET73" s="354">
        <f>ET65/ET69*1000000</f>
        <v>463.444640836205</v>
      </c>
      <c r="EU73" s="354">
        <f>EU65/EU69*1000000</f>
        <v>465</v>
      </c>
      <c r="EV73" s="354">
        <f>EV65/EV69*1000000</f>
        <v>457.49053846277047</v>
      </c>
      <c r="EW73" s="372"/>
      <c r="EX73" s="354">
        <f>EX65/EX69*1000000</f>
        <v>459.00000000000006</v>
      </c>
      <c r="EY73" s="354">
        <f>EY65/EY69*1000000</f>
        <v>460.41366402153488</v>
      </c>
      <c r="EZ73" s="354">
        <f>EZ65/EZ69*1000000</f>
        <v>475.6729004861769</v>
      </c>
      <c r="FA73" s="354">
        <f>FA65/FA69*1000000</f>
        <v>489.30368173956015</v>
      </c>
      <c r="FB73" s="354">
        <f>FB65/FB69*1000000</f>
        <v>471.36800664140884</v>
      </c>
      <c r="FC73" s="372"/>
      <c r="FD73" s="547">
        <f>FD65/FD69*1000000</f>
        <v>482.6988275938653</v>
      </c>
      <c r="FE73" s="354">
        <f>FE65/FE69*1000000</f>
        <v>504.57852831192849</v>
      </c>
      <c r="FF73" s="354">
        <f>FF65/FF69*1000000</f>
        <v>512.42074501850357</v>
      </c>
      <c r="FG73" s="354">
        <f>FG65/FG69*1000000</f>
        <v>518.32395455429764</v>
      </c>
      <c r="FH73" s="354">
        <f>FH65/FH69*1000000</f>
        <v>525.51212469259212</v>
      </c>
      <c r="FI73" s="372"/>
      <c r="FJ73" s="354">
        <f>FJ65/FJ69*1000000</f>
        <v>537.21566721258978</v>
      </c>
      <c r="FK73" s="354">
        <f>FK65/FK69*1000000</f>
        <v>561.90752143285863</v>
      </c>
      <c r="FL73" s="354">
        <f>FL65/FL69*1000000</f>
        <v>570.70992863711137</v>
      </c>
      <c r="FM73" s="354">
        <f>FM65/FM69*1000000</f>
        <v>577.70462418114448</v>
      </c>
      <c r="FN73" s="354">
        <f>FN65/FN69*1000000</f>
        <v>562.26990486235047</v>
      </c>
      <c r="FP73" s="354">
        <f>FP65/FP69*1000000</f>
        <v>574.79188949402806</v>
      </c>
      <c r="FQ73" s="354">
        <f>FQ65/FQ69*1000000</f>
        <v>601.21127580208213</v>
      </c>
      <c r="FR73" s="354">
        <f>FR65/FR69*1000000</f>
        <v>610.62931365128406</v>
      </c>
      <c r="FS73" s="354">
        <f>FS65/FS69*1000000</f>
        <v>618.11307700898908</v>
      </c>
      <c r="FT73" s="354">
        <f>FT65/FT69*1000000</f>
        <v>601.59882207203987</v>
      </c>
    </row>
    <row r="74" spans="2:176" s="381" customFormat="1">
      <c r="B74" s="373"/>
      <c r="C74" s="389" t="s">
        <v>125</v>
      </c>
      <c r="D74" s="373"/>
      <c r="E74" s="373"/>
      <c r="F74" s="373"/>
      <c r="G74" s="373"/>
      <c r="H74" s="373"/>
      <c r="I74" s="373"/>
      <c r="J74" s="373"/>
      <c r="K74" s="373"/>
      <c r="L74" s="373"/>
      <c r="M74" s="373"/>
      <c r="N74" s="373"/>
      <c r="O74" s="373"/>
      <c r="P74" s="373"/>
      <c r="Q74" s="373"/>
      <c r="R74" s="373"/>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5"/>
      <c r="BA74" s="375"/>
      <c r="BB74" s="375"/>
      <c r="BC74" s="375"/>
      <c r="BD74" s="373"/>
      <c r="BE74" s="373"/>
      <c r="BF74" s="375"/>
      <c r="BG74" s="375"/>
      <c r="BH74" s="375"/>
      <c r="BI74" s="375"/>
      <c r="BJ74" s="375"/>
      <c r="BK74" s="373"/>
      <c r="BL74" s="373"/>
      <c r="BM74" s="373"/>
      <c r="BN74" s="373"/>
      <c r="BO74" s="373"/>
      <c r="BP74" s="373"/>
      <c r="BQ74" s="373"/>
      <c r="BR74" s="373"/>
      <c r="BS74" s="373"/>
      <c r="BT74" s="373"/>
      <c r="BU74" s="373"/>
      <c r="BV74" s="373"/>
      <c r="BW74" s="373"/>
      <c r="BX74" s="373"/>
      <c r="BY74" s="373"/>
      <c r="BZ74" s="373"/>
      <c r="CA74" s="376"/>
      <c r="CB74" s="373"/>
      <c r="CC74" s="377"/>
      <c r="CD74" s="373"/>
      <c r="CE74" s="373"/>
      <c r="CF74" s="373"/>
      <c r="CG74" s="373"/>
      <c r="CH74" s="373"/>
      <c r="CI74" s="373"/>
      <c r="CJ74" s="373"/>
      <c r="CK74" s="373"/>
      <c r="CL74" s="373"/>
      <c r="CM74" s="373"/>
      <c r="CN74" s="373"/>
      <c r="CO74" s="373"/>
      <c r="CP74" s="373"/>
      <c r="CQ74" s="373"/>
      <c r="CR74" s="373"/>
      <c r="CS74" s="373"/>
      <c r="CT74" s="373"/>
      <c r="CU74" s="373"/>
      <c r="CV74" s="376"/>
      <c r="CW74" s="376"/>
      <c r="CX74" s="376"/>
      <c r="CY74" s="376"/>
      <c r="CZ74" s="373"/>
      <c r="DA74" s="373"/>
      <c r="DB74" s="376"/>
      <c r="DC74" s="376"/>
      <c r="DD74" s="376"/>
      <c r="DE74" s="376"/>
      <c r="DF74" s="373"/>
      <c r="DG74" s="373"/>
      <c r="DH74" s="17"/>
      <c r="DI74" s="17"/>
      <c r="DJ74" s="17"/>
      <c r="DK74" s="17"/>
      <c r="DL74" s="17"/>
      <c r="DM74" s="373"/>
      <c r="DN74" s="17"/>
      <c r="DO74" s="17"/>
      <c r="DP74" s="17"/>
      <c r="DQ74" s="17"/>
      <c r="DR74" s="17"/>
      <c r="DS74" s="354"/>
      <c r="DT74" s="17"/>
      <c r="DU74" s="17"/>
      <c r="DV74" s="17"/>
      <c r="DW74" s="17"/>
      <c r="DX74" s="17"/>
      <c r="DY74" s="31"/>
      <c r="DZ74" s="17"/>
      <c r="EA74" s="17"/>
      <c r="EB74" s="17"/>
      <c r="EC74" s="17"/>
      <c r="ED74" s="17"/>
      <c r="EE74" s="41"/>
      <c r="EF74" s="17"/>
      <c r="EG74" s="17"/>
      <c r="EH74" s="17"/>
      <c r="EI74" s="17"/>
      <c r="EJ74" s="17"/>
      <c r="EK74" s="41"/>
      <c r="EL74" s="17"/>
      <c r="EM74" s="17"/>
      <c r="EN74" s="17"/>
      <c r="EO74" s="17"/>
      <c r="EP74" s="17"/>
      <c r="EQ74" s="372"/>
      <c r="ER74" s="17"/>
      <c r="ES74" s="17"/>
      <c r="ET74" s="17"/>
      <c r="EU74" s="17"/>
      <c r="EV74" s="17"/>
      <c r="EW74" s="372"/>
      <c r="EX74" s="390">
        <f>EX73/ER73-1</f>
        <v>2.6346995205708712E-2</v>
      </c>
      <c r="EY74" s="390">
        <f>EY73/ES73-1</f>
        <v>1.4917296132569868E-2</v>
      </c>
      <c r="EZ74" s="390">
        <f>EZ73/ET73-1</f>
        <v>2.6385588638824675E-2</v>
      </c>
      <c r="FA74" s="390">
        <f>FA73/EU73-1</f>
        <v>5.2265982235613295E-2</v>
      </c>
      <c r="FB74" s="390">
        <f>FB73/EV73-1</f>
        <v>3.0333891112302558E-2</v>
      </c>
      <c r="FC74" s="372"/>
      <c r="FD74" s="924">
        <f t="shared" ref="FD74:FH74" si="18">FD73/EX73-1</f>
        <v>5.1631432666373156E-2</v>
      </c>
      <c r="FE74" s="925">
        <f t="shared" si="18"/>
        <v>9.5924312724845473E-2</v>
      </c>
      <c r="FF74" s="925">
        <f t="shared" si="18"/>
        <v>7.7254442064635942E-2</v>
      </c>
      <c r="FG74" s="925">
        <f t="shared" si="18"/>
        <v>5.9309328537167971E-2</v>
      </c>
      <c r="FH74" s="925">
        <f t="shared" si="18"/>
        <v>0.11486591641416433</v>
      </c>
      <c r="FI74" s="372"/>
      <c r="FJ74" s="925">
        <f t="shared" ref="FJ74" si="19">FJ73/FD73-1</f>
        <v>0.11294172784814394</v>
      </c>
      <c r="FK74" s="925">
        <f t="shared" ref="FK74" si="20">FK73/FE73-1</f>
        <v>0.11361758359541119</v>
      </c>
      <c r="FL74" s="925">
        <f t="shared" ref="FL74" si="21">FL73/FF73-1</f>
        <v>0.11375258356587992</v>
      </c>
      <c r="FM74" s="925">
        <f t="shared" ref="FM74" si="22">FM73/FG73-1</f>
        <v>0.11456285032766389</v>
      </c>
      <c r="FN74" s="925">
        <f t="shared" ref="FN74" si="23">FN73/FH73-1</f>
        <v>6.9946588180549663E-2</v>
      </c>
      <c r="FP74" s="925">
        <f t="shared" ref="FP74" si="24">FP73/FJ73-1</f>
        <v>6.9946251710057528E-2</v>
      </c>
      <c r="FQ74" s="925">
        <f t="shared" ref="FQ74" si="25">FQ73/FK73-1</f>
        <v>6.9947015959137326E-2</v>
      </c>
      <c r="FR74" s="925">
        <f t="shared" ref="FR74" si="26">FR73/FL73-1</f>
        <v>6.9946890725210542E-2</v>
      </c>
      <c r="FS74" s="925">
        <f t="shared" ref="FS74" si="27">FS73/FM73-1</f>
        <v>6.9946562891236574E-2</v>
      </c>
      <c r="FT74" s="925">
        <f t="shared" ref="FT74" si="28">FT73/FN73-1</f>
        <v>6.994668729303144E-2</v>
      </c>
    </row>
    <row r="75" spans="2:176" s="381" customFormat="1">
      <c r="B75" s="378"/>
      <c r="C75" s="389" t="s">
        <v>724</v>
      </c>
      <c r="D75" s="378"/>
      <c r="E75" s="378"/>
      <c r="F75" s="378"/>
      <c r="G75" s="378"/>
      <c r="H75" s="378"/>
      <c r="I75" s="378"/>
      <c r="J75" s="378"/>
      <c r="K75" s="378"/>
      <c r="L75" s="378"/>
      <c r="M75" s="378"/>
      <c r="N75" s="378"/>
      <c r="O75" s="378"/>
      <c r="P75" s="378"/>
      <c r="Q75" s="378"/>
      <c r="R75" s="378"/>
      <c r="S75" s="378"/>
      <c r="T75" s="378"/>
      <c r="U75" s="378"/>
      <c r="V75" s="378"/>
      <c r="W75" s="378"/>
      <c r="X75" s="378"/>
      <c r="Y75" s="378"/>
      <c r="Z75" s="378"/>
      <c r="AA75" s="378"/>
      <c r="AB75" s="378"/>
      <c r="AC75" s="378"/>
      <c r="AD75" s="378"/>
      <c r="AE75" s="378"/>
      <c r="AF75" s="378"/>
      <c r="AG75" s="378"/>
      <c r="AH75" s="378"/>
      <c r="AI75" s="378"/>
      <c r="AJ75" s="378"/>
      <c r="AK75" s="378"/>
      <c r="AL75" s="378"/>
      <c r="AM75" s="378"/>
      <c r="AN75" s="378"/>
      <c r="AO75" s="378"/>
      <c r="AP75" s="378"/>
      <c r="AQ75" s="378"/>
      <c r="AR75" s="378"/>
      <c r="AS75" s="378"/>
      <c r="AT75" s="378"/>
      <c r="AU75" s="378"/>
      <c r="AV75" s="378"/>
      <c r="AW75" s="378"/>
      <c r="AX75" s="378"/>
      <c r="AY75" s="378"/>
      <c r="AZ75" s="383"/>
      <c r="BA75" s="383"/>
      <c r="BB75" s="383"/>
      <c r="BC75" s="383"/>
      <c r="BD75" s="378"/>
      <c r="BE75" s="378"/>
      <c r="BF75" s="383"/>
      <c r="BG75" s="383"/>
      <c r="BH75" s="383"/>
      <c r="BI75" s="383"/>
      <c r="BJ75" s="383"/>
      <c r="BK75" s="378"/>
      <c r="BL75" s="378"/>
      <c r="BM75" s="378"/>
      <c r="BN75" s="378"/>
      <c r="BO75" s="378"/>
      <c r="BP75" s="378"/>
      <c r="BQ75" s="378"/>
      <c r="BR75" s="378"/>
      <c r="BS75" s="378"/>
      <c r="BT75" s="378"/>
      <c r="BU75" s="378"/>
      <c r="BV75" s="378"/>
      <c r="BW75" s="378"/>
      <c r="BX75" s="378"/>
      <c r="BY75" s="378"/>
      <c r="BZ75" s="378"/>
      <c r="CA75" s="379"/>
      <c r="CB75" s="378"/>
      <c r="CC75" s="384"/>
      <c r="CD75" s="378"/>
      <c r="CE75" s="378"/>
      <c r="CF75" s="378"/>
      <c r="CG75" s="378"/>
      <c r="CH75" s="378"/>
      <c r="CI75" s="378"/>
      <c r="CJ75" s="378"/>
      <c r="CK75" s="378"/>
      <c r="CL75" s="378"/>
      <c r="CM75" s="378"/>
      <c r="CN75" s="378"/>
      <c r="CO75" s="378"/>
      <c r="CP75" s="378"/>
      <c r="CQ75" s="378"/>
      <c r="CR75" s="378"/>
      <c r="CS75" s="378"/>
      <c r="CT75" s="378"/>
      <c r="CU75" s="378"/>
      <c r="CV75" s="379"/>
      <c r="CW75" s="379"/>
      <c r="CX75" s="379"/>
      <c r="CY75" s="379"/>
      <c r="CZ75" s="378"/>
      <c r="DA75" s="378"/>
      <c r="DB75" s="379"/>
      <c r="DC75" s="379"/>
      <c r="DD75" s="379"/>
      <c r="DE75" s="379"/>
      <c r="DF75" s="378"/>
      <c r="DG75" s="378"/>
      <c r="DH75" s="385"/>
      <c r="DI75" s="385"/>
      <c r="DJ75" s="385"/>
      <c r="DK75" s="385"/>
      <c r="DL75" s="378"/>
      <c r="DM75" s="378"/>
      <c r="DN75" s="385"/>
      <c r="DO75" s="385"/>
      <c r="DP75" s="385"/>
      <c r="DQ75" s="382"/>
      <c r="DR75" s="378"/>
      <c r="DS75" s="378"/>
      <c r="DT75" s="385"/>
      <c r="DU75" s="385"/>
      <c r="DV75" s="385"/>
      <c r="DW75" s="382"/>
      <c r="DX75" s="378"/>
      <c r="DZ75" s="385"/>
      <c r="EA75" s="385"/>
      <c r="EB75" s="17"/>
      <c r="EC75" s="382"/>
      <c r="ED75" s="378"/>
      <c r="EE75" s="386"/>
      <c r="EF75" s="385"/>
      <c r="EG75" s="385"/>
      <c r="EH75" s="17"/>
      <c r="EI75" s="382"/>
      <c r="EJ75" s="378"/>
      <c r="EK75" s="386"/>
      <c r="EL75" s="385"/>
      <c r="EM75" s="385"/>
      <c r="EN75" s="17"/>
      <c r="EO75" s="382"/>
      <c r="EP75" s="378"/>
      <c r="ER75" s="385"/>
      <c r="ES75" s="385"/>
      <c r="ET75" s="385"/>
      <c r="EU75" s="382"/>
      <c r="EV75" s="385"/>
      <c r="EX75" s="382"/>
      <c r="EY75" s="382"/>
      <c r="EZ75" s="887">
        <v>0.04</v>
      </c>
      <c r="FA75" s="887">
        <v>7.0000000000000007E-2</v>
      </c>
      <c r="FB75" s="887">
        <v>0.04</v>
      </c>
      <c r="FD75" s="698"/>
      <c r="FE75" s="382"/>
      <c r="FF75" s="382"/>
      <c r="FG75" s="382"/>
      <c r="FH75" s="385"/>
      <c r="FJ75" s="382"/>
      <c r="FK75" s="382"/>
      <c r="FL75" s="382"/>
      <c r="FM75" s="382"/>
      <c r="FN75" s="385"/>
      <c r="FP75" s="382"/>
      <c r="FQ75" s="382"/>
      <c r="FR75" s="382"/>
      <c r="FS75" s="382"/>
      <c r="FT75" s="385"/>
    </row>
    <row r="76" spans="2:176" s="381" customFormat="1">
      <c r="B76" s="378"/>
      <c r="C76" s="389"/>
      <c r="D76" s="378"/>
      <c r="E76" s="378"/>
      <c r="F76" s="378"/>
      <c r="G76" s="378"/>
      <c r="H76" s="378"/>
      <c r="I76" s="378"/>
      <c r="J76" s="378"/>
      <c r="K76" s="378"/>
      <c r="L76" s="378"/>
      <c r="M76" s="378"/>
      <c r="N76" s="378"/>
      <c r="O76" s="378"/>
      <c r="P76" s="378"/>
      <c r="Q76" s="378"/>
      <c r="R76" s="378"/>
      <c r="S76" s="378"/>
      <c r="T76" s="378"/>
      <c r="U76" s="378"/>
      <c r="V76" s="378"/>
      <c r="W76" s="378"/>
      <c r="X76" s="378"/>
      <c r="Y76" s="378"/>
      <c r="Z76" s="378"/>
      <c r="AA76" s="378"/>
      <c r="AB76" s="378"/>
      <c r="AC76" s="378"/>
      <c r="AD76" s="378"/>
      <c r="AE76" s="378"/>
      <c r="AF76" s="378"/>
      <c r="AG76" s="378"/>
      <c r="AH76" s="378"/>
      <c r="AI76" s="378"/>
      <c r="AJ76" s="378"/>
      <c r="AK76" s="378"/>
      <c r="AL76" s="378"/>
      <c r="AM76" s="378"/>
      <c r="AN76" s="378"/>
      <c r="AO76" s="378"/>
      <c r="AP76" s="378"/>
      <c r="AQ76" s="378"/>
      <c r="AR76" s="378"/>
      <c r="AS76" s="378"/>
      <c r="AT76" s="378"/>
      <c r="AU76" s="378"/>
      <c r="AV76" s="378"/>
      <c r="AW76" s="378"/>
      <c r="AX76" s="378"/>
      <c r="AY76" s="378"/>
      <c r="AZ76" s="383"/>
      <c r="BA76" s="383"/>
      <c r="BB76" s="383"/>
      <c r="BC76" s="383"/>
      <c r="BD76" s="378"/>
      <c r="BE76" s="378"/>
      <c r="BF76" s="383"/>
      <c r="BG76" s="383"/>
      <c r="BH76" s="383"/>
      <c r="BI76" s="383"/>
      <c r="BJ76" s="383"/>
      <c r="BK76" s="378"/>
      <c r="BL76" s="378"/>
      <c r="BM76" s="378"/>
      <c r="BN76" s="378"/>
      <c r="BO76" s="378"/>
      <c r="BP76" s="378"/>
      <c r="BQ76" s="378"/>
      <c r="BR76" s="378"/>
      <c r="BS76" s="378"/>
      <c r="BT76" s="378"/>
      <c r="BU76" s="378"/>
      <c r="BV76" s="378"/>
      <c r="BW76" s="378"/>
      <c r="BX76" s="378"/>
      <c r="BY76" s="378"/>
      <c r="BZ76" s="378"/>
      <c r="CA76" s="379"/>
      <c r="CB76" s="378"/>
      <c r="CC76" s="384"/>
      <c r="CD76" s="378"/>
      <c r="CE76" s="378"/>
      <c r="CF76" s="378"/>
      <c r="CG76" s="378"/>
      <c r="CH76" s="378"/>
      <c r="CI76" s="378"/>
      <c r="CJ76" s="378"/>
      <c r="CK76" s="378"/>
      <c r="CL76" s="378"/>
      <c r="CM76" s="378"/>
      <c r="CN76" s="378"/>
      <c r="CO76" s="378"/>
      <c r="CP76" s="378"/>
      <c r="CQ76" s="378"/>
      <c r="CR76" s="378"/>
      <c r="CS76" s="378"/>
      <c r="CT76" s="378"/>
      <c r="CU76" s="378"/>
      <c r="CV76" s="379"/>
      <c r="CW76" s="379"/>
      <c r="CX76" s="379"/>
      <c r="CY76" s="379"/>
      <c r="CZ76" s="378"/>
      <c r="DA76" s="378"/>
      <c r="DB76" s="379"/>
      <c r="DC76" s="379"/>
      <c r="DD76" s="379"/>
      <c r="DE76" s="379"/>
      <c r="DF76" s="378"/>
      <c r="DG76" s="378"/>
      <c r="DH76" s="385"/>
      <c r="DI76" s="385"/>
      <c r="DJ76" s="385"/>
      <c r="DK76" s="385"/>
      <c r="DL76" s="378"/>
      <c r="DM76" s="378"/>
      <c r="DN76" s="385"/>
      <c r="DO76" s="385"/>
      <c r="DP76" s="385"/>
      <c r="DQ76" s="382"/>
      <c r="DR76" s="378"/>
      <c r="DS76" s="378"/>
      <c r="DT76" s="385"/>
      <c r="DU76" s="385"/>
      <c r="DV76" s="385"/>
      <c r="DW76" s="382"/>
      <c r="DX76" s="378"/>
      <c r="DZ76" s="385"/>
      <c r="EA76" s="385"/>
      <c r="EB76" s="17"/>
      <c r="EC76" s="382"/>
      <c r="ED76" s="378"/>
      <c r="EE76" s="386"/>
      <c r="EF76" s="385"/>
      <c r="EG76" s="385"/>
      <c r="EH76" s="17"/>
      <c r="EI76" s="382"/>
      <c r="EJ76" s="378"/>
      <c r="EK76" s="386"/>
      <c r="EL76" s="385"/>
      <c r="EM76" s="385"/>
      <c r="EN76" s="17"/>
      <c r="EO76" s="382"/>
      <c r="EP76" s="378"/>
      <c r="ER76" s="385"/>
      <c r="ES76" s="385"/>
      <c r="ET76" s="385"/>
      <c r="EU76" s="382"/>
      <c r="EV76" s="385"/>
      <c r="EX76" s="382"/>
      <c r="EY76" s="382"/>
      <c r="EZ76" s="382"/>
      <c r="FA76" s="382"/>
      <c r="FB76" s="385"/>
      <c r="FD76" s="698"/>
      <c r="FE76" s="382"/>
      <c r="FF76" s="382"/>
      <c r="FG76" s="382"/>
      <c r="FH76" s="385"/>
      <c r="FJ76" s="382"/>
      <c r="FK76" s="382"/>
      <c r="FL76" s="382"/>
      <c r="FM76" s="382"/>
      <c r="FN76" s="385"/>
      <c r="FP76" s="382"/>
      <c r="FQ76" s="382"/>
      <c r="FR76" s="382"/>
      <c r="FS76" s="382"/>
      <c r="FT76" s="385"/>
    </row>
    <row r="77" spans="2:176" s="381" customFormat="1">
      <c r="B77" s="378"/>
      <c r="C77" s="382"/>
      <c r="D77" s="378"/>
      <c r="E77" s="378"/>
      <c r="F77" s="378"/>
      <c r="G77" s="378"/>
      <c r="H77" s="378"/>
      <c r="I77" s="378"/>
      <c r="J77" s="378"/>
      <c r="K77" s="378"/>
      <c r="L77" s="378"/>
      <c r="M77" s="378"/>
      <c r="N77" s="378"/>
      <c r="O77" s="378"/>
      <c r="P77" s="378"/>
      <c r="Q77" s="378"/>
      <c r="R77" s="378"/>
      <c r="S77" s="378"/>
      <c r="T77" s="378"/>
      <c r="U77" s="378"/>
      <c r="V77" s="378"/>
      <c r="W77" s="378"/>
      <c r="X77" s="378"/>
      <c r="Y77" s="378"/>
      <c r="Z77" s="378"/>
      <c r="AA77" s="378"/>
      <c r="AB77" s="378"/>
      <c r="AC77" s="378"/>
      <c r="AD77" s="378"/>
      <c r="AE77" s="378"/>
      <c r="AF77" s="378"/>
      <c r="AG77" s="378"/>
      <c r="AH77" s="378"/>
      <c r="AI77" s="378"/>
      <c r="AJ77" s="378"/>
      <c r="AK77" s="378"/>
      <c r="AL77" s="378"/>
      <c r="AM77" s="378"/>
      <c r="AN77" s="378"/>
      <c r="AO77" s="378"/>
      <c r="AP77" s="378"/>
      <c r="AQ77" s="378"/>
      <c r="AR77" s="378"/>
      <c r="AS77" s="378"/>
      <c r="AT77" s="378"/>
      <c r="AU77" s="378"/>
      <c r="AV77" s="378"/>
      <c r="AW77" s="378"/>
      <c r="AX77" s="378"/>
      <c r="AY77" s="378"/>
      <c r="AZ77" s="383"/>
      <c r="BA77" s="383"/>
      <c r="BB77" s="383"/>
      <c r="BC77" s="383"/>
      <c r="BD77" s="378"/>
      <c r="BE77" s="378"/>
      <c r="BF77" s="383"/>
      <c r="BG77" s="383"/>
      <c r="BH77" s="383"/>
      <c r="BI77" s="383"/>
      <c r="BJ77" s="383"/>
      <c r="BK77" s="378"/>
      <c r="BL77" s="378"/>
      <c r="BM77" s="378"/>
      <c r="BN77" s="378"/>
      <c r="BO77" s="378"/>
      <c r="BP77" s="378"/>
      <c r="BQ77" s="378"/>
      <c r="BR77" s="378"/>
      <c r="BS77" s="378"/>
      <c r="BT77" s="378"/>
      <c r="BU77" s="378"/>
      <c r="BV77" s="378"/>
      <c r="BW77" s="378"/>
      <c r="BX77" s="378"/>
      <c r="BY77" s="378"/>
      <c r="BZ77" s="378"/>
      <c r="CA77" s="379"/>
      <c r="CB77" s="378"/>
      <c r="CC77" s="384"/>
      <c r="CD77" s="378"/>
      <c r="CE77" s="378"/>
      <c r="CF77" s="378"/>
      <c r="CG77" s="378"/>
      <c r="CH77" s="378"/>
      <c r="CI77" s="378"/>
      <c r="CJ77" s="378"/>
      <c r="CK77" s="378"/>
      <c r="CL77" s="378"/>
      <c r="CM77" s="378"/>
      <c r="CN77" s="378"/>
      <c r="CO77" s="378"/>
      <c r="CP77" s="378"/>
      <c r="CQ77" s="378"/>
      <c r="CR77" s="378"/>
      <c r="CS77" s="378"/>
      <c r="CT77" s="378"/>
      <c r="CU77" s="378"/>
      <c r="CV77" s="379"/>
      <c r="CW77" s="379"/>
      <c r="CX77" s="379"/>
      <c r="CY77" s="379"/>
      <c r="CZ77" s="378"/>
      <c r="DA77" s="378"/>
      <c r="DB77" s="379"/>
      <c r="DC77" s="379"/>
      <c r="DD77" s="379"/>
      <c r="DE77" s="379"/>
      <c r="DF77" s="378"/>
      <c r="DG77" s="378"/>
      <c r="DH77" s="385"/>
      <c r="DI77" s="385"/>
      <c r="DJ77" s="385"/>
      <c r="DK77" s="385"/>
      <c r="DL77" s="378"/>
      <c r="DM77" s="378"/>
      <c r="DN77" s="385"/>
      <c r="DO77" s="385"/>
      <c r="DP77" s="385"/>
      <c r="DQ77" s="382"/>
      <c r="DR77" s="378"/>
      <c r="DS77" s="378"/>
      <c r="DT77" s="385"/>
      <c r="DU77" s="385"/>
      <c r="DV77" s="385"/>
      <c r="DW77" s="382"/>
      <c r="DX77" s="378"/>
      <c r="DZ77" s="385"/>
      <c r="EA77" s="385"/>
      <c r="EB77" s="385"/>
      <c r="EC77" s="382"/>
      <c r="ED77" s="378"/>
      <c r="EE77" s="386"/>
      <c r="EF77" s="385"/>
      <c r="EG77" s="385"/>
      <c r="EH77" s="385"/>
      <c r="EI77" s="382"/>
      <c r="EJ77" s="378"/>
      <c r="EK77" s="386"/>
      <c r="EL77" s="385"/>
      <c r="EM77" s="385"/>
      <c r="EN77" s="385"/>
      <c r="EO77" s="382"/>
      <c r="EP77" s="378"/>
      <c r="ER77" s="385"/>
      <c r="ES77" s="385"/>
      <c r="ET77" s="385"/>
      <c r="EU77" s="382"/>
      <c r="EV77" s="679"/>
      <c r="EX77" s="382"/>
      <c r="EY77" s="382"/>
      <c r="EZ77" s="382"/>
      <c r="FA77" s="382"/>
      <c r="FB77" s="385"/>
      <c r="FD77" s="698"/>
      <c r="FE77" s="382"/>
      <c r="FF77" s="382"/>
      <c r="FG77" s="382"/>
      <c r="FH77" s="385"/>
      <c r="FJ77" s="382"/>
      <c r="FK77" s="382"/>
      <c r="FL77" s="382"/>
      <c r="FM77" s="382"/>
      <c r="FN77" s="385"/>
      <c r="FP77" s="382"/>
      <c r="FQ77" s="382"/>
      <c r="FR77" s="382"/>
      <c r="FS77" s="382"/>
      <c r="FT77" s="385"/>
    </row>
    <row r="78" spans="2:176" s="381" customFormat="1">
      <c r="B78" s="378" t="s">
        <v>639</v>
      </c>
      <c r="C78" s="358"/>
      <c r="D78" s="378"/>
      <c r="E78" s="378"/>
      <c r="F78" s="378"/>
      <c r="G78" s="378"/>
      <c r="H78" s="378"/>
      <c r="I78" s="378"/>
      <c r="J78" s="378"/>
      <c r="K78" s="378"/>
      <c r="L78" s="378"/>
      <c r="M78" s="378"/>
      <c r="N78" s="378"/>
      <c r="O78" s="378"/>
      <c r="P78" s="378"/>
      <c r="Q78" s="378"/>
      <c r="R78" s="378"/>
      <c r="S78" s="378"/>
      <c r="T78" s="378"/>
      <c r="U78" s="378"/>
      <c r="V78" s="378"/>
      <c r="W78" s="378"/>
      <c r="X78" s="378"/>
      <c r="Y78" s="378"/>
      <c r="Z78" s="378"/>
      <c r="AA78" s="378"/>
      <c r="AB78" s="378"/>
      <c r="AC78" s="378"/>
      <c r="AD78" s="378"/>
      <c r="AE78" s="378"/>
      <c r="AF78" s="378"/>
      <c r="AG78" s="378"/>
      <c r="AH78" s="378"/>
      <c r="AI78" s="378"/>
      <c r="AJ78" s="378"/>
      <c r="AK78" s="378"/>
      <c r="AL78" s="378"/>
      <c r="AM78" s="378"/>
      <c r="AN78" s="378"/>
      <c r="AO78" s="378"/>
      <c r="AP78" s="378"/>
      <c r="AQ78" s="378"/>
      <c r="AR78" s="378"/>
      <c r="AS78" s="378"/>
      <c r="AT78" s="378"/>
      <c r="AU78" s="378"/>
      <c r="AV78" s="378"/>
      <c r="AW78" s="378"/>
      <c r="AX78" s="378"/>
      <c r="AY78" s="378"/>
      <c r="AZ78" s="383"/>
      <c r="BA78" s="383"/>
      <c r="BB78" s="383"/>
      <c r="BC78" s="383"/>
      <c r="BD78" s="378"/>
      <c r="BE78" s="378"/>
      <c r="BF78" s="383"/>
      <c r="BG78" s="383"/>
      <c r="BH78" s="383"/>
      <c r="BI78" s="383"/>
      <c r="BJ78" s="383"/>
      <c r="BK78" s="378"/>
      <c r="BL78" s="378"/>
      <c r="BM78" s="378"/>
      <c r="BN78" s="378"/>
      <c r="BO78" s="378"/>
      <c r="BP78" s="378"/>
      <c r="BQ78" s="378"/>
      <c r="BR78" s="378"/>
      <c r="BS78" s="378"/>
      <c r="BT78" s="378"/>
      <c r="BU78" s="378"/>
      <c r="BV78" s="378"/>
      <c r="BW78" s="378"/>
      <c r="BX78" s="378"/>
      <c r="BY78" s="378"/>
      <c r="BZ78" s="378"/>
      <c r="CA78" s="379"/>
      <c r="CB78" s="378"/>
      <c r="CC78" s="384"/>
      <c r="CD78" s="378"/>
      <c r="CE78" s="378"/>
      <c r="CF78" s="378"/>
      <c r="CG78" s="378"/>
      <c r="CH78" s="378"/>
      <c r="CI78" s="378"/>
      <c r="CJ78" s="378"/>
      <c r="CK78" s="378"/>
      <c r="CL78" s="378"/>
      <c r="CM78" s="378"/>
      <c r="CN78" s="378"/>
      <c r="CO78" s="378"/>
      <c r="CP78" s="378"/>
      <c r="CQ78" s="378"/>
      <c r="CR78" s="378"/>
      <c r="CS78" s="378"/>
      <c r="CT78" s="378"/>
      <c r="CU78" s="378"/>
      <c r="CV78" s="379"/>
      <c r="CW78" s="379"/>
      <c r="CX78" s="379"/>
      <c r="CY78" s="379"/>
      <c r="CZ78" s="378"/>
      <c r="DA78" s="378"/>
      <c r="DB78" s="350">
        <v>4.5209999999999999</v>
      </c>
      <c r="DC78" s="350">
        <v>6.7169999999999996</v>
      </c>
      <c r="DD78" s="350">
        <v>7.95</v>
      </c>
      <c r="DE78" s="350">
        <v>7.9660000000000002</v>
      </c>
      <c r="DF78" s="67">
        <f>SUM(DB78:DE78)</f>
        <v>27.154</v>
      </c>
      <c r="DG78" s="378"/>
      <c r="DH78" s="350">
        <v>6.452</v>
      </c>
      <c r="DI78" s="350">
        <v>8.2059999999999995</v>
      </c>
      <c r="DJ78" s="350">
        <v>9.6470000000000002</v>
      </c>
      <c r="DK78" s="350">
        <v>10.561999999999999</v>
      </c>
      <c r="DL78" s="67">
        <f>SUM(DH78:DK78)</f>
        <v>34.866999999999997</v>
      </c>
      <c r="DM78" s="378"/>
      <c r="DN78" s="350">
        <v>9.3670000000000009</v>
      </c>
      <c r="DO78" s="350">
        <v>12.731</v>
      </c>
      <c r="DP78" s="350">
        <v>12.106999999999999</v>
      </c>
      <c r="DQ78" s="350">
        <v>13.462999999999999</v>
      </c>
      <c r="DR78" s="67">
        <f>SUM(DN78:DQ78)</f>
        <v>47.667999999999999</v>
      </c>
      <c r="DS78" s="344"/>
      <c r="DT78" s="350">
        <v>13.048</v>
      </c>
      <c r="DU78" s="350">
        <v>13.093</v>
      </c>
      <c r="DV78" s="350">
        <v>16.710999999999999</v>
      </c>
      <c r="DW78" s="350">
        <v>19.259</v>
      </c>
      <c r="DX78" s="67">
        <f>SUM(DT78:DW78)</f>
        <v>62.110999999999997</v>
      </c>
      <c r="DY78" s="66"/>
      <c r="DZ78" s="350">
        <v>19.045999999999999</v>
      </c>
      <c r="EA78" s="350">
        <v>20.318999999999999</v>
      </c>
      <c r="EB78" s="350">
        <v>19.113</v>
      </c>
      <c r="EC78" s="350">
        <v>21.678999999999998</v>
      </c>
      <c r="ED78" s="67">
        <f>SUM(DZ78:EC78)</f>
        <v>80.156999999999996</v>
      </c>
      <c r="EE78" s="386"/>
      <c r="EF78" s="350">
        <v>18.378</v>
      </c>
      <c r="EG78" s="350">
        <v>19.437000000000001</v>
      </c>
      <c r="EH78" s="350">
        <v>22.62</v>
      </c>
      <c r="EI78" s="350">
        <v>30.539000000000001</v>
      </c>
      <c r="EJ78" s="67">
        <f>SUM(EF78:EI78)</f>
        <v>90.974000000000004</v>
      </c>
      <c r="EK78" s="386"/>
      <c r="EL78" s="350">
        <v>22.350999999999999</v>
      </c>
      <c r="EM78" s="350">
        <v>23.760999999999999</v>
      </c>
      <c r="EN78" s="350">
        <v>24.401</v>
      </c>
      <c r="EO78" s="350">
        <v>25.494</v>
      </c>
      <c r="EP78" s="67">
        <f>SUM(EL78:EO78)</f>
        <v>96.006999999999991</v>
      </c>
      <c r="ER78" s="350">
        <v>21.704999999999998</v>
      </c>
      <c r="ES78" s="350">
        <v>23.114000000000001</v>
      </c>
      <c r="ET78" s="350">
        <v>22.041</v>
      </c>
      <c r="EU78" s="67">
        <f>EU90-EU10</f>
        <v>22.419264999999996</v>
      </c>
      <c r="EV78" s="67">
        <f>SUM(ER78:EU78)</f>
        <v>89.279264999999995</v>
      </c>
      <c r="EX78" s="67">
        <f>EX90-EX10</f>
        <v>18.326182999999986</v>
      </c>
      <c r="EY78" s="67">
        <f>EY90-EY65</f>
        <v>17.132675000000035</v>
      </c>
      <c r="EZ78" s="67">
        <f>EZ90-EZ65</f>
        <v>16.186585000000008</v>
      </c>
      <c r="FA78" s="67">
        <f>FA90-FA65</f>
        <v>15.911343999999985</v>
      </c>
      <c r="FB78" s="67">
        <f>SUM(EX78:FA78)</f>
        <v>67.556787000000014</v>
      </c>
      <c r="FD78" s="676">
        <f>EX78*(1+FD79)</f>
        <v>15.943779209999988</v>
      </c>
      <c r="FE78" s="67">
        <f>EY78*(1+FE79)</f>
        <v>15.933387750000032</v>
      </c>
      <c r="FF78" s="67">
        <f>EZ78*(1+FF79)</f>
        <v>16.672182550000009</v>
      </c>
      <c r="FG78" s="67">
        <f>FA78*(1+FG79)</f>
        <v>16.866024639999985</v>
      </c>
      <c r="FH78" s="67">
        <f>SUM(FD78:FG78)</f>
        <v>65.415374150000019</v>
      </c>
      <c r="FJ78" s="67">
        <f>FD78*(1+FJ79)</f>
        <v>16.74096817049999</v>
      </c>
      <c r="FK78" s="67">
        <f>FE78*(1+FK79)</f>
        <v>16.730057137500033</v>
      </c>
      <c r="FL78" s="67">
        <f>FF78*(1+FL79)</f>
        <v>17.50579167750001</v>
      </c>
      <c r="FM78" s="67">
        <f>FG78*(1+FM79)</f>
        <v>17.709325871999987</v>
      </c>
      <c r="FN78" s="67">
        <f>SUM(FJ78:FM78)</f>
        <v>68.686142857500016</v>
      </c>
      <c r="FP78" s="67">
        <f>FJ78*(1+FP79)</f>
        <v>17.57801657902499</v>
      </c>
      <c r="FQ78" s="67">
        <f>FK78*(1+FQ79)</f>
        <v>17.566559994375037</v>
      </c>
      <c r="FR78" s="67">
        <f>FL78*(1+FR79)</f>
        <v>18.381081261375012</v>
      </c>
      <c r="FS78" s="67">
        <f>FM78*(1+FS79)</f>
        <v>18.594792165599987</v>
      </c>
      <c r="FT78" s="67">
        <f>SUM(FP78:FS78)</f>
        <v>72.12045000037503</v>
      </c>
    </row>
    <row r="79" spans="2:176" s="381" customFormat="1">
      <c r="B79" s="560"/>
      <c r="C79" s="389" t="s">
        <v>125</v>
      </c>
      <c r="D79" s="378"/>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8"/>
      <c r="AC79" s="378"/>
      <c r="AD79" s="378"/>
      <c r="AE79" s="378"/>
      <c r="AF79" s="378"/>
      <c r="AG79" s="378"/>
      <c r="AH79" s="378"/>
      <c r="AI79" s="378"/>
      <c r="AJ79" s="378"/>
      <c r="AK79" s="378"/>
      <c r="AL79" s="378"/>
      <c r="AM79" s="378"/>
      <c r="AN79" s="378"/>
      <c r="AO79" s="378"/>
      <c r="AP79" s="378"/>
      <c r="AQ79" s="378"/>
      <c r="AR79" s="378"/>
      <c r="AS79" s="378"/>
      <c r="AT79" s="378"/>
      <c r="AU79" s="378"/>
      <c r="AV79" s="378"/>
      <c r="AW79" s="378"/>
      <c r="AX79" s="378"/>
      <c r="AY79" s="378"/>
      <c r="AZ79" s="383"/>
      <c r="BA79" s="383"/>
      <c r="BB79" s="383"/>
      <c r="BC79" s="383"/>
      <c r="BD79" s="378"/>
      <c r="BE79" s="378"/>
      <c r="BF79" s="383"/>
      <c r="BG79" s="383"/>
      <c r="BH79" s="383"/>
      <c r="BI79" s="383"/>
      <c r="BJ79" s="383"/>
      <c r="BK79" s="378"/>
      <c r="BL79" s="378"/>
      <c r="BM79" s="378"/>
      <c r="BN79" s="378"/>
      <c r="BO79" s="378"/>
      <c r="BP79" s="378"/>
      <c r="BQ79" s="378"/>
      <c r="BR79" s="378"/>
      <c r="BS79" s="378"/>
      <c r="BT79" s="378"/>
      <c r="BU79" s="378"/>
      <c r="BV79" s="378"/>
      <c r="BW79" s="378"/>
      <c r="BX79" s="378"/>
      <c r="BY79" s="378"/>
      <c r="BZ79" s="378"/>
      <c r="CA79" s="379"/>
      <c r="CB79" s="378"/>
      <c r="CC79" s="384"/>
      <c r="CD79" s="378"/>
      <c r="CE79" s="378"/>
      <c r="CF79" s="378"/>
      <c r="CG79" s="378"/>
      <c r="CH79" s="378"/>
      <c r="CI79" s="378"/>
      <c r="CJ79" s="378"/>
      <c r="CK79" s="378"/>
      <c r="CL79" s="378"/>
      <c r="CM79" s="378"/>
      <c r="CN79" s="378"/>
      <c r="CO79" s="378"/>
      <c r="CP79" s="378"/>
      <c r="CQ79" s="378"/>
      <c r="CR79" s="378"/>
      <c r="CS79" s="378"/>
      <c r="CT79" s="378"/>
      <c r="CU79" s="378"/>
      <c r="CV79" s="379"/>
      <c r="CW79" s="379"/>
      <c r="CX79" s="379"/>
      <c r="CY79" s="379"/>
      <c r="CZ79" s="378"/>
      <c r="DA79" s="378"/>
      <c r="DB79" s="379"/>
      <c r="DC79" s="379"/>
      <c r="DD79" s="379"/>
      <c r="DE79" s="379"/>
      <c r="DF79" s="378"/>
      <c r="DG79" s="378"/>
      <c r="DH79" s="390">
        <f>DH78/DB78-1</f>
        <v>0.42711789427117886</v>
      </c>
      <c r="DI79" s="390">
        <f>DI78/DC78-1</f>
        <v>0.22167634360577648</v>
      </c>
      <c r="DJ79" s="390">
        <f>DJ78/DD78-1</f>
        <v>0.21345911949685537</v>
      </c>
      <c r="DK79" s="390">
        <f>DK78/DE78-1</f>
        <v>0.3258850112980165</v>
      </c>
      <c r="DL79" s="390">
        <f>DL78/DF78-1</f>
        <v>0.28404654931133533</v>
      </c>
      <c r="DM79" s="378"/>
      <c r="DN79" s="390">
        <f>DN78/DH78-1</f>
        <v>0.45179789212647248</v>
      </c>
      <c r="DO79" s="390">
        <f>DO78/DI78-1</f>
        <v>0.55142578601023651</v>
      </c>
      <c r="DP79" s="390">
        <f>DP78/DJ78-1</f>
        <v>0.25500155488752974</v>
      </c>
      <c r="DQ79" s="390">
        <f>DQ78/DK78-1</f>
        <v>0.27466388941488362</v>
      </c>
      <c r="DR79" s="390">
        <f>DR78/DL78-1</f>
        <v>0.36713798147245247</v>
      </c>
      <c r="DS79" s="378"/>
      <c r="DT79" s="390">
        <f>DT78/DN78-1</f>
        <v>0.39297533895590897</v>
      </c>
      <c r="DU79" s="390">
        <f>DU78/DO78-1</f>
        <v>2.8434529887675808E-2</v>
      </c>
      <c r="DV79" s="390">
        <f>DV78/DP78-1</f>
        <v>0.38027587346163383</v>
      </c>
      <c r="DW79" s="390">
        <f>DW78/DQ78-1</f>
        <v>0.43051325856049916</v>
      </c>
      <c r="DX79" s="390">
        <f>DX78/DR78-1</f>
        <v>0.30299152471259538</v>
      </c>
      <c r="DZ79" s="390">
        <f>DZ78/DT78-1</f>
        <v>0.4596873083997548</v>
      </c>
      <c r="EA79" s="390">
        <f>EA78/DU78-1</f>
        <v>0.55189796074238129</v>
      </c>
      <c r="EB79" s="390">
        <f>EB78/DV78-1</f>
        <v>0.14373765783017189</v>
      </c>
      <c r="EC79" s="390">
        <f>EC78/DW78-1</f>
        <v>0.12565553767069937</v>
      </c>
      <c r="ED79" s="390">
        <f>ED78/DX78-1</f>
        <v>0.2905443480220895</v>
      </c>
      <c r="EE79" s="386"/>
      <c r="EF79" s="390">
        <f>EF78/DZ78-1</f>
        <v>-3.5072981203402298E-2</v>
      </c>
      <c r="EG79" s="390">
        <f>EG78/EA78-1</f>
        <v>-4.340764801417385E-2</v>
      </c>
      <c r="EH79" s="390">
        <f>EH78/EB78-1</f>
        <v>0.18348767854339987</v>
      </c>
      <c r="EI79" s="390">
        <f>EI78/EC78-1</f>
        <v>0.40869043775081892</v>
      </c>
      <c r="EJ79" s="390">
        <f>EJ78/ED78-1</f>
        <v>0.13494766520703139</v>
      </c>
      <c r="EK79" s="386"/>
      <c r="EL79" s="390">
        <f>EL78/EF78-1</f>
        <v>0.21618239199042333</v>
      </c>
      <c r="EM79" s="390">
        <f>EM78/EG78-1</f>
        <v>0.222462314143129</v>
      </c>
      <c r="EN79" s="390">
        <f>EN78/EH78-1</f>
        <v>7.8735632183907889E-2</v>
      </c>
      <c r="EO79" s="390">
        <f>EO78/EI78-1</f>
        <v>-0.16519859851337637</v>
      </c>
      <c r="EP79" s="390">
        <f>EP78/EJ78-1</f>
        <v>5.5323499021698419E-2</v>
      </c>
      <c r="ER79" s="390">
        <f>ER78/EL78-1</f>
        <v>-2.8902509954811917E-2</v>
      </c>
      <c r="ES79" s="390">
        <f>ES78/EM78-1</f>
        <v>-2.7229493708177177E-2</v>
      </c>
      <c r="ET79" s="390">
        <f>ET78/EN78-1</f>
        <v>-9.6717347649686425E-2</v>
      </c>
      <c r="EU79" s="390">
        <f>EU78/EO78-1</f>
        <v>-0.12060622107162489</v>
      </c>
      <c r="EV79" s="390">
        <f>EV78/EP78-1</f>
        <v>-7.0075463247471492E-2</v>
      </c>
      <c r="EX79" s="390">
        <f>EX78/ER78-1</f>
        <v>-0.15566998387468378</v>
      </c>
      <c r="EY79" s="390">
        <f>EY78/ES78-1</f>
        <v>-0.25877498485766059</v>
      </c>
      <c r="EZ79" s="390">
        <f>EZ78/ET78-1</f>
        <v>-0.26561476339548984</v>
      </c>
      <c r="FA79" s="561">
        <f>FA78/EU78-1</f>
        <v>-0.29028253156381401</v>
      </c>
      <c r="FB79" s="390">
        <f>FB78/EV78-1</f>
        <v>-0.243309328319403</v>
      </c>
      <c r="FC79" s="712"/>
      <c r="FD79" s="566">
        <v>-0.13</v>
      </c>
      <c r="FE79" s="561">
        <v>-7.0000000000000007E-2</v>
      </c>
      <c r="FF79" s="561">
        <v>0.03</v>
      </c>
      <c r="FG79" s="561">
        <v>0.06</v>
      </c>
      <c r="FH79" s="390">
        <f>FH78/FB78-1</f>
        <v>-3.1697967666816318E-2</v>
      </c>
      <c r="FI79" s="712"/>
      <c r="FJ79" s="561">
        <v>0.05</v>
      </c>
      <c r="FK79" s="561">
        <v>0.05</v>
      </c>
      <c r="FL79" s="561">
        <v>0.05</v>
      </c>
      <c r="FM79" s="561">
        <v>0.05</v>
      </c>
      <c r="FN79" s="390">
        <f>FN78/FH78-1</f>
        <v>5.0000000000000044E-2</v>
      </c>
      <c r="FP79" s="561">
        <v>0.05</v>
      </c>
      <c r="FQ79" s="561">
        <v>0.05</v>
      </c>
      <c r="FR79" s="561">
        <v>0.05</v>
      </c>
      <c r="FS79" s="561">
        <v>0.05</v>
      </c>
      <c r="FT79" s="390">
        <f>FT78/FN78-1</f>
        <v>5.0000000000000266E-2</v>
      </c>
    </row>
    <row r="80" spans="2:176" s="381" customFormat="1">
      <c r="B80" s="560"/>
      <c r="C80" s="389" t="s">
        <v>653</v>
      </c>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c r="AC80" s="378"/>
      <c r="AD80" s="378"/>
      <c r="AE80" s="378"/>
      <c r="AF80" s="378"/>
      <c r="AG80" s="378"/>
      <c r="AH80" s="378"/>
      <c r="AI80" s="378"/>
      <c r="AJ80" s="378"/>
      <c r="AK80" s="378"/>
      <c r="AL80" s="378"/>
      <c r="AM80" s="378"/>
      <c r="AN80" s="378"/>
      <c r="AO80" s="378"/>
      <c r="AP80" s="378"/>
      <c r="AQ80" s="378"/>
      <c r="AR80" s="378"/>
      <c r="AS80" s="378"/>
      <c r="AT80" s="378"/>
      <c r="AU80" s="378"/>
      <c r="AV80" s="378"/>
      <c r="AW80" s="378"/>
      <c r="AX80" s="378"/>
      <c r="AY80" s="378"/>
      <c r="AZ80" s="383"/>
      <c r="BA80" s="383"/>
      <c r="BB80" s="383"/>
      <c r="BC80" s="383"/>
      <c r="BD80" s="378"/>
      <c r="BE80" s="378"/>
      <c r="BF80" s="383"/>
      <c r="BG80" s="383"/>
      <c r="BH80" s="383"/>
      <c r="BI80" s="383"/>
      <c r="BJ80" s="383"/>
      <c r="BK80" s="378"/>
      <c r="BL80" s="378"/>
      <c r="BM80" s="378"/>
      <c r="BN80" s="378"/>
      <c r="BO80" s="378"/>
      <c r="BP80" s="378"/>
      <c r="BQ80" s="378"/>
      <c r="BR80" s="378"/>
      <c r="BS80" s="378"/>
      <c r="BT80" s="378"/>
      <c r="BU80" s="378"/>
      <c r="BV80" s="378"/>
      <c r="BW80" s="378"/>
      <c r="BX80" s="378"/>
      <c r="BY80" s="378"/>
      <c r="BZ80" s="378"/>
      <c r="CA80" s="379"/>
      <c r="CB80" s="378"/>
      <c r="CC80" s="384"/>
      <c r="CD80" s="378"/>
      <c r="CE80" s="378"/>
      <c r="CF80" s="378"/>
      <c r="CG80" s="378"/>
      <c r="CH80" s="378"/>
      <c r="CI80" s="378"/>
      <c r="CJ80" s="378"/>
      <c r="CK80" s="378"/>
      <c r="CL80" s="378"/>
      <c r="CM80" s="378"/>
      <c r="CN80" s="378"/>
      <c r="CO80" s="378"/>
      <c r="CP80" s="378"/>
      <c r="CQ80" s="378"/>
      <c r="CR80" s="378"/>
      <c r="CS80" s="378"/>
      <c r="CT80" s="378"/>
      <c r="CU80" s="378"/>
      <c r="CV80" s="379"/>
      <c r="CW80" s="379"/>
      <c r="CX80" s="379"/>
      <c r="CY80" s="379"/>
      <c r="CZ80" s="378"/>
      <c r="DA80" s="378"/>
      <c r="DB80" s="379"/>
      <c r="DC80" s="390">
        <f>DC78/DB78-1</f>
        <v>0.48573324485733238</v>
      </c>
      <c r="DD80" s="390">
        <f>DD78/DC78-1</f>
        <v>0.1835640911121037</v>
      </c>
      <c r="DE80" s="390">
        <f>DE78/DD78-1</f>
        <v>2.0125786163522896E-3</v>
      </c>
      <c r="DF80" s="378"/>
      <c r="DG80" s="378"/>
      <c r="DH80" s="390">
        <f>DH78/DE78-1</f>
        <v>-0.19005774541802667</v>
      </c>
      <c r="DI80" s="390">
        <f>DI78/DH78-1</f>
        <v>0.27185368877867311</v>
      </c>
      <c r="DJ80" s="390">
        <f>DJ78/DI78-1</f>
        <v>0.17560321715817695</v>
      </c>
      <c r="DK80" s="390">
        <f>DK78/DJ78-1</f>
        <v>9.4848139317922575E-2</v>
      </c>
      <c r="DL80" s="390"/>
      <c r="DM80" s="378"/>
      <c r="DN80" s="390">
        <f>DN78/DK78-1</f>
        <v>-0.11314145048286295</v>
      </c>
      <c r="DO80" s="390">
        <f>DO78/DN78-1</f>
        <v>0.35913312693498445</v>
      </c>
      <c r="DP80" s="390">
        <f>DP78/DO78-1</f>
        <v>-4.9014217264943927E-2</v>
      </c>
      <c r="DQ80" s="390">
        <f>DQ78/DP78-1</f>
        <v>0.11200132154951681</v>
      </c>
      <c r="DR80" s="390"/>
      <c r="DS80" s="378"/>
      <c r="DT80" s="390">
        <f>DT78/DQ78-1</f>
        <v>-3.0825224689890796E-2</v>
      </c>
      <c r="DU80" s="390">
        <f>DU78/DT78-1</f>
        <v>3.4488044144695973E-3</v>
      </c>
      <c r="DV80" s="390">
        <f>DV78/DU78-1</f>
        <v>0.27633086382036187</v>
      </c>
      <c r="DW80" s="390">
        <f>DW78/DV78-1</f>
        <v>0.15247441804799244</v>
      </c>
      <c r="DX80" s="390"/>
      <c r="DZ80" s="390">
        <f>DZ78/DW78-1</f>
        <v>-1.1059764266057481E-2</v>
      </c>
      <c r="EA80" s="390">
        <f>EA78/DZ78-1</f>
        <v>6.6838181245405748E-2</v>
      </c>
      <c r="EB80" s="390">
        <f>EB78/EA78-1</f>
        <v>-5.935331463162552E-2</v>
      </c>
      <c r="EC80" s="390">
        <f>EC78/EB78-1</f>
        <v>0.13425417255271266</v>
      </c>
      <c r="ED80" s="390"/>
      <c r="EE80" s="386"/>
      <c r="EF80" s="390">
        <f>EF78/EC78-1</f>
        <v>-0.152267170994972</v>
      </c>
      <c r="EG80" s="390">
        <f>EG78/EF78-1</f>
        <v>5.7623245184459826E-2</v>
      </c>
      <c r="EH80" s="390">
        <f>EH78/EG78-1</f>
        <v>0.16375983948140149</v>
      </c>
      <c r="EI80" s="390">
        <f>EI78/EH78-1</f>
        <v>0.35008841732979668</v>
      </c>
      <c r="EJ80" s="390"/>
      <c r="EK80" s="386"/>
      <c r="EL80" s="390">
        <f>EL78/EI78-1</f>
        <v>-0.26811617931169984</v>
      </c>
      <c r="EM80" s="390">
        <f>EM78/EL78-1</f>
        <v>6.3084425752762741E-2</v>
      </c>
      <c r="EN80" s="390">
        <f>EN78/EM78-1</f>
        <v>2.693489331257104E-2</v>
      </c>
      <c r="EO80" s="390">
        <f>EO78/EN78-1</f>
        <v>4.4793246178435275E-2</v>
      </c>
      <c r="EP80" s="390"/>
      <c r="ER80" s="390">
        <f>ER78/EO78-1</f>
        <v>-0.14862320546010832</v>
      </c>
      <c r="ES80" s="390">
        <f>ES78/ER78-1</f>
        <v>6.4915917991246408E-2</v>
      </c>
      <c r="ET80" s="390">
        <f>ET78/ES78-1</f>
        <v>-4.642208185515273E-2</v>
      </c>
      <c r="EU80" s="390">
        <f>EU78/ET78-1</f>
        <v>1.7161880132480212E-2</v>
      </c>
      <c r="EV80" s="390"/>
      <c r="EX80" s="390">
        <f>EX78/EU78-1</f>
        <v>-0.18256985677273585</v>
      </c>
      <c r="EY80" s="390">
        <f>EY78/EX78-1</f>
        <v>-6.512583662402327E-2</v>
      </c>
      <c r="EZ80" s="390">
        <f>EZ78/EY78-1</f>
        <v>-5.5221382533668817E-2</v>
      </c>
      <c r="FA80" s="390">
        <f>FA78/EZ78-1</f>
        <v>-1.7004266187093942E-2</v>
      </c>
      <c r="FB80" s="390"/>
      <c r="FD80" s="567">
        <f>FD78/FA78-1</f>
        <v>2.038495930953621E-3</v>
      </c>
      <c r="FE80" s="390">
        <f>FE78/FD78-1</f>
        <v>-6.5175639119730011E-4</v>
      </c>
      <c r="FF80" s="390">
        <f>FF78/FE78-1</f>
        <v>4.6367716118624891E-2</v>
      </c>
      <c r="FG80" s="390">
        <f>FG78/FF78-1</f>
        <v>1.1626677516194617E-2</v>
      </c>
      <c r="FH80" s="390"/>
      <c r="FJ80" s="390"/>
      <c r="FK80" s="390"/>
      <c r="FL80" s="390"/>
      <c r="FM80" s="390"/>
      <c r="FN80" s="390"/>
    </row>
    <row r="81" spans="2:176" s="372" customFormat="1">
      <c r="B81" s="373"/>
      <c r="C81" s="345" t="s">
        <v>654</v>
      </c>
      <c r="D81" s="373"/>
      <c r="E81" s="373"/>
      <c r="F81" s="373"/>
      <c r="G81" s="373"/>
      <c r="H81" s="373"/>
      <c r="I81" s="373"/>
      <c r="J81" s="373"/>
      <c r="K81" s="373"/>
      <c r="L81" s="373"/>
      <c r="M81" s="373"/>
      <c r="N81" s="373"/>
      <c r="O81" s="373"/>
      <c r="P81" s="373"/>
      <c r="Q81" s="373"/>
      <c r="R81" s="373"/>
      <c r="S81" s="373"/>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5"/>
      <c r="BA81" s="375"/>
      <c r="BB81" s="375"/>
      <c r="BC81" s="375"/>
      <c r="BD81" s="373"/>
      <c r="BE81" s="373"/>
      <c r="BF81" s="375"/>
      <c r="BG81" s="375"/>
      <c r="BH81" s="375"/>
      <c r="BI81" s="375"/>
      <c r="BJ81" s="375"/>
      <c r="BK81" s="373"/>
      <c r="BL81" s="373"/>
      <c r="BM81" s="373"/>
      <c r="BN81" s="373"/>
      <c r="BO81" s="373"/>
      <c r="BP81" s="373"/>
      <c r="BQ81" s="373"/>
      <c r="BR81" s="373"/>
      <c r="BS81" s="373"/>
      <c r="BT81" s="373"/>
      <c r="BU81" s="373"/>
      <c r="BV81" s="373"/>
      <c r="BW81" s="373"/>
      <c r="BX81" s="373"/>
      <c r="BY81" s="373"/>
      <c r="BZ81" s="373"/>
      <c r="CA81" s="376"/>
      <c r="CB81" s="373"/>
      <c r="CC81" s="377"/>
      <c r="CD81" s="373"/>
      <c r="CE81" s="373"/>
      <c r="CF81" s="373"/>
      <c r="CG81" s="373"/>
      <c r="CH81" s="373"/>
      <c r="CI81" s="373"/>
      <c r="CJ81" s="373"/>
      <c r="CK81" s="373"/>
      <c r="CL81" s="373"/>
      <c r="CM81" s="373"/>
      <c r="CN81" s="373"/>
      <c r="CO81" s="373"/>
      <c r="CP81" s="373"/>
      <c r="CQ81" s="373"/>
      <c r="CR81" s="373"/>
      <c r="CS81" s="373"/>
      <c r="CT81" s="373"/>
      <c r="CU81" s="373"/>
      <c r="CV81" s="376"/>
      <c r="CW81" s="376"/>
      <c r="CX81" s="376"/>
      <c r="CY81" s="376"/>
      <c r="CZ81" s="373"/>
      <c r="DA81" s="373"/>
      <c r="DB81" s="486"/>
      <c r="DC81" s="486">
        <f>DC78-DB78</f>
        <v>2.1959999999999997</v>
      </c>
      <c r="DD81" s="486">
        <f>DD78-DC78</f>
        <v>1.2330000000000005</v>
      </c>
      <c r="DE81" s="486">
        <f>DE78-DD78</f>
        <v>1.6000000000000014E-2</v>
      </c>
      <c r="DF81" s="373"/>
      <c r="DG81" s="373"/>
      <c r="DH81" s="486">
        <f>DH78-DE78</f>
        <v>-1.5140000000000002</v>
      </c>
      <c r="DI81" s="486">
        <f>DI78-DH78</f>
        <v>1.7539999999999996</v>
      </c>
      <c r="DJ81" s="486">
        <f>DJ78-DI78</f>
        <v>1.4410000000000007</v>
      </c>
      <c r="DK81" s="486">
        <f>DK78-DJ78</f>
        <v>0.91499999999999915</v>
      </c>
      <c r="DL81" s="17"/>
      <c r="DM81" s="373"/>
      <c r="DN81" s="486">
        <f>DN78-DK78</f>
        <v>-1.1949999999999985</v>
      </c>
      <c r="DO81" s="486">
        <f>DO78-DN78</f>
        <v>3.363999999999999</v>
      </c>
      <c r="DP81" s="486">
        <f>DP78-DO78</f>
        <v>-0.62400000000000055</v>
      </c>
      <c r="DQ81" s="486">
        <f>DQ78-DP78</f>
        <v>1.3559999999999999</v>
      </c>
      <c r="DR81" s="17"/>
      <c r="DS81" s="354"/>
      <c r="DT81" s="486">
        <f>DT78-DQ78</f>
        <v>-0.41499999999999915</v>
      </c>
      <c r="DU81" s="486">
        <f>DU78-DT78</f>
        <v>4.4999999999999929E-2</v>
      </c>
      <c r="DV81" s="486">
        <f>DV78-DU78</f>
        <v>3.6179999999999986</v>
      </c>
      <c r="DW81" s="486">
        <f>DW78-DV78</f>
        <v>2.5480000000000018</v>
      </c>
      <c r="DX81" s="17"/>
      <c r="DY81" s="31"/>
      <c r="DZ81" s="486">
        <f>DZ78-DW78</f>
        <v>-0.21300000000000097</v>
      </c>
      <c r="EA81" s="486">
        <f>EA78-DZ78</f>
        <v>1.2729999999999997</v>
      </c>
      <c r="EB81" s="486">
        <f>EB78-EA78</f>
        <v>-1.2059999999999995</v>
      </c>
      <c r="EC81" s="486">
        <f>EC78-EB78</f>
        <v>2.5659999999999989</v>
      </c>
      <c r="ED81" s="17"/>
      <c r="EE81" s="41"/>
      <c r="EF81" s="486">
        <f>EF78-EC78</f>
        <v>-3.3009999999999984</v>
      </c>
      <c r="EG81" s="486">
        <f>EG78-EF78</f>
        <v>1.0590000000000011</v>
      </c>
      <c r="EH81" s="486">
        <f>EH78-EG78</f>
        <v>3.1829999999999998</v>
      </c>
      <c r="EI81" s="486">
        <f>EI78-EH78</f>
        <v>7.9190000000000005</v>
      </c>
      <c r="EJ81" s="17"/>
      <c r="EK81" s="41"/>
      <c r="EL81" s="486">
        <f>EL78-EI78</f>
        <v>-8.1880000000000024</v>
      </c>
      <c r="EM81" s="486">
        <f>EM78-EL78</f>
        <v>1.4100000000000001</v>
      </c>
      <c r="EN81" s="486">
        <f>EN78-EM78</f>
        <v>0.64000000000000057</v>
      </c>
      <c r="EO81" s="486">
        <f>EO78-EN78</f>
        <v>1.093</v>
      </c>
      <c r="EP81" s="17"/>
      <c r="ER81" s="486">
        <f>ER78-EO78</f>
        <v>-3.7890000000000015</v>
      </c>
      <c r="ES81" s="486">
        <f>ES78-ER78</f>
        <v>1.4090000000000025</v>
      </c>
      <c r="ET81" s="486">
        <f>ET78-ES78</f>
        <v>-1.0730000000000004</v>
      </c>
      <c r="EU81" s="486">
        <f>EU78-ET78</f>
        <v>0.37826499999999541</v>
      </c>
      <c r="EV81" s="17"/>
      <c r="EX81" s="486">
        <f>EX78-EU78</f>
        <v>-4.0930820000000097</v>
      </c>
      <c r="EY81" s="486">
        <f>EY78-EX78</f>
        <v>-1.1935079999999516</v>
      </c>
      <c r="EZ81" s="486">
        <f>EZ78-EY78</f>
        <v>-0.94609000000002652</v>
      </c>
      <c r="FA81" s="486">
        <f>FA78-EZ78</f>
        <v>-0.2752410000000225</v>
      </c>
      <c r="FB81" s="523"/>
      <c r="FD81" s="664">
        <f>FD78-FA78</f>
        <v>3.2435210000002712E-2</v>
      </c>
      <c r="FE81" s="486">
        <f>FE78-FD78</f>
        <v>-1.0391459999956609E-2</v>
      </c>
      <c r="FF81" s="486">
        <f>FF78-FE78</f>
        <v>0.73879479999997777</v>
      </c>
      <c r="FG81" s="486">
        <f>FG78-FF78</f>
        <v>0.19384208999997554</v>
      </c>
      <c r="FH81" s="523"/>
      <c r="FJ81" s="374"/>
      <c r="FK81" s="374"/>
      <c r="FL81" s="374"/>
      <c r="FM81" s="374"/>
      <c r="FN81" s="523"/>
    </row>
    <row r="82" spans="2:176" s="381" customFormat="1">
      <c r="B82" s="377"/>
      <c r="C82" s="348" t="s">
        <v>660</v>
      </c>
      <c r="D82" s="378"/>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8"/>
      <c r="AC82" s="378"/>
      <c r="AD82" s="378"/>
      <c r="AE82" s="378"/>
      <c r="AF82" s="378"/>
      <c r="AG82" s="378"/>
      <c r="AH82" s="378"/>
      <c r="AI82" s="378"/>
      <c r="AJ82" s="378"/>
      <c r="AK82" s="378"/>
      <c r="AL82" s="378"/>
      <c r="AM82" s="378"/>
      <c r="AN82" s="378"/>
      <c r="AO82" s="378"/>
      <c r="AP82" s="378"/>
      <c r="AQ82" s="378"/>
      <c r="AR82" s="378"/>
      <c r="AS82" s="378"/>
      <c r="AT82" s="378"/>
      <c r="AU82" s="378"/>
      <c r="AV82" s="378"/>
      <c r="AW82" s="378"/>
      <c r="AX82" s="378"/>
      <c r="AY82" s="378"/>
      <c r="AZ82" s="677"/>
      <c r="BA82" s="677"/>
      <c r="BB82" s="677"/>
      <c r="BC82" s="677"/>
      <c r="BD82" s="378"/>
      <c r="BE82" s="378"/>
      <c r="BF82" s="677"/>
      <c r="BG82" s="677"/>
      <c r="BH82" s="677"/>
      <c r="BI82" s="677"/>
      <c r="BJ82" s="677"/>
      <c r="BK82" s="378"/>
      <c r="BL82" s="378"/>
      <c r="BM82" s="378"/>
      <c r="BN82" s="378"/>
      <c r="BO82" s="378"/>
      <c r="BP82" s="378"/>
      <c r="BQ82" s="378"/>
      <c r="BR82" s="378"/>
      <c r="BS82" s="378"/>
      <c r="BT82" s="378"/>
      <c r="BU82" s="378"/>
      <c r="BV82" s="378"/>
      <c r="BW82" s="378"/>
      <c r="BX82" s="378"/>
      <c r="BY82" s="378"/>
      <c r="BZ82" s="378"/>
      <c r="CA82" s="379"/>
      <c r="CB82" s="378"/>
      <c r="CC82" s="384"/>
      <c r="CD82" s="378"/>
      <c r="CE82" s="378"/>
      <c r="CF82" s="378"/>
      <c r="CG82" s="378"/>
      <c r="CH82" s="378"/>
      <c r="CI82" s="378"/>
      <c r="CJ82" s="378"/>
      <c r="CK82" s="378"/>
      <c r="CL82" s="378"/>
      <c r="CM82" s="378"/>
      <c r="CN82" s="378"/>
      <c r="CO82" s="378"/>
      <c r="CP82" s="378"/>
      <c r="CQ82" s="378"/>
      <c r="CR82" s="378"/>
      <c r="CS82" s="378"/>
      <c r="CT82" s="378"/>
      <c r="CU82" s="378"/>
      <c r="CV82" s="379"/>
      <c r="CW82" s="379"/>
      <c r="CX82" s="379"/>
      <c r="CY82" s="379"/>
      <c r="CZ82" s="378"/>
      <c r="DA82" s="378"/>
      <c r="DB82" s="679">
        <f>DB78/DB90</f>
        <v>8.0948970456580116E-2</v>
      </c>
      <c r="DC82" s="679">
        <f>DC78/DC90</f>
        <v>0.11066809457121674</v>
      </c>
      <c r="DD82" s="679">
        <f>DD78/DD90</f>
        <v>0.13545748849889247</v>
      </c>
      <c r="DE82" s="679">
        <f>DE78/DE90</f>
        <v>0.1296929438963238</v>
      </c>
      <c r="DF82" s="679">
        <f>DF78/DF90</f>
        <v>0.11473989782681265</v>
      </c>
      <c r="DG82" s="378"/>
      <c r="DH82" s="679">
        <f>DH78/DH90</f>
        <v>0.10172965643378586</v>
      </c>
      <c r="DI82" s="679">
        <f>DI78/DI90</f>
        <v>0.12112892274082603</v>
      </c>
      <c r="DJ82" s="679">
        <f>DJ78/DJ90</f>
        <v>0.13961734398518003</v>
      </c>
      <c r="DK82" s="679">
        <f>DK78/DK90</f>
        <v>0.13811049362536776</v>
      </c>
      <c r="DL82" s="679">
        <f>DL78/DL90</f>
        <v>0.12599190575991903</v>
      </c>
      <c r="DM82" s="378"/>
      <c r="DN82" s="679">
        <f>DN78/DN90</f>
        <v>9.8004750096780613E-2</v>
      </c>
      <c r="DO82" s="679">
        <f>DO78/DO90</f>
        <v>0.12516590799602806</v>
      </c>
      <c r="DP82" s="679">
        <f>DP78/DP90</f>
        <v>0.11566608070926322</v>
      </c>
      <c r="DQ82" s="679">
        <f>DQ78/DQ90</f>
        <v>0.12597784182355803</v>
      </c>
      <c r="DR82" s="679">
        <f>DR78/DR90</f>
        <v>0.11659614020497516</v>
      </c>
      <c r="DS82" s="378"/>
      <c r="DT82" s="679">
        <f>DT78/DT90</f>
        <v>0.12305951145902103</v>
      </c>
      <c r="DU82" s="679">
        <f>DU78/DU90</f>
        <v>0.15053404923140601</v>
      </c>
      <c r="DV82" s="679">
        <f>DV78/DV90</f>
        <v>0.1332148209559644</v>
      </c>
      <c r="DW82" s="679">
        <f>DW78/DW90</f>
        <v>0.15285284570267546</v>
      </c>
      <c r="DX82" s="679">
        <f>DX78/DX90</f>
        <v>0.13974863201094392</v>
      </c>
      <c r="DZ82" s="679">
        <f>DZ78/DZ90</f>
        <v>0.16485333194844765</v>
      </c>
      <c r="EA82" s="679">
        <f>EA78/EA90</f>
        <v>0.16692681804738588</v>
      </c>
      <c r="EB82" s="679">
        <f>EB78/EB90</f>
        <v>0.1575160705455744</v>
      </c>
      <c r="EC82" s="679">
        <f>EC78/EC90</f>
        <v>0.17242229504024431</v>
      </c>
      <c r="ED82" s="679">
        <f>ED78/ED90</f>
        <v>0.16550113662407165</v>
      </c>
      <c r="EE82" s="386"/>
      <c r="EF82" s="679">
        <f>EF78/EF90</f>
        <v>0.15685036144372658</v>
      </c>
      <c r="EG82" s="679">
        <f>EG78/EG90</f>
        <v>0.15540648586414227</v>
      </c>
      <c r="EH82" s="679">
        <f>EH78/EH90</f>
        <v>0.17564566476681523</v>
      </c>
      <c r="EI82" s="679">
        <f>EI78/EI90</f>
        <v>0.22017230813597205</v>
      </c>
      <c r="EJ82" s="679">
        <f>EJ78/EJ90</f>
        <v>0.17847557913240006</v>
      </c>
      <c r="EK82" s="386"/>
      <c r="EL82" s="679">
        <f>EL78/EL90</f>
        <v>0.16288441918087743</v>
      </c>
      <c r="EM82" s="679">
        <f>EM78/EM90</f>
        <v>0.16173077315763321</v>
      </c>
      <c r="EN82" s="679">
        <f>EN78/EN90</f>
        <v>0.16058149176724534</v>
      </c>
      <c r="EO82" s="679">
        <f>EO78/EO90</f>
        <v>0.163893746142769</v>
      </c>
      <c r="EP82" s="679">
        <f>EP78/EP90</f>
        <v>0.16227184298639552</v>
      </c>
      <c r="ER82" s="679">
        <f>ER78/ER90</f>
        <v>0.13892089093701995</v>
      </c>
      <c r="ES82" s="679">
        <f>ES78/ES90</f>
        <v>0.14050892998261419</v>
      </c>
      <c r="ET82" s="679">
        <f>ET78/ET90</f>
        <v>0.13133401658880733</v>
      </c>
      <c r="EU82" s="679">
        <f>EU78/EU90</f>
        <v>0.13034456395348834</v>
      </c>
      <c r="EV82" s="679">
        <f>EV78/EV90</f>
        <v>0.13515570737821805</v>
      </c>
      <c r="EX82" s="679">
        <f>EX78/EX90</f>
        <v>0.10906170143124937</v>
      </c>
      <c r="EY82" s="679">
        <f>EY78/EY90</f>
        <v>9.4483400430155157E-2</v>
      </c>
      <c r="EZ82" s="679">
        <f>EZ78/EZ90</f>
        <v>8.6191925323620758E-2</v>
      </c>
      <c r="FA82" s="679">
        <f>FA78/FA90</f>
        <v>8.3669054004311863E-2</v>
      </c>
      <c r="FB82" s="679">
        <f>FB78/FB90</f>
        <v>9.2883012159509032E-2</v>
      </c>
      <c r="FD82" s="730">
        <f>FD78/FD90</f>
        <v>8.6359105526712471E-2</v>
      </c>
      <c r="FE82" s="679">
        <f>FE78/FE90</f>
        <v>8.1263587327932721E-2</v>
      </c>
      <c r="FF82" s="679">
        <f>FF78/FF90</f>
        <v>8.1097933424277679E-2</v>
      </c>
      <c r="FG82" s="679">
        <f>FG78/FG90</f>
        <v>7.9899708051634349E-2</v>
      </c>
      <c r="FH82" s="679">
        <f>FH78/FH90</f>
        <v>8.2039629767392763E-2</v>
      </c>
      <c r="FJ82" s="679"/>
      <c r="FK82" s="679"/>
      <c r="FL82" s="679"/>
      <c r="FM82" s="679"/>
      <c r="FN82" s="679"/>
    </row>
    <row r="83" spans="2:176" s="372" customFormat="1">
      <c r="B83" s="373"/>
      <c r="C83" s="348"/>
      <c r="D83" s="373"/>
      <c r="E83" s="373"/>
      <c r="F83" s="373"/>
      <c r="G83" s="373"/>
      <c r="H83" s="373"/>
      <c r="I83" s="373"/>
      <c r="J83" s="373"/>
      <c r="K83" s="373"/>
      <c r="L83" s="373"/>
      <c r="M83" s="373"/>
      <c r="N83" s="373"/>
      <c r="O83" s="373"/>
      <c r="P83" s="373"/>
      <c r="Q83" s="373"/>
      <c r="R83" s="373"/>
      <c r="S83" s="373"/>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5"/>
      <c r="BA83" s="375"/>
      <c r="BB83" s="375"/>
      <c r="BC83" s="375"/>
      <c r="BD83" s="373"/>
      <c r="BE83" s="373"/>
      <c r="BF83" s="375"/>
      <c r="BG83" s="375"/>
      <c r="BH83" s="375"/>
      <c r="BI83" s="375"/>
      <c r="BJ83" s="375"/>
      <c r="BK83" s="373"/>
      <c r="BL83" s="373"/>
      <c r="BM83" s="373"/>
      <c r="BN83" s="373"/>
      <c r="BO83" s="373"/>
      <c r="BP83" s="373"/>
      <c r="BQ83" s="373"/>
      <c r="BR83" s="373"/>
      <c r="BS83" s="373"/>
      <c r="BT83" s="373"/>
      <c r="BU83" s="373"/>
      <c r="BV83" s="373"/>
      <c r="BW83" s="373"/>
      <c r="BX83" s="373"/>
      <c r="BY83" s="373"/>
      <c r="BZ83" s="373"/>
      <c r="CA83" s="376"/>
      <c r="CB83" s="373"/>
      <c r="CC83" s="377"/>
      <c r="CD83" s="373"/>
      <c r="CE83" s="373"/>
      <c r="CF83" s="373"/>
      <c r="CG83" s="373"/>
      <c r="CH83" s="373"/>
      <c r="CI83" s="373"/>
      <c r="CJ83" s="373"/>
      <c r="CK83" s="373"/>
      <c r="CL83" s="373"/>
      <c r="CM83" s="373"/>
      <c r="CN83" s="373"/>
      <c r="CO83" s="373"/>
      <c r="CP83" s="373"/>
      <c r="CQ83" s="373"/>
      <c r="CR83" s="373"/>
      <c r="CS83" s="373"/>
      <c r="CT83" s="373"/>
      <c r="CU83" s="373"/>
      <c r="CV83" s="376"/>
      <c r="CW83" s="376"/>
      <c r="CX83" s="376"/>
      <c r="CY83" s="376"/>
      <c r="CZ83" s="373"/>
      <c r="DA83" s="373"/>
      <c r="DB83" s="376"/>
      <c r="DC83" s="376"/>
      <c r="DD83" s="376"/>
      <c r="DE83" s="376"/>
      <c r="DF83" s="373"/>
      <c r="DG83" s="373"/>
      <c r="DH83" s="17"/>
      <c r="DI83" s="17"/>
      <c r="DJ83" s="17"/>
      <c r="DK83" s="17"/>
      <c r="DL83" s="17"/>
      <c r="DM83" s="373"/>
      <c r="DN83" s="17"/>
      <c r="DO83" s="17"/>
      <c r="DP83" s="17"/>
      <c r="DQ83" s="17"/>
      <c r="DR83" s="17"/>
      <c r="DS83" s="354"/>
      <c r="DT83" s="17"/>
      <c r="DU83" s="17"/>
      <c r="DV83" s="17"/>
      <c r="DW83" s="17"/>
      <c r="DX83" s="17"/>
      <c r="DY83" s="31"/>
      <c r="DZ83" s="17"/>
      <c r="EA83" s="17"/>
      <c r="EB83" s="17"/>
      <c r="EC83" s="17"/>
      <c r="ED83" s="17"/>
      <c r="EE83" s="41"/>
      <c r="EF83" s="17"/>
      <c r="EG83" s="17"/>
      <c r="EH83" s="17"/>
      <c r="EI83" s="17"/>
      <c r="EJ83" s="17"/>
      <c r="EK83" s="41"/>
      <c r="EL83" s="17"/>
      <c r="EM83" s="17"/>
      <c r="EN83" s="17"/>
      <c r="EO83" s="17"/>
      <c r="EP83" s="17"/>
      <c r="ER83" s="17"/>
      <c r="ES83" s="17"/>
      <c r="ET83" s="17"/>
      <c r="EU83" s="17"/>
      <c r="EV83" s="17"/>
      <c r="EX83" s="17"/>
      <c r="EY83" s="17"/>
      <c r="EZ83" s="17"/>
      <c r="FA83" s="17"/>
      <c r="FB83" s="17"/>
      <c r="FD83" s="565"/>
      <c r="FE83" s="17"/>
      <c r="FF83" s="17"/>
      <c r="FG83" s="17"/>
      <c r="FH83" s="17"/>
      <c r="FJ83" s="17"/>
      <c r="FK83" s="17"/>
      <c r="FL83" s="17"/>
      <c r="FM83" s="17"/>
      <c r="FN83" s="17"/>
    </row>
    <row r="84" spans="2:176" s="372" customFormat="1" hidden="1" outlineLevel="1">
      <c r="B84" s="373"/>
      <c r="C84" s="675" t="s">
        <v>636</v>
      </c>
      <c r="D84" s="373"/>
      <c r="E84" s="373"/>
      <c r="F84" s="373"/>
      <c r="G84" s="373"/>
      <c r="H84" s="373"/>
      <c r="I84" s="373"/>
      <c r="J84" s="373"/>
      <c r="K84" s="373"/>
      <c r="L84" s="373"/>
      <c r="M84" s="373"/>
      <c r="N84" s="373"/>
      <c r="O84" s="373"/>
      <c r="P84" s="373"/>
      <c r="Q84" s="373"/>
      <c r="R84" s="373"/>
      <c r="S84" s="373"/>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5"/>
      <c r="BA84" s="375"/>
      <c r="BB84" s="375"/>
      <c r="BC84" s="375"/>
      <c r="BD84" s="373"/>
      <c r="BE84" s="373"/>
      <c r="BF84" s="375"/>
      <c r="BG84" s="375"/>
      <c r="BH84" s="375"/>
      <c r="BI84" s="375"/>
      <c r="BJ84" s="375"/>
      <c r="BK84" s="373"/>
      <c r="BL84" s="373"/>
      <c r="BM84" s="373"/>
      <c r="BN84" s="373"/>
      <c r="BO84" s="373"/>
      <c r="BP84" s="373"/>
      <c r="BQ84" s="373"/>
      <c r="BR84" s="373"/>
      <c r="BS84" s="373"/>
      <c r="BT84" s="373"/>
      <c r="BU84" s="373"/>
      <c r="BV84" s="373"/>
      <c r="BW84" s="373"/>
      <c r="BX84" s="373"/>
      <c r="BY84" s="373"/>
      <c r="BZ84" s="373"/>
      <c r="CA84" s="376"/>
      <c r="CB84" s="373"/>
      <c r="CC84" s="377"/>
      <c r="CD84" s="373"/>
      <c r="CE84" s="373"/>
      <c r="CF84" s="373"/>
      <c r="CG84" s="373"/>
      <c r="CH84" s="373"/>
      <c r="CI84" s="373"/>
      <c r="CJ84" s="373"/>
      <c r="CK84" s="373"/>
      <c r="CL84" s="373"/>
      <c r="CM84" s="373"/>
      <c r="CN84" s="373"/>
      <c r="CO84" s="373"/>
      <c r="CP84" s="373"/>
      <c r="CQ84" s="373"/>
      <c r="CR84" s="373"/>
      <c r="CS84" s="373"/>
      <c r="CT84" s="373"/>
      <c r="CU84" s="373"/>
      <c r="CV84" s="376"/>
      <c r="CW84" s="376"/>
      <c r="CX84" s="376"/>
      <c r="CY84" s="376"/>
      <c r="CZ84" s="373"/>
      <c r="DA84" s="373"/>
      <c r="DC84" s="354"/>
      <c r="DD84" s="354">
        <f>DD85-DC85</f>
        <v>9.3999999999999986</v>
      </c>
      <c r="DE84" s="354">
        <f>DE85-DD85</f>
        <v>12.600000000000001</v>
      </c>
      <c r="DF84" s="373"/>
      <c r="DG84" s="373"/>
      <c r="DH84" s="354">
        <f>DH85-DE85</f>
        <v>3</v>
      </c>
      <c r="DI84" s="354">
        <f>DI85-DH85</f>
        <v>17.899999999999991</v>
      </c>
      <c r="DJ84" s="354">
        <f>DJ85-DI85</f>
        <v>7.4000000000000057</v>
      </c>
      <c r="DK84" s="354">
        <f>DK85-DJ85</f>
        <v>1.9000000000000057</v>
      </c>
      <c r="DL84" s="354">
        <f>SUM(DH84:DK84)</f>
        <v>30.200000000000003</v>
      </c>
      <c r="DM84" s="373"/>
      <c r="DN84" s="354">
        <f>DN85-DK85</f>
        <v>1.8999999999999915</v>
      </c>
      <c r="DO84" s="354">
        <f>DO85-DN85</f>
        <v>5.2999999999999972</v>
      </c>
      <c r="DP84" s="354">
        <f>DP85-DO85</f>
        <v>12.200000000000003</v>
      </c>
      <c r="DQ84" s="354">
        <f>DQ85-DP85</f>
        <v>12.100000000000009</v>
      </c>
      <c r="DR84" s="354">
        <f>SUM(DN84:DQ84)</f>
        <v>31.5</v>
      </c>
      <c r="DS84" s="354"/>
      <c r="DT84" s="354">
        <f>DT85-DQ85</f>
        <v>17.299999999999983</v>
      </c>
      <c r="DU84" s="354">
        <f>DU85-DT85</f>
        <v>25.200000000000017</v>
      </c>
      <c r="DV84" s="354">
        <f>DV85-DU85</f>
        <v>12.5</v>
      </c>
      <c r="DW84" s="354">
        <f>DW85-DV85</f>
        <v>23.5</v>
      </c>
      <c r="DX84" s="354">
        <f>SUM(DT84:DW84)</f>
        <v>78.5</v>
      </c>
      <c r="DY84" s="31"/>
      <c r="DZ84" s="354">
        <f>DZ85-DW85</f>
        <v>8.6999999999999886</v>
      </c>
      <c r="EA84" s="354">
        <f>EA85-DZ85</f>
        <v>20.200000000000017</v>
      </c>
      <c r="EB84" s="354">
        <f>EB85-EA85</f>
        <v>23.199999999999989</v>
      </c>
      <c r="EC84" s="354">
        <f>EC85-EB85</f>
        <v>5.6999999999999886</v>
      </c>
      <c r="ED84" s="354">
        <f>SUM(DZ84:EC84)</f>
        <v>57.799999999999983</v>
      </c>
      <c r="EE84" s="41"/>
      <c r="EF84" s="354">
        <f>EF85-EC85</f>
        <v>15.100000000000023</v>
      </c>
      <c r="EG84" s="354">
        <f>EG85-EF85</f>
        <v>17.199999999999989</v>
      </c>
      <c r="EI84" s="354"/>
      <c r="EJ84" s="354"/>
      <c r="EK84" s="41"/>
      <c r="EL84" s="354"/>
      <c r="EM84" s="354"/>
      <c r="EO84" s="354"/>
      <c r="EP84" s="354"/>
      <c r="ER84" s="354"/>
      <c r="ES84" s="354"/>
      <c r="ET84" s="17"/>
      <c r="EU84" s="17"/>
      <c r="EV84" s="17"/>
      <c r="EX84" s="17"/>
      <c r="EY84" s="17"/>
      <c r="EZ84" s="17"/>
      <c r="FA84" s="17"/>
      <c r="FB84" s="17"/>
      <c r="FD84" s="565"/>
      <c r="FE84" s="17"/>
      <c r="FF84" s="17"/>
      <c r="FG84" s="17"/>
      <c r="FH84" s="17"/>
      <c r="FJ84" s="17"/>
      <c r="FK84" s="17"/>
      <c r="FL84" s="17"/>
      <c r="FM84" s="17"/>
      <c r="FN84" s="17"/>
    </row>
    <row r="85" spans="2:176" s="372" customFormat="1" hidden="1" outlineLevel="1">
      <c r="B85" s="373"/>
      <c r="C85" s="675" t="s">
        <v>635</v>
      </c>
      <c r="D85" s="373"/>
      <c r="E85" s="373"/>
      <c r="F85" s="373"/>
      <c r="G85" s="373"/>
      <c r="H85" s="373"/>
      <c r="I85" s="373"/>
      <c r="J85" s="373"/>
      <c r="K85" s="373"/>
      <c r="L85" s="373"/>
      <c r="M85" s="373"/>
      <c r="N85" s="373"/>
      <c r="O85" s="373"/>
      <c r="P85" s="373"/>
      <c r="Q85" s="373"/>
      <c r="R85" s="373"/>
      <c r="S85" s="373"/>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5"/>
      <c r="BA85" s="375"/>
      <c r="BB85" s="375"/>
      <c r="BC85" s="375"/>
      <c r="BD85" s="373"/>
      <c r="BE85" s="373"/>
      <c r="BF85" s="375"/>
      <c r="BG85" s="375"/>
      <c r="BH85" s="375"/>
      <c r="BI85" s="375"/>
      <c r="BJ85" s="375"/>
      <c r="BK85" s="373"/>
      <c r="BL85" s="373"/>
      <c r="BM85" s="373"/>
      <c r="BN85" s="373"/>
      <c r="BO85" s="373"/>
      <c r="BP85" s="373"/>
      <c r="BQ85" s="373"/>
      <c r="BR85" s="373"/>
      <c r="BS85" s="373"/>
      <c r="BT85" s="373"/>
      <c r="BU85" s="373"/>
      <c r="BV85" s="373"/>
      <c r="BW85" s="373"/>
      <c r="BX85" s="373"/>
      <c r="BY85" s="373"/>
      <c r="BZ85" s="373"/>
      <c r="CA85" s="376"/>
      <c r="CB85" s="373"/>
      <c r="CC85" s="377"/>
      <c r="CD85" s="373"/>
      <c r="CE85" s="373"/>
      <c r="CF85" s="373"/>
      <c r="CG85" s="373"/>
      <c r="CH85" s="373"/>
      <c r="CI85" s="373"/>
      <c r="CJ85" s="373"/>
      <c r="CK85" s="373"/>
      <c r="CL85" s="373"/>
      <c r="CM85" s="373"/>
      <c r="CN85" s="373"/>
      <c r="CO85" s="373"/>
      <c r="CP85" s="373"/>
      <c r="CQ85" s="373"/>
      <c r="CR85" s="373"/>
      <c r="CS85" s="373"/>
      <c r="CT85" s="373"/>
      <c r="CU85" s="373"/>
      <c r="CV85" s="376"/>
      <c r="CW85" s="376"/>
      <c r="CX85" s="376"/>
      <c r="CY85" s="376"/>
      <c r="CZ85" s="373"/>
      <c r="DA85" s="373"/>
      <c r="DC85" s="633">
        <v>46.7</v>
      </c>
      <c r="DD85" s="633">
        <v>56.1</v>
      </c>
      <c r="DE85" s="633">
        <v>68.7</v>
      </c>
      <c r="DF85" s="373"/>
      <c r="DG85" s="373"/>
      <c r="DH85" s="633">
        <v>71.7</v>
      </c>
      <c r="DI85" s="633">
        <v>89.6</v>
      </c>
      <c r="DJ85" s="633">
        <v>97</v>
      </c>
      <c r="DK85" s="633">
        <v>98.9</v>
      </c>
      <c r="DL85" s="633"/>
      <c r="DM85" s="373"/>
      <c r="DN85" s="633">
        <v>100.8</v>
      </c>
      <c r="DO85" s="633">
        <v>106.1</v>
      </c>
      <c r="DP85" s="633">
        <v>118.3</v>
      </c>
      <c r="DQ85" s="633">
        <v>130.4</v>
      </c>
      <c r="DR85" s="17"/>
      <c r="DS85" s="354"/>
      <c r="DT85" s="633">
        <v>147.69999999999999</v>
      </c>
      <c r="DU85" s="633">
        <v>172.9</v>
      </c>
      <c r="DV85" s="633">
        <v>185.4</v>
      </c>
      <c r="DW85" s="633">
        <v>208.9</v>
      </c>
      <c r="DX85" s="17"/>
      <c r="DY85" s="31"/>
      <c r="DZ85" s="633">
        <v>217.6</v>
      </c>
      <c r="EA85" s="633">
        <v>237.8</v>
      </c>
      <c r="EB85" s="633">
        <v>261</v>
      </c>
      <c r="EC85" s="633">
        <v>266.7</v>
      </c>
      <c r="ED85" s="17"/>
      <c r="EE85" s="41"/>
      <c r="EF85" s="633">
        <v>281.8</v>
      </c>
      <c r="EG85" s="633">
        <v>299</v>
      </c>
      <c r="EH85" s="547"/>
      <c r="EI85" s="633"/>
      <c r="EJ85" s="17"/>
      <c r="EK85" s="41"/>
      <c r="EL85" s="633"/>
      <c r="EM85" s="633"/>
      <c r="EN85" s="354"/>
      <c r="EO85" s="633"/>
      <c r="EP85" s="17"/>
      <c r="ER85" s="633"/>
      <c r="ES85" s="633"/>
      <c r="ET85" s="17"/>
      <c r="EU85" s="17"/>
      <c r="EV85" s="17"/>
      <c r="EX85" s="17"/>
      <c r="EY85" s="17"/>
      <c r="EZ85" s="17"/>
      <c r="FA85" s="17"/>
      <c r="FB85" s="17"/>
      <c r="FD85" s="565"/>
      <c r="FE85" s="17"/>
      <c r="FF85" s="17"/>
      <c r="FG85" s="17"/>
      <c r="FH85" s="17"/>
      <c r="FJ85" s="17"/>
      <c r="FK85" s="17"/>
      <c r="FL85" s="17"/>
      <c r="FM85" s="17"/>
      <c r="FN85" s="17"/>
    </row>
    <row r="86" spans="2:176" hidden="1" outlineLevel="1">
      <c r="C86" s="389" t="s">
        <v>125</v>
      </c>
      <c r="DI86" s="159">
        <f>DI85/DC85-1</f>
        <v>0.91862955032119897</v>
      </c>
      <c r="DJ86" s="159">
        <f>DJ85/DD85-1</f>
        <v>0.72905525846702313</v>
      </c>
      <c r="DK86" s="159">
        <f>DK85/DE85-1</f>
        <v>0.43959243085880639</v>
      </c>
      <c r="DN86" s="159">
        <f>DN85/DH85-1</f>
        <v>0.40585774058577395</v>
      </c>
      <c r="DO86" s="159">
        <f>DO85/DI85-1</f>
        <v>0.18415178571428581</v>
      </c>
      <c r="DP86" s="159">
        <f>DP85/DJ85-1</f>
        <v>0.21958762886597927</v>
      </c>
      <c r="DQ86" s="159">
        <f>DQ85/DK85-1</f>
        <v>0.31850353892821026</v>
      </c>
      <c r="DT86" s="159">
        <f>DT85/DN85-1</f>
        <v>0.46527777777777768</v>
      </c>
      <c r="DU86" s="159">
        <f>DU85/DO85-1</f>
        <v>0.62959472196041477</v>
      </c>
      <c r="DV86" s="159">
        <f>DV85/DP85-1</f>
        <v>0.56720202874049042</v>
      </c>
      <c r="DW86" s="159">
        <f>DW85/DQ85-1</f>
        <v>0.60199386503067487</v>
      </c>
      <c r="DZ86" s="159">
        <f>DZ85/DT85-1</f>
        <v>0.47325660121868651</v>
      </c>
      <c r="EA86" s="159">
        <f>EA85/DU85-1</f>
        <v>0.37536148062463859</v>
      </c>
      <c r="EB86" s="159">
        <f>EB85/DV85-1</f>
        <v>0.40776699029126218</v>
      </c>
      <c r="EC86" s="159">
        <f>EC85/DW85-1</f>
        <v>0.2766874102441359</v>
      </c>
      <c r="EF86" s="159">
        <f>EF85/DZ85-1</f>
        <v>0.29503676470588247</v>
      </c>
      <c r="EG86" s="159">
        <f>EG85/EA85-1</f>
        <v>0.25735912531539107</v>
      </c>
      <c r="EH86" s="159"/>
      <c r="EI86" s="159"/>
      <c r="EL86" s="159"/>
      <c r="EM86" s="159"/>
      <c r="EN86" s="159"/>
      <c r="EO86" s="159"/>
      <c r="ER86" s="159"/>
      <c r="ES86" s="159"/>
      <c r="FD86" s="640"/>
    </row>
    <row r="87" spans="2:176" s="372" customFormat="1" collapsed="1">
      <c r="B87" s="373"/>
      <c r="C87" s="348"/>
      <c r="D87" s="373"/>
      <c r="E87" s="373"/>
      <c r="F87" s="373"/>
      <c r="G87" s="373"/>
      <c r="H87" s="373"/>
      <c r="I87" s="373"/>
      <c r="J87" s="373"/>
      <c r="K87" s="373"/>
      <c r="L87" s="373"/>
      <c r="M87" s="373"/>
      <c r="N87" s="373"/>
      <c r="O87" s="373"/>
      <c r="P87" s="373"/>
      <c r="Q87" s="373"/>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5"/>
      <c r="BA87" s="375"/>
      <c r="BB87" s="375"/>
      <c r="BC87" s="375"/>
      <c r="BD87" s="373"/>
      <c r="BE87" s="373"/>
      <c r="BF87" s="375"/>
      <c r="BG87" s="375"/>
      <c r="BH87" s="375"/>
      <c r="BI87" s="375"/>
      <c r="BJ87" s="375"/>
      <c r="BK87" s="373"/>
      <c r="BL87" s="373"/>
      <c r="BM87" s="373"/>
      <c r="BN87" s="373"/>
      <c r="BO87" s="373"/>
      <c r="BP87" s="373"/>
      <c r="BQ87" s="373"/>
      <c r="BR87" s="373"/>
      <c r="BS87" s="373"/>
      <c r="BT87" s="373"/>
      <c r="BU87" s="373"/>
      <c r="BV87" s="373"/>
      <c r="BW87" s="373"/>
      <c r="BX87" s="373"/>
      <c r="BY87" s="373"/>
      <c r="BZ87" s="373"/>
      <c r="CA87" s="376"/>
      <c r="CB87" s="373"/>
      <c r="CC87" s="377"/>
      <c r="CD87" s="373"/>
      <c r="CE87" s="373"/>
      <c r="CF87" s="373"/>
      <c r="CG87" s="373"/>
      <c r="CH87" s="373"/>
      <c r="CI87" s="373"/>
      <c r="CJ87" s="373"/>
      <c r="CK87" s="373"/>
      <c r="CL87" s="373"/>
      <c r="CM87" s="373"/>
      <c r="CN87" s="373"/>
      <c r="CO87" s="373"/>
      <c r="CP87" s="373"/>
      <c r="CQ87" s="373"/>
      <c r="CR87" s="373"/>
      <c r="CS87" s="373"/>
      <c r="CT87" s="373"/>
      <c r="CU87" s="373"/>
      <c r="CV87" s="376"/>
      <c r="CW87" s="376"/>
      <c r="CX87" s="376"/>
      <c r="CY87" s="376"/>
      <c r="CZ87" s="373"/>
      <c r="DA87" s="373"/>
      <c r="DB87" s="376"/>
      <c r="DC87" s="376"/>
      <c r="DD87" s="376"/>
      <c r="DE87" s="376"/>
      <c r="DF87" s="373"/>
      <c r="DG87" s="373"/>
      <c r="DH87" s="17"/>
      <c r="DI87" s="17"/>
      <c r="DJ87" s="17"/>
      <c r="DK87" s="17"/>
      <c r="DL87" s="17"/>
      <c r="DM87" s="373"/>
      <c r="DN87" s="17"/>
      <c r="DO87" s="17"/>
      <c r="DP87" s="17"/>
      <c r="DQ87" s="17"/>
      <c r="DR87" s="17"/>
      <c r="DS87" s="354"/>
      <c r="DT87" s="17"/>
      <c r="DU87" s="17"/>
      <c r="DV87" s="17"/>
      <c r="DW87" s="17"/>
      <c r="DX87" s="17"/>
      <c r="DY87" s="31"/>
      <c r="DZ87" s="17"/>
      <c r="EA87" s="17"/>
      <c r="EB87" s="17"/>
      <c r="EC87" s="17"/>
      <c r="ED87" s="17"/>
      <c r="EE87" s="41"/>
      <c r="EF87" s="17"/>
      <c r="EG87" s="17"/>
      <c r="EH87" s="17"/>
      <c r="EI87" s="17"/>
      <c r="EJ87" s="17"/>
      <c r="EK87" s="41"/>
      <c r="EL87" s="17"/>
      <c r="EM87" s="17"/>
      <c r="EN87" s="17"/>
      <c r="EO87" s="17"/>
      <c r="EP87" s="17"/>
      <c r="ER87" s="17"/>
      <c r="ES87" s="17"/>
      <c r="ET87" s="17"/>
      <c r="EU87" s="17"/>
      <c r="EV87" s="17"/>
      <c r="EX87" s="17"/>
      <c r="EY87" s="17"/>
      <c r="EZ87" s="17"/>
      <c r="FA87" s="17"/>
      <c r="FB87" s="17"/>
      <c r="FD87" s="565"/>
      <c r="FE87" s="17"/>
      <c r="FF87" s="17"/>
      <c r="FG87" s="17"/>
      <c r="FH87" s="17"/>
      <c r="FJ87" s="17"/>
      <c r="FK87" s="17"/>
      <c r="FL87" s="17"/>
      <c r="FM87" s="17"/>
      <c r="FN87" s="17"/>
    </row>
    <row r="88" spans="2:176" s="372" customFormat="1">
      <c r="B88" s="373"/>
      <c r="C88" s="348"/>
      <c r="D88" s="373"/>
      <c r="E88" s="373"/>
      <c r="F88" s="373"/>
      <c r="G88" s="373"/>
      <c r="H88" s="373"/>
      <c r="I88" s="373"/>
      <c r="J88" s="373"/>
      <c r="K88" s="373"/>
      <c r="L88" s="373"/>
      <c r="M88" s="373"/>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5"/>
      <c r="BA88" s="375"/>
      <c r="BB88" s="375"/>
      <c r="BC88" s="375"/>
      <c r="BD88" s="373"/>
      <c r="BE88" s="373"/>
      <c r="BF88" s="375"/>
      <c r="BG88" s="375"/>
      <c r="BH88" s="375"/>
      <c r="BI88" s="375"/>
      <c r="BJ88" s="375"/>
      <c r="BK88" s="373"/>
      <c r="BL88" s="373"/>
      <c r="BM88" s="373"/>
      <c r="BN88" s="373"/>
      <c r="BO88" s="373"/>
      <c r="BP88" s="373"/>
      <c r="BQ88" s="373"/>
      <c r="BR88" s="373"/>
      <c r="BS88" s="373"/>
      <c r="BT88" s="373"/>
      <c r="BU88" s="373"/>
      <c r="BV88" s="373"/>
      <c r="BW88" s="373"/>
      <c r="BX88" s="373"/>
      <c r="BY88" s="373"/>
      <c r="BZ88" s="373"/>
      <c r="CA88" s="376"/>
      <c r="CB88" s="373"/>
      <c r="CC88" s="377"/>
      <c r="CD88" s="373"/>
      <c r="CE88" s="373"/>
      <c r="CF88" s="373"/>
      <c r="CG88" s="373"/>
      <c r="CH88" s="373"/>
      <c r="CI88" s="373"/>
      <c r="CJ88" s="373"/>
      <c r="CK88" s="373"/>
      <c r="CL88" s="373"/>
      <c r="CM88" s="373"/>
      <c r="CN88" s="373"/>
      <c r="CO88" s="373"/>
      <c r="CP88" s="373"/>
      <c r="CQ88" s="373"/>
      <c r="CR88" s="373"/>
      <c r="CS88" s="373"/>
      <c r="CT88" s="373"/>
      <c r="CU88" s="373"/>
      <c r="CV88" s="376"/>
      <c r="CW88" s="376"/>
      <c r="CX88" s="376"/>
      <c r="CY88" s="376"/>
      <c r="CZ88" s="373"/>
      <c r="DA88" s="373"/>
      <c r="DB88" s="376"/>
      <c r="DC88" s="376"/>
      <c r="DD88" s="376"/>
      <c r="DE88" s="376"/>
      <c r="DF88" s="373"/>
      <c r="DG88" s="373"/>
      <c r="DH88" s="17"/>
      <c r="DI88" s="17"/>
      <c r="DJ88" s="17"/>
      <c r="DK88" s="17"/>
      <c r="DL88" s="17"/>
      <c r="DM88" s="373"/>
      <c r="DN88" s="17"/>
      <c r="DO88" s="17"/>
      <c r="DP88" s="17"/>
      <c r="DQ88" s="17"/>
      <c r="DR88" s="17"/>
      <c r="DS88" s="354"/>
      <c r="DT88" s="17"/>
      <c r="DU88" s="17"/>
      <c r="DV88" s="17"/>
      <c r="DW88" s="17"/>
      <c r="DX88" s="17"/>
      <c r="DY88" s="31"/>
      <c r="DZ88" s="17"/>
      <c r="EA88" s="17"/>
      <c r="EB88" s="17"/>
      <c r="EC88" s="17"/>
      <c r="ED88" s="17"/>
      <c r="EE88" s="41"/>
      <c r="EF88" s="17"/>
      <c r="EG88" s="17"/>
      <c r="EH88" s="17"/>
      <c r="EI88" s="17"/>
      <c r="EJ88" s="17"/>
      <c r="EK88" s="41"/>
      <c r="EL88" s="17"/>
      <c r="EM88" s="17"/>
      <c r="EN88" s="17"/>
      <c r="EO88" s="17"/>
      <c r="EP88" s="17"/>
      <c r="ER88" s="17"/>
      <c r="ES88" s="17"/>
      <c r="ET88" s="17"/>
      <c r="EU88" s="17"/>
      <c r="EV88" s="17"/>
      <c r="EX88" s="17"/>
      <c r="EY88" s="17"/>
      <c r="EZ88" s="17"/>
      <c r="FA88" s="17"/>
      <c r="FB88" s="17"/>
      <c r="FD88" s="565"/>
      <c r="FE88" s="17"/>
      <c r="FF88" s="17"/>
      <c r="FG88" s="17"/>
      <c r="FH88" s="17"/>
      <c r="FJ88" s="17"/>
      <c r="FK88" s="17"/>
      <c r="FL88" s="17"/>
      <c r="FM88" s="17"/>
      <c r="FN88" s="17"/>
    </row>
    <row r="89" spans="2:176" s="372" customFormat="1">
      <c r="B89" s="373"/>
      <c r="C89" s="348"/>
      <c r="D89" s="373"/>
      <c r="E89" s="373"/>
      <c r="F89" s="373"/>
      <c r="G89" s="373"/>
      <c r="H89" s="373"/>
      <c r="I89" s="373"/>
      <c r="J89" s="373"/>
      <c r="K89" s="373"/>
      <c r="L89" s="373"/>
      <c r="M89" s="373"/>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5"/>
      <c r="BA89" s="375"/>
      <c r="BB89" s="375"/>
      <c r="BC89" s="375"/>
      <c r="BD89" s="373"/>
      <c r="BE89" s="373"/>
      <c r="BF89" s="375"/>
      <c r="BG89" s="375"/>
      <c r="BH89" s="375"/>
      <c r="BI89" s="375"/>
      <c r="BJ89" s="375"/>
      <c r="BK89" s="373"/>
      <c r="BL89" s="373"/>
      <c r="BM89" s="373"/>
      <c r="BN89" s="373"/>
      <c r="BO89" s="373"/>
      <c r="BP89" s="373"/>
      <c r="BQ89" s="373"/>
      <c r="BR89" s="373"/>
      <c r="BS89" s="373"/>
      <c r="BT89" s="373"/>
      <c r="BU89" s="373"/>
      <c r="BV89" s="373"/>
      <c r="BW89" s="373"/>
      <c r="BX89" s="373"/>
      <c r="BY89" s="373"/>
      <c r="BZ89" s="373"/>
      <c r="CA89" s="376"/>
      <c r="CB89" s="373"/>
      <c r="CC89" s="377"/>
      <c r="CD89" s="373"/>
      <c r="CE89" s="373"/>
      <c r="CF89" s="373"/>
      <c r="CG89" s="373"/>
      <c r="CH89" s="373"/>
      <c r="CI89" s="373"/>
      <c r="CJ89" s="373"/>
      <c r="CK89" s="373"/>
      <c r="CL89" s="373"/>
      <c r="CM89" s="373"/>
      <c r="CN89" s="373"/>
      <c r="CO89" s="373"/>
      <c r="CP89" s="373"/>
      <c r="CQ89" s="373"/>
      <c r="CR89" s="373"/>
      <c r="CS89" s="373"/>
      <c r="CT89" s="373"/>
      <c r="CU89" s="373"/>
      <c r="CV89" s="376"/>
      <c r="CW89" s="376"/>
      <c r="CX89" s="376"/>
      <c r="CY89" s="376"/>
      <c r="CZ89" s="373"/>
      <c r="DA89" s="373"/>
      <c r="DB89" s="376"/>
      <c r="DC89" s="376"/>
      <c r="DD89" s="376"/>
      <c r="DE89" s="376"/>
      <c r="DF89" s="373"/>
      <c r="DG89" s="373"/>
      <c r="DH89" s="17"/>
      <c r="DI89" s="17"/>
      <c r="DJ89" s="17"/>
      <c r="DK89" s="17"/>
      <c r="DL89" s="17"/>
      <c r="DM89" s="373"/>
      <c r="DN89" s="17"/>
      <c r="DO89" s="17"/>
      <c r="DP89" s="17"/>
      <c r="DQ89" s="17"/>
      <c r="DR89" s="17"/>
      <c r="DS89" s="354"/>
      <c r="DT89" s="17"/>
      <c r="DU89" s="17"/>
      <c r="DV89" s="17"/>
      <c r="DW89" s="17"/>
      <c r="DX89" s="17"/>
      <c r="DY89" s="31"/>
      <c r="DZ89" s="17"/>
      <c r="EA89" s="17"/>
      <c r="EB89" s="17"/>
      <c r="EC89" s="17"/>
      <c r="ED89" s="17"/>
      <c r="EE89" s="41"/>
      <c r="EF89" s="17"/>
      <c r="EG89" s="17"/>
      <c r="EH89" s="17"/>
      <c r="EI89" s="17"/>
      <c r="EJ89" s="17"/>
      <c r="EK89" s="41"/>
      <c r="EL89" s="17"/>
      <c r="EM89" s="17"/>
      <c r="EN89" s="17"/>
      <c r="EO89" s="17"/>
      <c r="EP89" s="17"/>
      <c r="ER89" s="17"/>
      <c r="ES89" s="17"/>
      <c r="ET89" s="17"/>
      <c r="EU89" s="17"/>
      <c r="EV89" s="17"/>
      <c r="EX89" s="17"/>
      <c r="EY89" s="17"/>
      <c r="EZ89" s="17"/>
      <c r="FA89" s="17"/>
      <c r="FB89" s="354"/>
      <c r="FD89" s="565">
        <f>EX90*(1+0.1)</f>
        <v>184.83850000000001</v>
      </c>
      <c r="FE89" s="17"/>
      <c r="FF89" s="17"/>
      <c r="FG89" s="17"/>
      <c r="FH89" s="885"/>
      <c r="FJ89" s="17"/>
      <c r="FK89" s="17"/>
      <c r="FL89" s="17"/>
      <c r="FM89" s="17"/>
      <c r="FN89" s="17"/>
    </row>
    <row r="90" spans="2:176" s="381" customFormat="1">
      <c r="B90" s="378" t="s">
        <v>405</v>
      </c>
      <c r="C90" s="358"/>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8"/>
      <c r="AE90" s="378"/>
      <c r="AF90" s="378"/>
      <c r="AG90" s="378"/>
      <c r="AH90" s="378"/>
      <c r="AI90" s="378"/>
      <c r="AJ90" s="378"/>
      <c r="AK90" s="378"/>
      <c r="AL90" s="378"/>
      <c r="AM90" s="378"/>
      <c r="AN90" s="378"/>
      <c r="AO90" s="378"/>
      <c r="AP90" s="378"/>
      <c r="AQ90" s="378"/>
      <c r="AR90" s="378"/>
      <c r="AS90" s="378"/>
      <c r="AT90" s="378"/>
      <c r="AU90" s="378"/>
      <c r="AV90" s="378"/>
      <c r="AW90" s="378"/>
      <c r="AX90" s="378"/>
      <c r="AY90" s="378"/>
      <c r="AZ90" s="383"/>
      <c r="BA90" s="383"/>
      <c r="BB90" s="383"/>
      <c r="BC90" s="383"/>
      <c r="BD90" s="378"/>
      <c r="BE90" s="378"/>
      <c r="BF90" s="383"/>
      <c r="BG90" s="383"/>
      <c r="BH90" s="383"/>
      <c r="BI90" s="383"/>
      <c r="BJ90" s="383"/>
      <c r="BK90" s="378"/>
      <c r="BL90" s="378"/>
      <c r="BM90" s="378"/>
      <c r="BN90" s="378"/>
      <c r="BO90" s="378"/>
      <c r="BP90" s="378"/>
      <c r="BQ90" s="378"/>
      <c r="BR90" s="378"/>
      <c r="BS90" s="378"/>
      <c r="BT90" s="378"/>
      <c r="BU90" s="378"/>
      <c r="BV90" s="378"/>
      <c r="BW90" s="378"/>
      <c r="BX90" s="378"/>
      <c r="BY90" s="378"/>
      <c r="BZ90" s="378"/>
      <c r="CA90" s="379"/>
      <c r="CB90" s="378"/>
      <c r="CC90" s="384"/>
      <c r="CD90" s="378"/>
      <c r="CE90" s="378"/>
      <c r="CF90" s="378"/>
      <c r="CG90" s="378"/>
      <c r="CH90" s="378"/>
      <c r="CI90" s="378"/>
      <c r="CJ90" s="378"/>
      <c r="CK90" s="378"/>
      <c r="CL90" s="378"/>
      <c r="CM90" s="378"/>
      <c r="CN90" s="378"/>
      <c r="CO90" s="378"/>
      <c r="CP90" s="378"/>
      <c r="CQ90" s="378"/>
      <c r="CR90" s="378"/>
      <c r="CS90" s="378"/>
      <c r="CT90" s="378"/>
      <c r="CU90" s="378"/>
      <c r="CV90" s="379"/>
      <c r="CW90" s="379"/>
      <c r="CX90" s="379"/>
      <c r="CY90" s="379"/>
      <c r="CZ90" s="378"/>
      <c r="DA90" s="378"/>
      <c r="DB90" s="387">
        <f>DB10+DB78</f>
        <v>55.85</v>
      </c>
      <c r="DC90" s="387">
        <f>DC10+DC78</f>
        <v>60.695</v>
      </c>
      <c r="DD90" s="387">
        <f>DD10+DD78</f>
        <v>58.690000000000005</v>
      </c>
      <c r="DE90" s="387">
        <f>DE10+DE78</f>
        <v>61.422000000000004</v>
      </c>
      <c r="DF90" s="387">
        <f>DF10+DF78</f>
        <v>236.65699999999998</v>
      </c>
      <c r="DG90" s="387"/>
      <c r="DH90" s="387">
        <f>DH10+DH78</f>
        <v>63.422999999999995</v>
      </c>
      <c r="DI90" s="387">
        <f>DI10+DI78</f>
        <v>67.745999999999995</v>
      </c>
      <c r="DJ90" s="387">
        <f>DJ10+DJ78</f>
        <v>69.096000000000004</v>
      </c>
      <c r="DK90" s="387">
        <f>DK10+DK78</f>
        <v>76.474999999999994</v>
      </c>
      <c r="DL90" s="387">
        <f>DL10+DL78</f>
        <v>276.74</v>
      </c>
      <c r="DM90" s="378"/>
      <c r="DN90" s="387">
        <f>DN10+DN78</f>
        <v>95.576999999999998</v>
      </c>
      <c r="DO90" s="387">
        <f>DO10+DO78</f>
        <v>101.71299999999999</v>
      </c>
      <c r="DP90" s="387">
        <f>DP10+DP78</f>
        <v>104.672</v>
      </c>
      <c r="DQ90" s="387">
        <f>DQ10+DQ78</f>
        <v>106.86799999999999</v>
      </c>
      <c r="DR90" s="387">
        <f>DR10+DR78</f>
        <v>408.83000000000004</v>
      </c>
      <c r="DS90" s="344"/>
      <c r="DT90" s="387">
        <f>DT10+DT78</f>
        <v>106.03</v>
      </c>
      <c r="DU90" s="387">
        <f>DU10+DU78</f>
        <v>86.977000000000004</v>
      </c>
      <c r="DV90" s="387">
        <f>DV10+DV78</f>
        <v>125.444</v>
      </c>
      <c r="DW90" s="387">
        <f>DW10+DW78</f>
        <v>125.997</v>
      </c>
      <c r="DX90" s="387">
        <f>DX10+DX78</f>
        <v>444.44799999999998</v>
      </c>
      <c r="DY90" s="66"/>
      <c r="DZ90" s="387">
        <f>DZ10+DZ78</f>
        <v>115.53299999999999</v>
      </c>
      <c r="EA90" s="387">
        <f>EA10+EA78</f>
        <v>121.724</v>
      </c>
      <c r="EB90" s="387">
        <f>EB10+EB78</f>
        <v>121.34</v>
      </c>
      <c r="EC90" s="387">
        <f>EC10+EC78</f>
        <v>125.732</v>
      </c>
      <c r="ED90" s="387">
        <f>ED10+ED78</f>
        <v>484.32900000000001</v>
      </c>
      <c r="EE90" s="386"/>
      <c r="EF90" s="387">
        <f>EF10+EF78</f>
        <v>117.169</v>
      </c>
      <c r="EG90" s="387">
        <f>EG10+EG78</f>
        <v>125.072</v>
      </c>
      <c r="EH90" s="387">
        <f>EH10+EH78</f>
        <v>128.78200000000001</v>
      </c>
      <c r="EI90" s="387">
        <f>EI10+EI78</f>
        <v>138.70499999999998</v>
      </c>
      <c r="EJ90" s="387">
        <f>EJ10+EJ78</f>
        <v>509.72799999999995</v>
      </c>
      <c r="EK90" s="386"/>
      <c r="EL90" s="387">
        <f>EL10+EL78</f>
        <v>137.22</v>
      </c>
      <c r="EM90" s="387">
        <f>EM10+EM78</f>
        <v>146.917</v>
      </c>
      <c r="EN90" s="387">
        <f>EN10+EN78</f>
        <v>151.95400000000001</v>
      </c>
      <c r="EO90" s="387">
        <f>EO10+EO78</f>
        <v>155.55199999999999</v>
      </c>
      <c r="EP90" s="387">
        <f>EP10+EP78</f>
        <v>591.64299999999992</v>
      </c>
      <c r="ER90" s="387">
        <f>ER10+ER78</f>
        <v>156.24</v>
      </c>
      <c r="ES90" s="387">
        <f>ES10+ES78</f>
        <v>164.50200000000001</v>
      </c>
      <c r="ET90" s="387">
        <f>ET10+ET78</f>
        <v>167.82399999999998</v>
      </c>
      <c r="EU90" s="387">
        <f>IS!EU49</f>
        <v>172</v>
      </c>
      <c r="EV90" s="387">
        <f>EV10+EV78</f>
        <v>660.56600000000003</v>
      </c>
      <c r="EX90" s="387">
        <f>IS!EX49</f>
        <v>168.035</v>
      </c>
      <c r="EY90" s="67">
        <v>181.33</v>
      </c>
      <c r="EZ90" s="387">
        <v>187.797</v>
      </c>
      <c r="FA90" s="387">
        <v>190.17</v>
      </c>
      <c r="FB90" s="387">
        <f>FB65+FB78</f>
        <v>727.33199999999988</v>
      </c>
      <c r="FD90" s="569">
        <f>FD65+FD78</f>
        <v>184.62186601815</v>
      </c>
      <c r="FE90" s="387">
        <f>FE65+FE78</f>
        <v>196.07044525000006</v>
      </c>
      <c r="FF90" s="387">
        <f>FF65+FF78</f>
        <v>205.58085571400002</v>
      </c>
      <c r="FG90" s="387">
        <f>FG65+FG78</f>
        <v>211.08994076799996</v>
      </c>
      <c r="FH90" s="387">
        <f>FH65+FH78</f>
        <v>797.36310775015011</v>
      </c>
      <c r="FJ90" s="387">
        <f>FJ65+FJ78</f>
        <v>202.63173214176211</v>
      </c>
      <c r="FK90" s="387">
        <f>FK65+FK78</f>
        <v>215.24925920825007</v>
      </c>
      <c r="FL90" s="387">
        <f>FL65+FL78</f>
        <v>225.69168737154442</v>
      </c>
      <c r="FM90" s="387">
        <f>FM65+FM78</f>
        <v>231.75279383666884</v>
      </c>
      <c r="FN90" s="387">
        <f>FN65+FN78</f>
        <v>875.32547255822533</v>
      </c>
      <c r="FP90" s="387">
        <f>FP65+FP78</f>
        <v>222.437936501753</v>
      </c>
      <c r="FQ90" s="387">
        <f>FQ65+FQ78</f>
        <v>236.34373869654871</v>
      </c>
      <c r="FR90" s="387">
        <f>FR65+FR78</f>
        <v>247.81136860578138</v>
      </c>
      <c r="FS90" s="387">
        <f>FS65+FS78</f>
        <v>254.48031720946153</v>
      </c>
      <c r="FT90" s="387">
        <f>FT65+FT78</f>
        <v>961.07336101354463</v>
      </c>
    </row>
    <row r="91" spans="2:176" s="372" customFormat="1">
      <c r="B91" s="373"/>
      <c r="C91" s="842" t="s">
        <v>698</v>
      </c>
      <c r="D91" s="373"/>
      <c r="E91" s="373"/>
      <c r="F91" s="373"/>
      <c r="G91" s="373"/>
      <c r="H91" s="373"/>
      <c r="I91" s="373"/>
      <c r="J91" s="373"/>
      <c r="K91" s="373"/>
      <c r="L91" s="373"/>
      <c r="M91" s="373"/>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5"/>
      <c r="BA91" s="375"/>
      <c r="BB91" s="375"/>
      <c r="BC91" s="375"/>
      <c r="BD91" s="373"/>
      <c r="BE91" s="373"/>
      <c r="BF91" s="375"/>
      <c r="BG91" s="375"/>
      <c r="BH91" s="375"/>
      <c r="BI91" s="375"/>
      <c r="BJ91" s="375"/>
      <c r="BK91" s="373"/>
      <c r="BL91" s="373"/>
      <c r="BM91" s="373"/>
      <c r="BN91" s="373"/>
      <c r="BO91" s="373"/>
      <c r="BP91" s="373"/>
      <c r="BQ91" s="373"/>
      <c r="BR91" s="373"/>
      <c r="BS91" s="373"/>
      <c r="BT91" s="373"/>
      <c r="BU91" s="373"/>
      <c r="BV91" s="373"/>
      <c r="BW91" s="373"/>
      <c r="BX91" s="373"/>
      <c r="BY91" s="373"/>
      <c r="BZ91" s="373"/>
      <c r="CA91" s="376"/>
      <c r="CB91" s="373"/>
      <c r="CC91" s="377"/>
      <c r="CD91" s="373"/>
      <c r="CE91" s="373"/>
      <c r="CF91" s="373"/>
      <c r="CG91" s="373"/>
      <c r="CH91" s="373"/>
      <c r="CI91" s="373"/>
      <c r="CJ91" s="373"/>
      <c r="CK91" s="373"/>
      <c r="CL91" s="373"/>
      <c r="CM91" s="373"/>
      <c r="CN91" s="373"/>
      <c r="CO91" s="373"/>
      <c r="CP91" s="373"/>
      <c r="CQ91" s="373"/>
      <c r="CR91" s="373"/>
      <c r="CS91" s="373"/>
      <c r="CT91" s="373"/>
      <c r="CU91" s="373"/>
      <c r="CV91" s="376"/>
      <c r="CW91" s="376"/>
      <c r="CX91" s="376"/>
      <c r="CY91" s="376"/>
      <c r="CZ91" s="373"/>
      <c r="DA91" s="373"/>
      <c r="DB91" s="380"/>
      <c r="DC91" s="380"/>
      <c r="DD91" s="380"/>
      <c r="DE91" s="380"/>
      <c r="DF91" s="380"/>
      <c r="DG91" s="380"/>
      <c r="DH91" s="380"/>
      <c r="DI91" s="380"/>
      <c r="DJ91" s="380"/>
      <c r="DK91" s="380"/>
      <c r="DL91" s="380"/>
      <c r="DM91" s="373"/>
      <c r="DN91" s="380"/>
      <c r="DO91" s="380"/>
      <c r="DP91" s="380"/>
      <c r="DQ91" s="380"/>
      <c r="DR91" s="380"/>
      <c r="DS91" s="354"/>
      <c r="DT91" s="380"/>
      <c r="DU91" s="380"/>
      <c r="DV91" s="380"/>
      <c r="DW91" s="380"/>
      <c r="DX91" s="380"/>
      <c r="DY91" s="31"/>
      <c r="DZ91" s="380"/>
      <c r="EA91" s="380"/>
      <c r="EB91" s="380"/>
      <c r="EC91" s="380"/>
      <c r="ED91" s="380"/>
      <c r="EE91" s="41"/>
      <c r="EF91" s="380"/>
      <c r="EG91" s="380"/>
      <c r="EH91" s="380"/>
      <c r="EI91" s="380"/>
      <c r="EJ91" s="380"/>
      <c r="EK91" s="41"/>
      <c r="EL91" s="380"/>
      <c r="EM91" s="380"/>
      <c r="EN91" s="380"/>
      <c r="EO91" s="380"/>
      <c r="EP91" s="380"/>
      <c r="ER91" s="380"/>
      <c r="ES91" s="380"/>
      <c r="ET91" s="380"/>
      <c r="EU91" s="380"/>
      <c r="EV91" s="380"/>
      <c r="EX91" s="380"/>
      <c r="EY91" s="852">
        <f>EY92*ES90</f>
        <v>12.127999999999997</v>
      </c>
      <c r="EZ91" s="852">
        <f>EZ92*ET90</f>
        <v>15.373000000000014</v>
      </c>
      <c r="FA91" s="852">
        <f>FA92*EU90</f>
        <v>13.833999999999996</v>
      </c>
      <c r="FB91" s="853">
        <f>SUM(EX91:FA91)</f>
        <v>41.335000000000008</v>
      </c>
      <c r="FD91" s="851">
        <f>FD92*EX90</f>
        <v>12.131866018149998</v>
      </c>
      <c r="FE91" s="852">
        <f>FE92*EY90</f>
        <v>14.740445250000036</v>
      </c>
      <c r="FF91" s="852">
        <f>FF92*EZ90</f>
        <v>17.783855714000019</v>
      </c>
      <c r="FG91" s="852">
        <f>FG92*FA90</f>
        <v>20.919940767999972</v>
      </c>
      <c r="FH91" s="853">
        <f>SUM(FD91:FG91)</f>
        <v>65.57610775015003</v>
      </c>
      <c r="FJ91" s="852">
        <f>FJ92*FD90</f>
        <v>18.009866123612095</v>
      </c>
      <c r="FK91" s="852">
        <f>FK92*FE90</f>
        <v>19.178813958249993</v>
      </c>
      <c r="FL91" s="852">
        <f>FL92*FF90</f>
        <v>20.110831657544416</v>
      </c>
      <c r="FM91" s="852">
        <f>FM92*FG90</f>
        <v>20.662853068668859</v>
      </c>
      <c r="FN91" s="853">
        <f>SUM(FJ91:FM91)</f>
        <v>77.962364808075364</v>
      </c>
      <c r="FP91" s="852">
        <f>FP92*FJ90</f>
        <v>19.806204359990868</v>
      </c>
      <c r="FQ91" s="852">
        <f>FQ92*FK90</f>
        <v>21.094479488298624</v>
      </c>
      <c r="FR91" s="852">
        <f>FR92*FL90</f>
        <v>22.119681234236978</v>
      </c>
      <c r="FS91" s="852">
        <f>FS92*FM90</f>
        <v>22.727523372792689</v>
      </c>
      <c r="FT91" s="853">
        <f>SUM(FP91:FS91)</f>
        <v>85.747888455319156</v>
      </c>
    </row>
    <row r="92" spans="2:176" s="840" customFormat="1">
      <c r="B92" s="841"/>
      <c r="C92" s="864" t="s">
        <v>699</v>
      </c>
      <c r="D92" s="841"/>
      <c r="E92" s="841"/>
      <c r="F92" s="841"/>
      <c r="G92" s="841"/>
      <c r="H92" s="841"/>
      <c r="I92" s="841"/>
      <c r="J92" s="841"/>
      <c r="K92" s="841"/>
      <c r="L92" s="841"/>
      <c r="M92" s="841"/>
      <c r="N92" s="841"/>
      <c r="O92" s="841"/>
      <c r="P92" s="841"/>
      <c r="Q92" s="841"/>
      <c r="R92" s="841"/>
      <c r="S92" s="841"/>
      <c r="T92" s="841"/>
      <c r="U92" s="841"/>
      <c r="V92" s="841"/>
      <c r="W92" s="841"/>
      <c r="X92" s="841"/>
      <c r="Y92" s="841"/>
      <c r="Z92" s="841"/>
      <c r="AA92" s="841"/>
      <c r="AB92" s="841"/>
      <c r="AC92" s="841"/>
      <c r="AD92" s="841"/>
      <c r="AE92" s="841"/>
      <c r="AF92" s="841"/>
      <c r="AG92" s="841"/>
      <c r="AH92" s="841"/>
      <c r="AI92" s="841"/>
      <c r="AJ92" s="841"/>
      <c r="AK92" s="841"/>
      <c r="AL92" s="841"/>
      <c r="AM92" s="841"/>
      <c r="AN92" s="841"/>
      <c r="AO92" s="841"/>
      <c r="AP92" s="841"/>
      <c r="AQ92" s="841"/>
      <c r="AR92" s="841"/>
      <c r="AS92" s="841"/>
      <c r="AT92" s="841"/>
      <c r="AU92" s="841"/>
      <c r="AV92" s="841"/>
      <c r="AW92" s="841"/>
      <c r="AX92" s="841"/>
      <c r="AY92" s="841"/>
      <c r="AZ92" s="843"/>
      <c r="BA92" s="843"/>
      <c r="BB92" s="843"/>
      <c r="BC92" s="843"/>
      <c r="BD92" s="841"/>
      <c r="BE92" s="841"/>
      <c r="BF92" s="843"/>
      <c r="BG92" s="843"/>
      <c r="BH92" s="843"/>
      <c r="BI92" s="843"/>
      <c r="BJ92" s="843"/>
      <c r="BK92" s="841"/>
      <c r="BL92" s="841"/>
      <c r="BM92" s="841"/>
      <c r="BN92" s="841"/>
      <c r="BO92" s="841"/>
      <c r="BP92" s="841"/>
      <c r="BQ92" s="841"/>
      <c r="BR92" s="841"/>
      <c r="BS92" s="841"/>
      <c r="BT92" s="841"/>
      <c r="BU92" s="841"/>
      <c r="BV92" s="841"/>
      <c r="BW92" s="841"/>
      <c r="BX92" s="841"/>
      <c r="BY92" s="841"/>
      <c r="BZ92" s="841"/>
      <c r="CA92" s="841"/>
      <c r="CB92" s="841"/>
      <c r="CC92" s="844"/>
      <c r="CD92" s="841"/>
      <c r="CE92" s="841"/>
      <c r="CF92" s="841"/>
      <c r="CG92" s="841"/>
      <c r="CH92" s="841"/>
      <c r="CI92" s="841"/>
      <c r="CJ92" s="841"/>
      <c r="CK92" s="841"/>
      <c r="CL92" s="841"/>
      <c r="CM92" s="841"/>
      <c r="CN92" s="841"/>
      <c r="CO92" s="841"/>
      <c r="CP92" s="841"/>
      <c r="CQ92" s="841"/>
      <c r="CR92" s="841"/>
      <c r="CS92" s="841"/>
      <c r="CT92" s="841"/>
      <c r="CU92" s="841"/>
      <c r="CV92" s="841"/>
      <c r="CW92" s="841"/>
      <c r="CX92" s="841"/>
      <c r="CY92" s="841"/>
      <c r="CZ92" s="841"/>
      <c r="DA92" s="841"/>
      <c r="DB92" s="845"/>
      <c r="DC92" s="845"/>
      <c r="DD92" s="845"/>
      <c r="DE92" s="845"/>
      <c r="DF92" s="845"/>
      <c r="DG92" s="845"/>
      <c r="DH92" s="845"/>
      <c r="DI92" s="845"/>
      <c r="DJ92" s="845"/>
      <c r="DK92" s="845"/>
      <c r="DL92" s="845"/>
      <c r="DM92" s="841"/>
      <c r="DN92" s="845"/>
      <c r="DO92" s="845"/>
      <c r="DP92" s="845"/>
      <c r="DQ92" s="845"/>
      <c r="DR92" s="845"/>
      <c r="DS92" s="846"/>
      <c r="DT92" s="845"/>
      <c r="DU92" s="845"/>
      <c r="DV92" s="845"/>
      <c r="DW92" s="845"/>
      <c r="DX92" s="845"/>
      <c r="DY92" s="847"/>
      <c r="DZ92" s="845"/>
      <c r="EA92" s="845"/>
      <c r="EB92" s="845"/>
      <c r="EC92" s="845"/>
      <c r="ED92" s="845"/>
      <c r="EE92" s="848"/>
      <c r="EF92" s="845"/>
      <c r="EG92" s="845"/>
      <c r="EH92" s="845"/>
      <c r="EI92" s="845"/>
      <c r="EJ92" s="845"/>
      <c r="EK92" s="848"/>
      <c r="EL92" s="845"/>
      <c r="EM92" s="845"/>
      <c r="EN92" s="845"/>
      <c r="EO92" s="845"/>
      <c r="EP92" s="845"/>
      <c r="ER92" s="845"/>
      <c r="ES92" s="845"/>
      <c r="ET92" s="845"/>
      <c r="EU92" s="845"/>
      <c r="EV92" s="845"/>
      <c r="EX92" s="845"/>
      <c r="EY92" s="850">
        <f>EY95-EY94</f>
        <v>7.3725547409757911E-2</v>
      </c>
      <c r="EZ92" s="850">
        <f>EZ95-EZ94</f>
        <v>9.16019162932597E-2</v>
      </c>
      <c r="FA92" s="850">
        <f>FA95-FA94</f>
        <v>8.0430232558139511E-2</v>
      </c>
      <c r="FB92" s="850">
        <f>FB91/EV90</f>
        <v>6.2575124968587553E-2</v>
      </c>
      <c r="FD92" s="849">
        <f>FD95-FD94</f>
        <v>7.2198446860177928E-2</v>
      </c>
      <c r="FE92" s="850">
        <f>FE95-FE94</f>
        <v>8.1290714443280399E-2</v>
      </c>
      <c r="FF92" s="850">
        <f>FF95-FF94</f>
        <v>9.4697230062248172E-2</v>
      </c>
      <c r="FG92" s="850">
        <f>FG95-FG94</f>
        <v>0.11000652452016602</v>
      </c>
      <c r="FH92" s="850">
        <f>FH91/FB90</f>
        <v>9.0159800132745493E-2</v>
      </c>
      <c r="FJ92" s="850">
        <f>FJ95-FJ94</f>
        <v>9.7550016756095204E-2</v>
      </c>
      <c r="FK92" s="850">
        <f>FK95-FK94</f>
        <v>9.7815935154306421E-2</v>
      </c>
      <c r="FL92" s="850">
        <f>FL95-FL94</f>
        <v>9.7824437921020246E-2</v>
      </c>
      <c r="FM92" s="850">
        <f>FM95-FM94</f>
        <v>9.7886488543660777E-2</v>
      </c>
      <c r="FN92" s="850">
        <f>FN91/FH90</f>
        <v>9.7775234457554677E-2</v>
      </c>
      <c r="FP92" s="850">
        <f>FP95-FP94</f>
        <v>9.7744830736255839E-2</v>
      </c>
      <c r="FQ92" s="850">
        <f>FQ95-FQ94</f>
        <v>9.8000241979416369E-2</v>
      </c>
      <c r="FR92" s="850">
        <f>FR95-FR94</f>
        <v>9.8008400273167817E-2</v>
      </c>
      <c r="FS92" s="850">
        <f>FS95-FS94</f>
        <v>9.8067958519672649E-2</v>
      </c>
      <c r="FT92" s="850">
        <f>FT91/FN90</f>
        <v>9.7961148331160139E-2</v>
      </c>
    </row>
    <row r="93" spans="2:176" s="854" customFormat="1">
      <c r="B93" s="855"/>
      <c r="C93" s="842" t="s">
        <v>696</v>
      </c>
      <c r="D93" s="855"/>
      <c r="E93" s="855"/>
      <c r="F93" s="855"/>
      <c r="G93" s="855"/>
      <c r="H93" s="855"/>
      <c r="I93" s="855"/>
      <c r="J93" s="855"/>
      <c r="K93" s="855"/>
      <c r="L93" s="855"/>
      <c r="M93" s="855"/>
      <c r="N93" s="855"/>
      <c r="O93" s="855"/>
      <c r="P93" s="855"/>
      <c r="Q93" s="855"/>
      <c r="R93" s="855"/>
      <c r="S93" s="855"/>
      <c r="T93" s="855"/>
      <c r="U93" s="855"/>
      <c r="V93" s="855"/>
      <c r="W93" s="855"/>
      <c r="X93" s="855"/>
      <c r="Y93" s="855"/>
      <c r="Z93" s="855"/>
      <c r="AA93" s="855"/>
      <c r="AB93" s="855"/>
      <c r="AC93" s="855"/>
      <c r="AD93" s="855"/>
      <c r="AE93" s="855"/>
      <c r="AF93" s="855"/>
      <c r="AG93" s="855"/>
      <c r="AH93" s="855"/>
      <c r="AI93" s="855"/>
      <c r="AJ93" s="855"/>
      <c r="AK93" s="855"/>
      <c r="AL93" s="855"/>
      <c r="AM93" s="855"/>
      <c r="AN93" s="855"/>
      <c r="AO93" s="855"/>
      <c r="AP93" s="855"/>
      <c r="AQ93" s="855"/>
      <c r="AR93" s="855"/>
      <c r="AS93" s="855"/>
      <c r="AT93" s="855"/>
      <c r="AU93" s="855"/>
      <c r="AV93" s="855"/>
      <c r="AW93" s="855"/>
      <c r="AX93" s="855"/>
      <c r="AY93" s="855"/>
      <c r="AZ93" s="856"/>
      <c r="BA93" s="856"/>
      <c r="BB93" s="856"/>
      <c r="BC93" s="856"/>
      <c r="BD93" s="855"/>
      <c r="BE93" s="855"/>
      <c r="BF93" s="856"/>
      <c r="BG93" s="856"/>
      <c r="BH93" s="856"/>
      <c r="BI93" s="856"/>
      <c r="BJ93" s="856"/>
      <c r="BK93" s="855"/>
      <c r="BL93" s="855"/>
      <c r="BM93" s="855"/>
      <c r="BN93" s="855"/>
      <c r="BO93" s="855"/>
      <c r="BP93" s="855"/>
      <c r="BQ93" s="855"/>
      <c r="BR93" s="855"/>
      <c r="BS93" s="855"/>
      <c r="BT93" s="855"/>
      <c r="BU93" s="855"/>
      <c r="BV93" s="855"/>
      <c r="BW93" s="855"/>
      <c r="BX93" s="855"/>
      <c r="BY93" s="855"/>
      <c r="BZ93" s="855"/>
      <c r="CA93" s="855"/>
      <c r="CB93" s="855"/>
      <c r="CC93" s="857"/>
      <c r="CD93" s="855"/>
      <c r="CE93" s="855"/>
      <c r="CF93" s="855"/>
      <c r="CG93" s="855"/>
      <c r="CH93" s="855"/>
      <c r="CI93" s="855"/>
      <c r="CJ93" s="855"/>
      <c r="CK93" s="855"/>
      <c r="CL93" s="855"/>
      <c r="CM93" s="855"/>
      <c r="CN93" s="855"/>
      <c r="CO93" s="855"/>
      <c r="CP93" s="855"/>
      <c r="CQ93" s="855"/>
      <c r="CR93" s="855"/>
      <c r="CS93" s="855"/>
      <c r="CT93" s="855"/>
      <c r="CU93" s="855"/>
      <c r="CV93" s="855"/>
      <c r="CW93" s="855"/>
      <c r="CX93" s="855"/>
      <c r="CY93" s="855"/>
      <c r="CZ93" s="855"/>
      <c r="DA93" s="855"/>
      <c r="DB93" s="853"/>
      <c r="DC93" s="853"/>
      <c r="DD93" s="853"/>
      <c r="DE93" s="853"/>
      <c r="DF93" s="853"/>
      <c r="DG93" s="853"/>
      <c r="DH93" s="853"/>
      <c r="DI93" s="853"/>
      <c r="DJ93" s="853"/>
      <c r="DK93" s="853"/>
      <c r="DL93" s="853"/>
      <c r="DM93" s="855"/>
      <c r="DN93" s="853"/>
      <c r="DO93" s="853"/>
      <c r="DP93" s="853"/>
      <c r="DQ93" s="853"/>
      <c r="DR93" s="853"/>
      <c r="DS93" s="858"/>
      <c r="DT93" s="853"/>
      <c r="DU93" s="853"/>
      <c r="DV93" s="853"/>
      <c r="DW93" s="853"/>
      <c r="DX93" s="853"/>
      <c r="DY93" s="859"/>
      <c r="DZ93" s="853"/>
      <c r="EA93" s="853"/>
      <c r="EB93" s="853"/>
      <c r="EC93" s="853"/>
      <c r="ED93" s="853"/>
      <c r="EE93" s="860"/>
      <c r="EF93" s="853"/>
      <c r="EG93" s="853"/>
      <c r="EH93" s="853"/>
      <c r="EI93" s="853"/>
      <c r="EJ93" s="853"/>
      <c r="EK93" s="860"/>
      <c r="EL93" s="853"/>
      <c r="EM93" s="853"/>
      <c r="EN93" s="853"/>
      <c r="EO93" s="853"/>
      <c r="EP93" s="853"/>
      <c r="ER93" s="853"/>
      <c r="ES93" s="853"/>
      <c r="ET93" s="853"/>
      <c r="EU93" s="853"/>
      <c r="EV93" s="853"/>
      <c r="EX93" s="853"/>
      <c r="EY93" s="852">
        <f>EY60</f>
        <v>4.7</v>
      </c>
      <c r="EZ93" s="852">
        <f>EZ60</f>
        <v>4.5999999999999996</v>
      </c>
      <c r="FA93" s="852">
        <f>FA60</f>
        <v>4.3360000000000003</v>
      </c>
      <c r="FB93" s="853">
        <f>SUM(EX93:FA93)</f>
        <v>13.636000000000001</v>
      </c>
      <c r="FD93" s="851">
        <f>FD60</f>
        <v>4.4550000000000001</v>
      </c>
      <c r="FE93" s="863">
        <v>0</v>
      </c>
      <c r="FF93" s="863">
        <v>0</v>
      </c>
      <c r="FG93" s="863">
        <v>0</v>
      </c>
      <c r="FH93" s="853">
        <f>SUM(FD93:FG93)</f>
        <v>4.4550000000000001</v>
      </c>
      <c r="FJ93" s="863">
        <v>0</v>
      </c>
      <c r="FK93" s="863">
        <v>0</v>
      </c>
      <c r="FL93" s="863">
        <v>0</v>
      </c>
      <c r="FM93" s="863">
        <v>0</v>
      </c>
      <c r="FN93" s="853">
        <f>SUM(FJ93:FM93)</f>
        <v>0</v>
      </c>
      <c r="FP93" s="863">
        <v>0</v>
      </c>
      <c r="FQ93" s="863">
        <v>0</v>
      </c>
      <c r="FR93" s="863">
        <v>0</v>
      </c>
      <c r="FS93" s="863">
        <v>0</v>
      </c>
      <c r="FT93" s="853">
        <f>SUM(FP93:FS93)</f>
        <v>0</v>
      </c>
    </row>
    <row r="94" spans="2:176" s="854" customFormat="1">
      <c r="B94" s="855"/>
      <c r="C94" s="842" t="s">
        <v>697</v>
      </c>
      <c r="D94" s="855"/>
      <c r="E94" s="855"/>
      <c r="F94" s="855"/>
      <c r="G94" s="855"/>
      <c r="H94" s="855"/>
      <c r="I94" s="855"/>
      <c r="J94" s="855"/>
      <c r="K94" s="855"/>
      <c r="L94" s="855"/>
      <c r="M94" s="855"/>
      <c r="N94" s="855"/>
      <c r="O94" s="855"/>
      <c r="P94" s="855"/>
      <c r="Q94" s="855"/>
      <c r="R94" s="855"/>
      <c r="S94" s="855"/>
      <c r="T94" s="855"/>
      <c r="U94" s="855"/>
      <c r="V94" s="855"/>
      <c r="W94" s="855"/>
      <c r="X94" s="855"/>
      <c r="Y94" s="855"/>
      <c r="Z94" s="855"/>
      <c r="AA94" s="855"/>
      <c r="AB94" s="855"/>
      <c r="AC94" s="855"/>
      <c r="AD94" s="855"/>
      <c r="AE94" s="855"/>
      <c r="AF94" s="855"/>
      <c r="AG94" s="855"/>
      <c r="AH94" s="855"/>
      <c r="AI94" s="855"/>
      <c r="AJ94" s="855"/>
      <c r="AK94" s="855"/>
      <c r="AL94" s="855"/>
      <c r="AM94" s="855"/>
      <c r="AN94" s="855"/>
      <c r="AO94" s="855"/>
      <c r="AP94" s="855"/>
      <c r="AQ94" s="855"/>
      <c r="AR94" s="855"/>
      <c r="AS94" s="855"/>
      <c r="AT94" s="855"/>
      <c r="AU94" s="855"/>
      <c r="AV94" s="855"/>
      <c r="AW94" s="855"/>
      <c r="AX94" s="855"/>
      <c r="AY94" s="855"/>
      <c r="AZ94" s="856"/>
      <c r="BA94" s="856"/>
      <c r="BB94" s="856"/>
      <c r="BC94" s="856"/>
      <c r="BD94" s="855"/>
      <c r="BE94" s="855"/>
      <c r="BF94" s="856"/>
      <c r="BG94" s="856"/>
      <c r="BH94" s="856"/>
      <c r="BI94" s="856"/>
      <c r="BJ94" s="856"/>
      <c r="BK94" s="855"/>
      <c r="BL94" s="855"/>
      <c r="BM94" s="855"/>
      <c r="BN94" s="855"/>
      <c r="BO94" s="855"/>
      <c r="BP94" s="855"/>
      <c r="BQ94" s="855"/>
      <c r="BR94" s="855"/>
      <c r="BS94" s="855"/>
      <c r="BT94" s="855"/>
      <c r="BU94" s="855"/>
      <c r="BV94" s="855"/>
      <c r="BW94" s="855"/>
      <c r="BX94" s="855"/>
      <c r="BY94" s="855"/>
      <c r="BZ94" s="855"/>
      <c r="CA94" s="855"/>
      <c r="CB94" s="855"/>
      <c r="CC94" s="857"/>
      <c r="CD94" s="855"/>
      <c r="CE94" s="855"/>
      <c r="CF94" s="855"/>
      <c r="CG94" s="855"/>
      <c r="CH94" s="855"/>
      <c r="CI94" s="855"/>
      <c r="CJ94" s="855"/>
      <c r="CK94" s="855"/>
      <c r="CL94" s="855"/>
      <c r="CM94" s="855"/>
      <c r="CN94" s="855"/>
      <c r="CO94" s="855"/>
      <c r="CP94" s="855"/>
      <c r="CQ94" s="855"/>
      <c r="CR94" s="855"/>
      <c r="CS94" s="855"/>
      <c r="CT94" s="855"/>
      <c r="CU94" s="855"/>
      <c r="CV94" s="855"/>
      <c r="CW94" s="855"/>
      <c r="CX94" s="855"/>
      <c r="CY94" s="855"/>
      <c r="CZ94" s="855"/>
      <c r="DA94" s="855"/>
      <c r="DB94" s="853"/>
      <c r="DC94" s="853"/>
      <c r="DD94" s="853"/>
      <c r="DE94" s="853"/>
      <c r="DF94" s="853"/>
      <c r="DG94" s="853"/>
      <c r="DH94" s="853"/>
      <c r="DI94" s="853"/>
      <c r="DJ94" s="853"/>
      <c r="DK94" s="853"/>
      <c r="DL94" s="853"/>
      <c r="DM94" s="855"/>
      <c r="DN94" s="853"/>
      <c r="DO94" s="853"/>
      <c r="DP94" s="853"/>
      <c r="DQ94" s="853"/>
      <c r="DR94" s="853"/>
      <c r="DS94" s="858"/>
      <c r="DT94" s="853"/>
      <c r="DU94" s="853"/>
      <c r="DV94" s="853"/>
      <c r="DW94" s="853"/>
      <c r="DX94" s="853"/>
      <c r="DY94" s="859"/>
      <c r="DZ94" s="853"/>
      <c r="EA94" s="853"/>
      <c r="EB94" s="853"/>
      <c r="EC94" s="853"/>
      <c r="ED94" s="853"/>
      <c r="EE94" s="860"/>
      <c r="EF94" s="853"/>
      <c r="EG94" s="853"/>
      <c r="EH94" s="853"/>
      <c r="EI94" s="853"/>
      <c r="EJ94" s="853"/>
      <c r="EK94" s="860"/>
      <c r="EL94" s="853"/>
      <c r="EM94" s="853"/>
      <c r="EN94" s="853"/>
      <c r="EO94" s="853"/>
      <c r="EP94" s="853"/>
      <c r="ER94" s="853"/>
      <c r="ES94" s="853"/>
      <c r="ET94" s="853"/>
      <c r="EU94" s="853"/>
      <c r="EV94" s="853"/>
      <c r="EX94" s="853"/>
      <c r="EY94" s="862">
        <f>EY93/ES90</f>
        <v>2.8571081202660151E-2</v>
      </c>
      <c r="EZ94" s="862">
        <f>EZ93/ET90</f>
        <v>2.740966727047383E-2</v>
      </c>
      <c r="FA94" s="862">
        <f>FA93/EU90</f>
        <v>2.5209302325581398E-2</v>
      </c>
      <c r="FB94" s="862">
        <f>FB93/EV90</f>
        <v>2.0642903207249541E-2</v>
      </c>
      <c r="FD94" s="861">
        <f>FD93/EX90</f>
        <v>2.6512333739994644E-2</v>
      </c>
      <c r="FE94" s="862">
        <f>FE93/EY90</f>
        <v>0</v>
      </c>
      <c r="FF94" s="862">
        <f>FF93/EZ90</f>
        <v>0</v>
      </c>
      <c r="FG94" s="862">
        <f>FG93/FA90</f>
        <v>0</v>
      </c>
      <c r="FH94" s="862">
        <f>FH93/FB90</f>
        <v>6.1251258022471181E-3</v>
      </c>
      <c r="FJ94" s="862">
        <f>FJ93/FD90</f>
        <v>0</v>
      </c>
      <c r="FK94" s="862">
        <f>FK93/FE90</f>
        <v>0</v>
      </c>
      <c r="FL94" s="862">
        <f>FL93/FF90</f>
        <v>0</v>
      </c>
      <c r="FM94" s="862">
        <f>FM93/FG90</f>
        <v>0</v>
      </c>
      <c r="FN94" s="862">
        <f>FN93/FH90</f>
        <v>0</v>
      </c>
      <c r="FP94" s="862">
        <f>FP93/FJ90</f>
        <v>0</v>
      </c>
      <c r="FQ94" s="862">
        <f>FQ93/FK90</f>
        <v>0</v>
      </c>
      <c r="FR94" s="862">
        <f>FR93/FL90</f>
        <v>0</v>
      </c>
      <c r="FS94" s="862">
        <f>FS93/FM90</f>
        <v>0</v>
      </c>
      <c r="FT94" s="862">
        <f>FT93/FN90</f>
        <v>0</v>
      </c>
    </row>
    <row r="95" spans="2:176" s="381" customFormat="1">
      <c r="B95" s="865"/>
      <c r="C95" s="524" t="s">
        <v>125</v>
      </c>
      <c r="D95" s="378"/>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c r="AK95" s="378"/>
      <c r="AL95" s="378"/>
      <c r="AM95" s="378"/>
      <c r="AN95" s="378"/>
      <c r="AO95" s="378"/>
      <c r="AP95" s="378"/>
      <c r="AQ95" s="378"/>
      <c r="AR95" s="378"/>
      <c r="AS95" s="378"/>
      <c r="AT95" s="378"/>
      <c r="AU95" s="378"/>
      <c r="AV95" s="378"/>
      <c r="AW95" s="378"/>
      <c r="AX95" s="378"/>
      <c r="AY95" s="378"/>
      <c r="AZ95" s="383"/>
      <c r="BA95" s="383"/>
      <c r="BB95" s="383"/>
      <c r="BC95" s="383"/>
      <c r="BD95" s="378"/>
      <c r="BE95" s="378"/>
      <c r="BF95" s="383"/>
      <c r="BG95" s="383"/>
      <c r="BH95" s="383"/>
      <c r="BI95" s="383"/>
      <c r="BJ95" s="383"/>
      <c r="BK95" s="378"/>
      <c r="BL95" s="378"/>
      <c r="BM95" s="378"/>
      <c r="BN95" s="378"/>
      <c r="BO95" s="378"/>
      <c r="BP95" s="378"/>
      <c r="BQ95" s="378"/>
      <c r="BR95" s="378"/>
      <c r="BS95" s="378"/>
      <c r="BT95" s="378"/>
      <c r="BU95" s="378"/>
      <c r="BV95" s="378"/>
      <c r="BW95" s="378"/>
      <c r="BX95" s="378"/>
      <c r="BY95" s="378"/>
      <c r="BZ95" s="378"/>
      <c r="CA95" s="379"/>
      <c r="CB95" s="378"/>
      <c r="CC95" s="384"/>
      <c r="CD95" s="378"/>
      <c r="CE95" s="378"/>
      <c r="CF95" s="378"/>
      <c r="CG95" s="378"/>
      <c r="CH95" s="378"/>
      <c r="CI95" s="378"/>
      <c r="CJ95" s="378"/>
      <c r="CK95" s="378"/>
      <c r="CL95" s="378"/>
      <c r="CM95" s="378"/>
      <c r="CN95" s="378"/>
      <c r="CO95" s="378"/>
      <c r="CP95" s="378"/>
      <c r="CQ95" s="378"/>
      <c r="CR95" s="378"/>
      <c r="CS95" s="378"/>
      <c r="CT95" s="378"/>
      <c r="CU95" s="378"/>
      <c r="CV95" s="379"/>
      <c r="CW95" s="379"/>
      <c r="CX95" s="379"/>
      <c r="CY95" s="379"/>
      <c r="CZ95" s="378"/>
      <c r="DA95" s="378"/>
      <c r="DB95" s="379"/>
      <c r="DC95" s="379"/>
      <c r="DD95" s="379"/>
      <c r="DE95" s="379"/>
      <c r="DF95" s="378"/>
      <c r="DG95" s="378"/>
      <c r="DH95" s="866">
        <f>DH90/DB90-1</f>
        <v>0.13559534467323164</v>
      </c>
      <c r="DI95" s="866">
        <f>DI90/DC90-1</f>
        <v>0.11617101902957394</v>
      </c>
      <c r="DJ95" s="866">
        <f>DJ90/DD90-1</f>
        <v>0.17730448117226105</v>
      </c>
      <c r="DK95" s="866">
        <f>DK90/DE90-1</f>
        <v>0.2450750545407181</v>
      </c>
      <c r="DL95" s="866">
        <f>DL90/DF90-1</f>
        <v>0.16937170673168356</v>
      </c>
      <c r="DM95" s="378"/>
      <c r="DN95" s="866">
        <f>DN90/DH90-1</f>
        <v>0.50697696419280081</v>
      </c>
      <c r="DO95" s="866">
        <f>DO90/DI90-1</f>
        <v>0.50138753579547135</v>
      </c>
      <c r="DP95" s="866">
        <f>DP90/DJ90-1</f>
        <v>0.51487785110570794</v>
      </c>
      <c r="DQ95" s="866">
        <f>DQ90/DK90-1</f>
        <v>0.39742399476953261</v>
      </c>
      <c r="DR95" s="866">
        <f>DR90/DL90-1</f>
        <v>0.47730721977307233</v>
      </c>
      <c r="DS95" s="378"/>
      <c r="DT95" s="866">
        <f>DT90/DN90-1</f>
        <v>0.10936731640457431</v>
      </c>
      <c r="DU95" s="866">
        <f>DU90/DO90-1</f>
        <v>-0.14487823582039649</v>
      </c>
      <c r="DV95" s="866">
        <f>DV90/DP90-1</f>
        <v>0.19844848670131454</v>
      </c>
      <c r="DW95" s="866">
        <f>DW90/DQ90-1</f>
        <v>0.17899651907025493</v>
      </c>
      <c r="DX95" s="866">
        <f>DX90/DR90-1</f>
        <v>8.7121786561651371E-2</v>
      </c>
      <c r="DZ95" s="866">
        <f>DZ90/DT90-1</f>
        <v>8.9625577666697875E-2</v>
      </c>
      <c r="EA95" s="866">
        <f>EA90/DU90-1</f>
        <v>0.39949641859342133</v>
      </c>
      <c r="EB95" s="866">
        <f>EB90/DV90-1</f>
        <v>-3.2715793501482682E-2</v>
      </c>
      <c r="EC95" s="866">
        <f>EC90/DW90-1</f>
        <v>-2.1032246799527199E-3</v>
      </c>
      <c r="ED95" s="866">
        <f>ED90/DX90-1</f>
        <v>8.9731532147742987E-2</v>
      </c>
      <c r="EE95" s="386"/>
      <c r="EF95" s="866">
        <f>EF90/DZ90-1</f>
        <v>1.4160456319839421E-2</v>
      </c>
      <c r="EG95" s="866">
        <f>EG90/EA90-1</f>
        <v>2.7504847030988211E-2</v>
      </c>
      <c r="EH95" s="866">
        <f>EH90/EB90-1</f>
        <v>6.1331794956321239E-2</v>
      </c>
      <c r="EI95" s="866">
        <f>EI90/EC90-1</f>
        <v>0.10317977921292898</v>
      </c>
      <c r="EJ95" s="866">
        <f>EJ90/ED90-1</f>
        <v>5.2441625424040073E-2</v>
      </c>
      <c r="EK95" s="386"/>
      <c r="EL95" s="867">
        <f>EL90/EF90-1</f>
        <v>0.17112888221287204</v>
      </c>
      <c r="EM95" s="867">
        <f>EM90/EG90-1</f>
        <v>0.1746593961877958</v>
      </c>
      <c r="EN95" s="867">
        <f>EN90/EH90-1</f>
        <v>0.17993197807146966</v>
      </c>
      <c r="EO95" s="867">
        <f>EO90/EI90-1</f>
        <v>0.12145921199668375</v>
      </c>
      <c r="EP95" s="867">
        <f>EP90/EJ90-1</f>
        <v>0.16070335551509829</v>
      </c>
      <c r="EQ95" s="732"/>
      <c r="ER95" s="867">
        <f>ER90/EL90-1</f>
        <v>0.1386095321381724</v>
      </c>
      <c r="ES95" s="867">
        <f>ES90/EM90-1</f>
        <v>0.1196934323461547</v>
      </c>
      <c r="ET95" s="867">
        <f>ET90/EN90-1</f>
        <v>0.10443950142806369</v>
      </c>
      <c r="EU95" s="867">
        <f>EU90/EO90-1</f>
        <v>0.10573955976136595</v>
      </c>
      <c r="EV95" s="867">
        <f>EV90/EP90-1</f>
        <v>0.11649423723427832</v>
      </c>
      <c r="EW95" s="732"/>
      <c r="EX95" s="867">
        <f>EX90/ER90-1</f>
        <v>7.5492831541218663E-2</v>
      </c>
      <c r="EY95" s="867">
        <f>EY90/ES90-1</f>
        <v>0.10229662861241806</v>
      </c>
      <c r="EZ95" s="867">
        <f>EZ90/ET90-1</f>
        <v>0.11901158356373354</v>
      </c>
      <c r="FA95" s="867">
        <f>FA90/EU90-1</f>
        <v>0.10563953488372091</v>
      </c>
      <c r="FB95" s="867">
        <f>FB90/EV90-1</f>
        <v>0.10107392751064981</v>
      </c>
      <c r="FC95" s="732"/>
      <c r="FD95" s="868">
        <f>FD90/EX90-1</f>
        <v>9.8710780600172576E-2</v>
      </c>
      <c r="FE95" s="867">
        <f>FE90/EY90-1</f>
        <v>8.1290714443280399E-2</v>
      </c>
      <c r="FF95" s="867">
        <f>FF90/EZ90-1</f>
        <v>9.4697230062248172E-2</v>
      </c>
      <c r="FG95" s="867">
        <f>FG90/FA90-1</f>
        <v>0.11000652452016602</v>
      </c>
      <c r="FH95" s="867">
        <f>FH90/FB90-1</f>
        <v>9.6284925934992938E-2</v>
      </c>
      <c r="FI95" s="732"/>
      <c r="FJ95" s="867">
        <f>FJ90/FD90-1</f>
        <v>9.7550016756095204E-2</v>
      </c>
      <c r="FK95" s="867">
        <f>FK90/FE90-1</f>
        <v>9.7815935154306421E-2</v>
      </c>
      <c r="FL95" s="867">
        <f>FL90/FF90-1</f>
        <v>9.7824437921020246E-2</v>
      </c>
      <c r="FM95" s="867">
        <f>FM90/FG90-1</f>
        <v>9.7886488543660777E-2</v>
      </c>
      <c r="FN95" s="867">
        <f>FN90/FH90-1</f>
        <v>9.7775234457554427E-2</v>
      </c>
      <c r="FP95" s="867">
        <f>FP90/FJ90-1</f>
        <v>9.7744830736255839E-2</v>
      </c>
      <c r="FQ95" s="867">
        <f>FQ90/FK90-1</f>
        <v>9.8000241979416369E-2</v>
      </c>
      <c r="FR95" s="867">
        <f>FR90/FL90-1</f>
        <v>9.8008400273167817E-2</v>
      </c>
      <c r="FS95" s="867">
        <f>FS90/FM90-1</f>
        <v>9.8067958519672649E-2</v>
      </c>
      <c r="FT95" s="867">
        <f>FT90/FN90-1</f>
        <v>9.7961148331160208E-2</v>
      </c>
    </row>
    <row r="96" spans="2:176" s="381" customFormat="1">
      <c r="B96" s="560"/>
      <c r="C96" s="389" t="s">
        <v>653</v>
      </c>
      <c r="D96" s="378"/>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c r="AT96" s="378"/>
      <c r="AU96" s="378"/>
      <c r="AV96" s="378"/>
      <c r="AW96" s="378"/>
      <c r="AX96" s="378"/>
      <c r="AY96" s="378"/>
      <c r="AZ96" s="383"/>
      <c r="BA96" s="383"/>
      <c r="BB96" s="383"/>
      <c r="BC96" s="383"/>
      <c r="BD96" s="378"/>
      <c r="BE96" s="378"/>
      <c r="BF96" s="383"/>
      <c r="BG96" s="383"/>
      <c r="BH96" s="383"/>
      <c r="BI96" s="383"/>
      <c r="BJ96" s="383"/>
      <c r="BK96" s="378"/>
      <c r="BL96" s="378"/>
      <c r="BM96" s="378"/>
      <c r="BN96" s="378"/>
      <c r="BO96" s="378"/>
      <c r="BP96" s="378"/>
      <c r="BQ96" s="378"/>
      <c r="BR96" s="378"/>
      <c r="BS96" s="378"/>
      <c r="BT96" s="378"/>
      <c r="BU96" s="378"/>
      <c r="BV96" s="378"/>
      <c r="BW96" s="378"/>
      <c r="BX96" s="378"/>
      <c r="BY96" s="378"/>
      <c r="BZ96" s="378"/>
      <c r="CA96" s="379"/>
      <c r="CB96" s="378"/>
      <c r="CC96" s="384"/>
      <c r="CD96" s="378"/>
      <c r="CE96" s="378"/>
      <c r="CF96" s="378"/>
      <c r="CG96" s="378"/>
      <c r="CH96" s="378"/>
      <c r="CI96" s="378"/>
      <c r="CJ96" s="378"/>
      <c r="CK96" s="378"/>
      <c r="CL96" s="378"/>
      <c r="CM96" s="378"/>
      <c r="CN96" s="378"/>
      <c r="CO96" s="378"/>
      <c r="CP96" s="378"/>
      <c r="CQ96" s="378"/>
      <c r="CR96" s="378"/>
      <c r="CS96" s="378"/>
      <c r="CT96" s="378"/>
      <c r="CU96" s="378"/>
      <c r="CV96" s="379"/>
      <c r="CW96" s="379"/>
      <c r="CX96" s="379"/>
      <c r="CY96" s="379"/>
      <c r="CZ96" s="378"/>
      <c r="DA96" s="378"/>
      <c r="DB96" s="379"/>
      <c r="DC96" s="390">
        <f>DC90/DB90-1</f>
        <v>8.6750223813786942E-2</v>
      </c>
      <c r="DD96" s="390">
        <f>DD90/DC90-1</f>
        <v>-3.303402257187571E-2</v>
      </c>
      <c r="DE96" s="390">
        <f>DE90/DD90-1</f>
        <v>4.6549667745782841E-2</v>
      </c>
      <c r="DF96" s="378"/>
      <c r="DG96" s="378"/>
      <c r="DH96" s="390">
        <f>DH90/DE90-1</f>
        <v>3.25779036827194E-2</v>
      </c>
      <c r="DI96" s="390">
        <f>DI90/DH90-1</f>
        <v>6.816139255475151E-2</v>
      </c>
      <c r="DJ96" s="390">
        <f>DJ90/DI90-1</f>
        <v>1.9927375786024326E-2</v>
      </c>
      <c r="DK96" s="390">
        <f>DK90/DJ90-1</f>
        <v>0.10679344679865688</v>
      </c>
      <c r="DL96" s="390"/>
      <c r="DM96" s="378"/>
      <c r="DN96" s="390">
        <f>DN90/DK90-1</f>
        <v>0.24978097417456691</v>
      </c>
      <c r="DO96" s="390">
        <f>DO90/DN90-1</f>
        <v>6.4199545915858414E-2</v>
      </c>
      <c r="DP96" s="390">
        <f>DP90/DO90-1</f>
        <v>2.9091659866487207E-2</v>
      </c>
      <c r="DQ96" s="390">
        <f>DQ90/DP90-1</f>
        <v>2.0979822684194405E-2</v>
      </c>
      <c r="DR96" s="390"/>
      <c r="DS96" s="378"/>
      <c r="DT96" s="390">
        <f>DT90/DQ90-1</f>
        <v>-7.841449264513134E-3</v>
      </c>
      <c r="DU96" s="390">
        <f>DU90/DT90-1</f>
        <v>-0.17969442610581909</v>
      </c>
      <c r="DV96" s="390">
        <f>DV90/DU90-1</f>
        <v>0.44226634627545214</v>
      </c>
      <c r="DW96" s="390">
        <f>DW90/DV90-1</f>
        <v>4.4083415707407703E-3</v>
      </c>
      <c r="DX96" s="390"/>
      <c r="DZ96" s="390">
        <f>DZ90/DW90-1</f>
        <v>-8.3049596418962479E-2</v>
      </c>
      <c r="EA96" s="390">
        <f>EA90/DZ90-1</f>
        <v>5.3586421195675804E-2</v>
      </c>
      <c r="EB96" s="390">
        <f>EB90/EA90-1</f>
        <v>-3.1546777956689143E-3</v>
      </c>
      <c r="EC96" s="390">
        <f>EC90/EB90-1</f>
        <v>3.6195813416845191E-2</v>
      </c>
      <c r="ED96" s="390"/>
      <c r="EE96" s="386"/>
      <c r="EF96" s="390">
        <f>EF90/EC90-1</f>
        <v>-6.8105176088823827E-2</v>
      </c>
      <c r="EG96" s="390">
        <f>EG90/EF90-1</f>
        <v>6.7449581373912881E-2</v>
      </c>
      <c r="EH96" s="390">
        <f>EH90/EG90-1</f>
        <v>2.9662914161443066E-2</v>
      </c>
      <c r="EI96" s="390">
        <f>EI90/EH90-1</f>
        <v>7.7052693699429797E-2</v>
      </c>
      <c r="EJ96" s="390"/>
      <c r="EK96" s="386"/>
      <c r="EL96" s="390">
        <f>EL90/EI90-1</f>
        <v>-1.0706174975667726E-2</v>
      </c>
      <c r="EM96" s="390">
        <f>EM90/EL90-1</f>
        <v>7.0667541174755932E-2</v>
      </c>
      <c r="EN96" s="390">
        <f>EN90/EM90-1</f>
        <v>3.4284664130087128E-2</v>
      </c>
      <c r="EO96" s="390">
        <f>EO90/EN90-1</f>
        <v>2.3678218408202278E-2</v>
      </c>
      <c r="EP96" s="390"/>
      <c r="ER96" s="390">
        <f>ER90/EO90-1</f>
        <v>4.4229582390455935E-3</v>
      </c>
      <c r="ES96" s="390">
        <f>ES90/ER90-1</f>
        <v>5.2880184331797198E-2</v>
      </c>
      <c r="ET96" s="390">
        <f>ET90/ES90-1</f>
        <v>2.0194283352177989E-2</v>
      </c>
      <c r="EU96" s="390">
        <f>EU90/ET90-1</f>
        <v>2.4883210982934667E-2</v>
      </c>
      <c r="EV96" s="390"/>
      <c r="EX96" s="390">
        <f>EX90/EU90-1</f>
        <v>-2.3052325581395361E-2</v>
      </c>
      <c r="EY96" s="390">
        <f>EY90/EX90-1</f>
        <v>7.9120421340792113E-2</v>
      </c>
      <c r="EZ96" s="390">
        <f>EZ90/EY90-1</f>
        <v>3.5664258534164217E-2</v>
      </c>
      <c r="FA96" s="390">
        <f>FA90/EZ90-1</f>
        <v>1.2635984600392947E-2</v>
      </c>
      <c r="FB96" s="390"/>
      <c r="FD96" s="567">
        <f>FD90/FA90-1</f>
        <v>-2.9174601576747006E-2</v>
      </c>
      <c r="FE96" s="390">
        <f>FE90/FD90-1</f>
        <v>6.2010960449964125E-2</v>
      </c>
      <c r="FF96" s="390">
        <f>FF90/FE90-1</f>
        <v>4.8505068940266183E-2</v>
      </c>
      <c r="FG96" s="390">
        <f>FG90/FF90-1</f>
        <v>2.679765601162809E-2</v>
      </c>
      <c r="FH96" s="390"/>
      <c r="FJ96" s="390">
        <f>FJ90/FG90-1</f>
        <v>-4.0069216919881079E-2</v>
      </c>
      <c r="FK96" s="390">
        <f>FK90/FJ90-1</f>
        <v>6.2268268316734598E-2</v>
      </c>
      <c r="FL96" s="390">
        <f>FL90/FK90-1</f>
        <v>4.8513189786132838E-2</v>
      </c>
      <c r="FM96" s="390">
        <f>FM90/FL90-1</f>
        <v>2.6855692097982997E-2</v>
      </c>
      <c r="FN96" s="390"/>
      <c r="FP96" s="390">
        <f>FP90/FM90-1</f>
        <v>-4.0193074615016866E-2</v>
      </c>
      <c r="FQ96" s="390">
        <f>FQ90/FP90-1</f>
        <v>6.2515425261940871E-2</v>
      </c>
      <c r="FR96" s="390">
        <f>FR90/FQ90-1</f>
        <v>4.8520980384237911E-2</v>
      </c>
      <c r="FS96" s="390">
        <f>FS90/FR90-1</f>
        <v>2.6911390874440055E-2</v>
      </c>
      <c r="FT96" s="390"/>
    </row>
    <row r="97" spans="2:176" s="372" customFormat="1">
      <c r="B97" s="373"/>
      <c r="C97" s="345" t="s">
        <v>654</v>
      </c>
      <c r="D97" s="373"/>
      <c r="E97" s="373"/>
      <c r="F97" s="373"/>
      <c r="G97" s="373"/>
      <c r="H97" s="373"/>
      <c r="I97" s="373"/>
      <c r="J97" s="373"/>
      <c r="K97" s="373"/>
      <c r="L97" s="373"/>
      <c r="M97" s="373"/>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5"/>
      <c r="BA97" s="375"/>
      <c r="BB97" s="375"/>
      <c r="BC97" s="375"/>
      <c r="BD97" s="373"/>
      <c r="BE97" s="373"/>
      <c r="BF97" s="375"/>
      <c r="BG97" s="375"/>
      <c r="BH97" s="375"/>
      <c r="BI97" s="375"/>
      <c r="BJ97" s="375"/>
      <c r="BK97" s="373"/>
      <c r="BL97" s="373"/>
      <c r="BM97" s="373"/>
      <c r="BN97" s="373"/>
      <c r="BO97" s="373"/>
      <c r="BP97" s="373"/>
      <c r="BQ97" s="373"/>
      <c r="BR97" s="373"/>
      <c r="BS97" s="373"/>
      <c r="BT97" s="373"/>
      <c r="BU97" s="373"/>
      <c r="BV97" s="373"/>
      <c r="BW97" s="373"/>
      <c r="BX97" s="373"/>
      <c r="BY97" s="373"/>
      <c r="BZ97" s="373"/>
      <c r="CA97" s="376"/>
      <c r="CB97" s="373"/>
      <c r="CC97" s="377"/>
      <c r="CD97" s="373"/>
      <c r="CE97" s="373"/>
      <c r="CF97" s="373"/>
      <c r="CG97" s="373"/>
      <c r="CH97" s="373"/>
      <c r="CI97" s="373"/>
      <c r="CJ97" s="373"/>
      <c r="CK97" s="373"/>
      <c r="CL97" s="373"/>
      <c r="CM97" s="373"/>
      <c r="CN97" s="373"/>
      <c r="CO97" s="373"/>
      <c r="CP97" s="373"/>
      <c r="CQ97" s="373"/>
      <c r="CR97" s="373"/>
      <c r="CS97" s="373"/>
      <c r="CT97" s="373"/>
      <c r="CU97" s="373"/>
      <c r="CV97" s="376"/>
      <c r="CW97" s="376"/>
      <c r="CX97" s="376"/>
      <c r="CY97" s="376"/>
      <c r="CZ97" s="373"/>
      <c r="DA97" s="373"/>
      <c r="DB97" s="486"/>
      <c r="DC97" s="486">
        <f>DC90-DB90</f>
        <v>4.8449999999999989</v>
      </c>
      <c r="DD97" s="486">
        <f>DD90-DC90</f>
        <v>-2.0049999999999955</v>
      </c>
      <c r="DE97" s="486">
        <f>DE90-DD90</f>
        <v>2.7319999999999993</v>
      </c>
      <c r="DF97" s="373"/>
      <c r="DG97" s="373"/>
      <c r="DH97" s="486">
        <f>DH90-DE90</f>
        <v>2.0009999999999906</v>
      </c>
      <c r="DI97" s="486">
        <f>DI90-DH90</f>
        <v>4.3230000000000004</v>
      </c>
      <c r="DJ97" s="486">
        <f>DJ90-DI90</f>
        <v>1.3500000000000085</v>
      </c>
      <c r="DK97" s="486">
        <f>DK90-DJ90</f>
        <v>7.3789999999999907</v>
      </c>
      <c r="DL97" s="17"/>
      <c r="DM97" s="373"/>
      <c r="DN97" s="486">
        <f>DN90-DK90</f>
        <v>19.102000000000004</v>
      </c>
      <c r="DO97" s="486">
        <f>DO90-DN90</f>
        <v>6.1359999999999957</v>
      </c>
      <c r="DP97" s="486">
        <f>DP90-DO90</f>
        <v>2.9590000000000032</v>
      </c>
      <c r="DQ97" s="486">
        <f>DQ90-DP90</f>
        <v>2.195999999999998</v>
      </c>
      <c r="DR97" s="17"/>
      <c r="DS97" s="354"/>
      <c r="DT97" s="486">
        <f>DT90-DQ90</f>
        <v>-0.83799999999999386</v>
      </c>
      <c r="DU97" s="486">
        <f>DU90-DT90</f>
        <v>-19.052999999999997</v>
      </c>
      <c r="DV97" s="486">
        <f>DV90-DU90</f>
        <v>38.466999999999999</v>
      </c>
      <c r="DW97" s="486">
        <f>DW90-DV90</f>
        <v>0.55299999999999727</v>
      </c>
      <c r="DX97" s="17"/>
      <c r="DY97" s="31"/>
      <c r="DZ97" s="486">
        <f>DZ90-DW90</f>
        <v>-10.464000000000013</v>
      </c>
      <c r="EA97" s="486">
        <f>EA90-DZ90</f>
        <v>6.1910000000000167</v>
      </c>
      <c r="EB97" s="486">
        <f>EB90-EA90</f>
        <v>-0.38400000000000034</v>
      </c>
      <c r="EC97" s="486">
        <f>EC90-EB90</f>
        <v>4.3919999999999959</v>
      </c>
      <c r="ED97" s="17"/>
      <c r="EE97" s="41"/>
      <c r="EF97" s="486">
        <f>EF90-EC90</f>
        <v>-8.5630000000000024</v>
      </c>
      <c r="EG97" s="486">
        <f>EG90-EF90</f>
        <v>7.9030000000000058</v>
      </c>
      <c r="EH97" s="486">
        <f>EH90-EG90</f>
        <v>3.710000000000008</v>
      </c>
      <c r="EI97" s="486">
        <f>EI90-EH90</f>
        <v>9.9229999999999734</v>
      </c>
      <c r="EJ97" s="17"/>
      <c r="EK97" s="41"/>
      <c r="EL97" s="486">
        <f>EL90-EI90</f>
        <v>-1.4849999999999852</v>
      </c>
      <c r="EM97" s="486">
        <f>EM90-EL90</f>
        <v>9.6970000000000027</v>
      </c>
      <c r="EN97" s="486">
        <f>EN90-EM90</f>
        <v>5.0370000000000061</v>
      </c>
      <c r="EO97" s="486">
        <f>EO90-EN90</f>
        <v>3.5979999999999848</v>
      </c>
      <c r="EP97" s="17"/>
      <c r="ER97" s="486">
        <f>ER90-EO90</f>
        <v>0.6880000000000166</v>
      </c>
      <c r="ES97" s="486">
        <f>ES90-ER90</f>
        <v>8.2620000000000005</v>
      </c>
      <c r="ET97" s="486">
        <f>ET90-ES90</f>
        <v>3.3219999999999743</v>
      </c>
      <c r="EU97" s="486">
        <f>EU90-ET90</f>
        <v>4.1760000000000161</v>
      </c>
      <c r="EV97" s="17"/>
      <c r="EX97" s="17">
        <f>EX90-EW90</f>
        <v>168.035</v>
      </c>
      <c r="EY97" s="486">
        <f>EY90-EX90</f>
        <v>13.295000000000016</v>
      </c>
      <c r="EZ97" s="486">
        <f>EZ90-EY90</f>
        <v>6.4669999999999845</v>
      </c>
      <c r="FA97" s="486">
        <f>FA90-EZ90</f>
        <v>2.3729999999999905</v>
      </c>
      <c r="FB97" s="523"/>
      <c r="FD97" s="664">
        <f>FD90-FA90</f>
        <v>-5.5481339818499862</v>
      </c>
      <c r="FE97" s="486">
        <f>FE90-FD90</f>
        <v>11.448579231850061</v>
      </c>
      <c r="FF97" s="486">
        <f>FF90-FE90</f>
        <v>9.5104104639999605</v>
      </c>
      <c r="FG97" s="486">
        <f>FG90-FF90</f>
        <v>5.5090850539999394</v>
      </c>
      <c r="FH97" s="523"/>
      <c r="FJ97" s="486">
        <f>FJ90-FG90</f>
        <v>-8.4582086262378482</v>
      </c>
      <c r="FK97" s="486">
        <f>FK90-FJ90</f>
        <v>12.617527066487952</v>
      </c>
      <c r="FL97" s="486">
        <f>FL90-FK90</f>
        <v>10.442428163294352</v>
      </c>
      <c r="FM97" s="486">
        <f>FM90-FL90</f>
        <v>6.0611064651244249</v>
      </c>
      <c r="FN97" s="523"/>
      <c r="FP97" s="486">
        <f>FP90-FM90</f>
        <v>-9.3148573349158426</v>
      </c>
      <c r="FQ97" s="486">
        <f>FQ90-FP90</f>
        <v>13.905802194795712</v>
      </c>
      <c r="FR97" s="486">
        <f>FR90-FQ90</f>
        <v>11.46762990923267</v>
      </c>
      <c r="FS97" s="486">
        <f>FS90-FR90</f>
        <v>6.6689486036801497</v>
      </c>
      <c r="FT97" s="523"/>
    </row>
    <row r="98" spans="2:176" s="372" customFormat="1">
      <c r="B98" s="373"/>
      <c r="C98" s="348"/>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5"/>
      <c r="BA98" s="375"/>
      <c r="BB98" s="375"/>
      <c r="BC98" s="375"/>
      <c r="BD98" s="373"/>
      <c r="BE98" s="373"/>
      <c r="BF98" s="375"/>
      <c r="BG98" s="375"/>
      <c r="BH98" s="375"/>
      <c r="BI98" s="375"/>
      <c r="BJ98" s="375"/>
      <c r="BK98" s="373"/>
      <c r="BL98" s="373"/>
      <c r="BM98" s="373"/>
      <c r="BN98" s="373"/>
      <c r="BO98" s="373"/>
      <c r="BP98" s="373"/>
      <c r="BQ98" s="373"/>
      <c r="BR98" s="373"/>
      <c r="BS98" s="373"/>
      <c r="BT98" s="373"/>
      <c r="BU98" s="373"/>
      <c r="BV98" s="373"/>
      <c r="BW98" s="373"/>
      <c r="BX98" s="373"/>
      <c r="BY98" s="373"/>
      <c r="BZ98" s="373"/>
      <c r="CA98" s="376"/>
      <c r="CB98" s="373"/>
      <c r="CC98" s="377"/>
      <c r="CD98" s="373"/>
      <c r="CE98" s="373"/>
      <c r="CF98" s="373"/>
      <c r="CG98" s="373"/>
      <c r="CH98" s="373"/>
      <c r="CI98" s="373"/>
      <c r="CJ98" s="373"/>
      <c r="CK98" s="373"/>
      <c r="CL98" s="373"/>
      <c r="CM98" s="373"/>
      <c r="CN98" s="373"/>
      <c r="CO98" s="373"/>
      <c r="CP98" s="373"/>
      <c r="CQ98" s="373"/>
      <c r="CR98" s="373"/>
      <c r="CS98" s="373"/>
      <c r="CT98" s="373"/>
      <c r="CU98" s="373"/>
      <c r="CV98" s="376"/>
      <c r="CW98" s="376"/>
      <c r="CX98" s="376"/>
      <c r="CY98" s="376"/>
      <c r="CZ98" s="373"/>
      <c r="DA98" s="373"/>
      <c r="DB98" s="376"/>
      <c r="DC98" s="376"/>
      <c r="DD98" s="376"/>
      <c r="DE98" s="376"/>
      <c r="DF98" s="373"/>
      <c r="DG98" s="373"/>
      <c r="DH98" s="17"/>
      <c r="DI98" s="17"/>
      <c r="DJ98" s="17"/>
      <c r="DK98" s="17"/>
      <c r="DL98" s="17"/>
      <c r="DM98" s="373"/>
      <c r="DN98" s="17"/>
      <c r="DO98" s="17"/>
      <c r="DP98" s="17"/>
      <c r="DQ98" s="17"/>
      <c r="DR98" s="17"/>
      <c r="DS98" s="354"/>
      <c r="DT98" s="17"/>
      <c r="DU98" s="17"/>
      <c r="DV98" s="17"/>
      <c r="DW98" s="17"/>
      <c r="DX98" s="17"/>
      <c r="DY98" s="31"/>
      <c r="DZ98" s="17"/>
      <c r="EA98" s="17"/>
      <c r="EB98" s="17"/>
      <c r="EC98" s="17"/>
      <c r="ED98" s="17"/>
      <c r="EE98" s="41"/>
      <c r="EF98" s="17"/>
      <c r="EG98" s="17"/>
      <c r="EH98" s="17"/>
      <c r="EI98" s="17"/>
      <c r="EJ98" s="17"/>
      <c r="EK98" s="41"/>
      <c r="EL98" s="17"/>
      <c r="EM98" s="17"/>
      <c r="EN98" s="17"/>
      <c r="EO98" s="17"/>
      <c r="EP98" s="17"/>
      <c r="ER98" s="17"/>
      <c r="ES98" s="17"/>
      <c r="ET98" s="17"/>
      <c r="EU98" s="17"/>
      <c r="EV98" s="17"/>
      <c r="EX98" s="836"/>
      <c r="EY98" s="374"/>
      <c r="EZ98" s="374"/>
      <c r="FA98" s="374"/>
      <c r="FB98" s="523"/>
      <c r="FD98" s="374"/>
      <c r="FE98" s="374"/>
      <c r="FF98" s="374"/>
      <c r="FG98" s="374"/>
      <c r="FH98" s="523"/>
      <c r="FJ98" s="374"/>
      <c r="FK98" s="374"/>
      <c r="FL98" s="374"/>
      <c r="FM98" s="374"/>
      <c r="FN98" s="523"/>
    </row>
    <row r="99" spans="2:176" s="714" customFormat="1">
      <c r="B99" s="715"/>
      <c r="C99" s="716"/>
      <c r="D99" s="715"/>
      <c r="E99" s="715"/>
      <c r="F99" s="715"/>
      <c r="G99" s="715"/>
      <c r="H99" s="715"/>
      <c r="I99" s="715"/>
      <c r="J99" s="715"/>
      <c r="K99" s="715"/>
      <c r="L99" s="715"/>
      <c r="M99" s="715"/>
      <c r="N99" s="715"/>
      <c r="O99" s="715"/>
      <c r="P99" s="715"/>
      <c r="Q99" s="715"/>
      <c r="R99" s="715"/>
      <c r="S99" s="715"/>
      <c r="T99" s="715"/>
      <c r="U99" s="715"/>
      <c r="V99" s="715"/>
      <c r="W99" s="715"/>
      <c r="X99" s="715"/>
      <c r="Y99" s="715"/>
      <c r="Z99" s="715"/>
      <c r="AA99" s="715"/>
      <c r="AB99" s="715"/>
      <c r="AC99" s="715"/>
      <c r="AD99" s="715"/>
      <c r="AE99" s="715"/>
      <c r="AF99" s="715"/>
      <c r="AG99" s="715"/>
      <c r="AH99" s="715"/>
      <c r="AI99" s="715"/>
      <c r="AJ99" s="715"/>
      <c r="AK99" s="715"/>
      <c r="AL99" s="715"/>
      <c r="AM99" s="715"/>
      <c r="AN99" s="715"/>
      <c r="AO99" s="715"/>
      <c r="AP99" s="715"/>
      <c r="AQ99" s="715"/>
      <c r="AR99" s="715"/>
      <c r="AS99" s="715"/>
      <c r="AT99" s="715"/>
      <c r="AU99" s="715"/>
      <c r="AV99" s="715"/>
      <c r="AW99" s="715"/>
      <c r="AX99" s="715"/>
      <c r="AY99" s="715"/>
      <c r="AZ99" s="717"/>
      <c r="BA99" s="717"/>
      <c r="BB99" s="717"/>
      <c r="BC99" s="717"/>
      <c r="BD99" s="715"/>
      <c r="BE99" s="715"/>
      <c r="BF99" s="717"/>
      <c r="BG99" s="717"/>
      <c r="BH99" s="717"/>
      <c r="BI99" s="717"/>
      <c r="BJ99" s="717"/>
      <c r="BK99" s="715"/>
      <c r="BL99" s="715"/>
      <c r="BM99" s="715"/>
      <c r="BN99" s="715"/>
      <c r="BO99" s="715"/>
      <c r="BP99" s="715"/>
      <c r="BQ99" s="715"/>
      <c r="BR99" s="715"/>
      <c r="BS99" s="715"/>
      <c r="BT99" s="715"/>
      <c r="BU99" s="715"/>
      <c r="BV99" s="715"/>
      <c r="BW99" s="715"/>
      <c r="BX99" s="715"/>
      <c r="BY99" s="715"/>
      <c r="BZ99" s="715"/>
      <c r="CA99" s="718"/>
      <c r="CB99" s="715"/>
      <c r="CC99" s="719"/>
      <c r="CD99" s="715"/>
      <c r="CE99" s="715"/>
      <c r="CF99" s="715"/>
      <c r="CG99" s="715"/>
      <c r="CH99" s="715"/>
      <c r="CI99" s="715"/>
      <c r="CJ99" s="715"/>
      <c r="CK99" s="715"/>
      <c r="CL99" s="715"/>
      <c r="CM99" s="715"/>
      <c r="CN99" s="715"/>
      <c r="CO99" s="715"/>
      <c r="CP99" s="715"/>
      <c r="CQ99" s="715"/>
      <c r="CR99" s="715"/>
      <c r="CS99" s="715"/>
      <c r="CT99" s="715"/>
      <c r="CU99" s="715"/>
      <c r="CV99" s="718"/>
      <c r="CW99" s="718"/>
      <c r="CX99" s="718"/>
      <c r="CY99" s="718"/>
      <c r="CZ99" s="715"/>
      <c r="DA99" s="715"/>
      <c r="DB99" s="718"/>
      <c r="DC99" s="718"/>
      <c r="DD99" s="718"/>
      <c r="DE99" s="718"/>
      <c r="DF99" s="715"/>
      <c r="DG99" s="715"/>
      <c r="DH99" s="720"/>
      <c r="DI99" s="720"/>
      <c r="DJ99" s="720"/>
      <c r="DK99" s="720"/>
      <c r="DL99" s="720"/>
      <c r="DM99" s="715"/>
      <c r="DN99" s="720"/>
      <c r="DO99" s="720"/>
      <c r="DP99" s="720"/>
      <c r="DQ99" s="720"/>
      <c r="DR99" s="720"/>
      <c r="DS99" s="721"/>
      <c r="DT99" s="720"/>
      <c r="DU99" s="720"/>
      <c r="DV99" s="720"/>
      <c r="DW99" s="720"/>
      <c r="DX99" s="720"/>
      <c r="DY99" s="722"/>
      <c r="DZ99" s="720"/>
      <c r="EA99" s="720"/>
      <c r="EB99" s="720"/>
      <c r="EC99" s="720"/>
      <c r="ED99" s="720"/>
      <c r="EE99" s="723"/>
      <c r="EF99" s="720"/>
      <c r="EG99" s="720"/>
      <c r="EH99" s="720"/>
      <c r="EI99" s="720"/>
      <c r="EJ99" s="720"/>
      <c r="EK99" s="723"/>
      <c r="EL99" s="720"/>
      <c r="EM99" s="720"/>
      <c r="EN99" s="720"/>
      <c r="EO99" s="720"/>
      <c r="EP99" s="720"/>
      <c r="ER99" s="720"/>
      <c r="ES99" s="720"/>
      <c r="ET99" s="720"/>
      <c r="EU99" s="720"/>
      <c r="EV99" s="720"/>
      <c r="EX99" s="724"/>
      <c r="EY99" s="724"/>
      <c r="EZ99" s="724"/>
      <c r="FA99" s="724"/>
      <c r="FB99" s="725"/>
      <c r="FD99" s="724"/>
      <c r="FE99" s="724"/>
      <c r="FF99" s="724"/>
      <c r="FG99" s="724"/>
      <c r="FH99" s="725"/>
      <c r="FJ99" s="724"/>
      <c r="FK99" s="724"/>
      <c r="FL99" s="724"/>
      <c r="FM99" s="724"/>
      <c r="FN99" s="725"/>
    </row>
    <row r="100" spans="2:176" s="372" customFormat="1">
      <c r="B100" s="373"/>
      <c r="C100" s="348"/>
      <c r="D100" s="373"/>
      <c r="E100" s="373"/>
      <c r="F100" s="373"/>
      <c r="G100" s="373"/>
      <c r="H100" s="373"/>
      <c r="I100" s="373"/>
      <c r="J100" s="373"/>
      <c r="K100" s="373"/>
      <c r="L100" s="373"/>
      <c r="M100" s="373"/>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5"/>
      <c r="BA100" s="375"/>
      <c r="BB100" s="375"/>
      <c r="BC100" s="375"/>
      <c r="BD100" s="373"/>
      <c r="BE100" s="373"/>
      <c r="BF100" s="375"/>
      <c r="BG100" s="375"/>
      <c r="BH100" s="375"/>
      <c r="BI100" s="375"/>
      <c r="BJ100" s="375"/>
      <c r="BK100" s="373"/>
      <c r="BL100" s="373"/>
      <c r="BM100" s="373"/>
      <c r="BN100" s="373"/>
      <c r="BO100" s="373"/>
      <c r="BP100" s="373"/>
      <c r="BQ100" s="373"/>
      <c r="BR100" s="373"/>
      <c r="BS100" s="373"/>
      <c r="BT100" s="373"/>
      <c r="BU100" s="373"/>
      <c r="BV100" s="373"/>
      <c r="BW100" s="373"/>
      <c r="BX100" s="373"/>
      <c r="BY100" s="373"/>
      <c r="BZ100" s="373"/>
      <c r="CA100" s="376"/>
      <c r="CB100" s="373"/>
      <c r="CC100" s="377"/>
      <c r="CD100" s="373"/>
      <c r="CE100" s="373"/>
      <c r="CF100" s="373"/>
      <c r="CG100" s="373"/>
      <c r="CH100" s="373"/>
      <c r="CI100" s="373"/>
      <c r="CJ100" s="373"/>
      <c r="CK100" s="373"/>
      <c r="CL100" s="373"/>
      <c r="CM100" s="373"/>
      <c r="CN100" s="373"/>
      <c r="CO100" s="373"/>
      <c r="CP100" s="373"/>
      <c r="CQ100" s="373"/>
      <c r="CR100" s="373"/>
      <c r="CS100" s="373"/>
      <c r="CT100" s="373"/>
      <c r="CU100" s="373"/>
      <c r="CV100" s="376"/>
      <c r="CW100" s="376"/>
      <c r="CX100" s="376"/>
      <c r="CY100" s="376"/>
      <c r="CZ100" s="373"/>
      <c r="DA100" s="373"/>
      <c r="DB100" s="376"/>
      <c r="DC100" s="376"/>
      <c r="DD100" s="376"/>
      <c r="DE100" s="376"/>
      <c r="DF100" s="373"/>
      <c r="DG100" s="373"/>
      <c r="DH100" s="17"/>
      <c r="DI100" s="17"/>
      <c r="DJ100" s="17"/>
      <c r="DK100" s="17"/>
      <c r="DL100" s="17"/>
      <c r="DM100" s="373"/>
      <c r="DN100" s="17"/>
      <c r="DO100" s="17"/>
      <c r="DP100" s="17"/>
      <c r="DQ100" s="17"/>
      <c r="DR100" s="17"/>
      <c r="DS100" s="354"/>
      <c r="DT100" s="17"/>
      <c r="DU100" s="17"/>
      <c r="DV100" s="17"/>
      <c r="DW100" s="17"/>
      <c r="DX100" s="17"/>
      <c r="DY100" s="31"/>
      <c r="DZ100" s="17"/>
      <c r="EA100" s="17"/>
      <c r="EB100" s="17"/>
      <c r="EC100" s="17"/>
      <c r="ED100" s="17"/>
      <c r="EE100" s="41"/>
      <c r="EF100" s="17"/>
      <c r="EG100" s="17"/>
      <c r="EH100" s="17"/>
      <c r="EI100" s="17"/>
      <c r="EJ100" s="17"/>
      <c r="EK100" s="41"/>
      <c r="EL100" s="17"/>
      <c r="EM100" s="17"/>
      <c r="EN100" s="17"/>
      <c r="EO100" s="17"/>
      <c r="EP100" s="17"/>
      <c r="ER100" s="17"/>
      <c r="ES100" s="17"/>
      <c r="ET100" s="17"/>
      <c r="EU100" s="17"/>
      <c r="EV100" s="17"/>
      <c r="EX100" s="374"/>
      <c r="EY100" s="374"/>
      <c r="EZ100" s="374"/>
      <c r="FA100" s="374"/>
      <c r="FB100" s="523"/>
      <c r="FD100" s="374"/>
      <c r="FE100" s="374"/>
      <c r="FF100" s="374"/>
      <c r="FG100" s="374"/>
      <c r="FH100" s="523"/>
      <c r="FJ100" s="374"/>
      <c r="FK100" s="374"/>
      <c r="FL100" s="374"/>
      <c r="FM100" s="374"/>
      <c r="FN100" s="523"/>
    </row>
    <row r="101" spans="2:176" s="372" customFormat="1">
      <c r="B101" s="378" t="s">
        <v>690</v>
      </c>
      <c r="C101" s="348"/>
      <c r="D101" s="373"/>
      <c r="E101" s="373"/>
      <c r="F101" s="373"/>
      <c r="G101" s="373"/>
      <c r="H101" s="373"/>
      <c r="I101" s="373"/>
      <c r="J101" s="373"/>
      <c r="K101" s="373"/>
      <c r="L101" s="373"/>
      <c r="M101" s="373"/>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5"/>
      <c r="BA101" s="375"/>
      <c r="BB101" s="375"/>
      <c r="BC101" s="375"/>
      <c r="BD101" s="373"/>
      <c r="BE101" s="373"/>
      <c r="BF101" s="375"/>
      <c r="BG101" s="375"/>
      <c r="BH101" s="375"/>
      <c r="BI101" s="375"/>
      <c r="BJ101" s="375"/>
      <c r="BK101" s="373"/>
      <c r="BL101" s="373"/>
      <c r="BM101" s="373"/>
      <c r="BN101" s="373"/>
      <c r="BO101" s="373"/>
      <c r="BP101" s="373"/>
      <c r="BQ101" s="373"/>
      <c r="BR101" s="373"/>
      <c r="BS101" s="373"/>
      <c r="BT101" s="373"/>
      <c r="BU101" s="373"/>
      <c r="BV101" s="373"/>
      <c r="BW101" s="373"/>
      <c r="BX101" s="373"/>
      <c r="BY101" s="373"/>
      <c r="BZ101" s="373"/>
      <c r="CA101" s="376"/>
      <c r="CB101" s="373"/>
      <c r="CC101" s="377"/>
      <c r="CD101" s="373"/>
      <c r="CE101" s="373"/>
      <c r="CF101" s="373"/>
      <c r="CG101" s="373"/>
      <c r="CH101" s="373"/>
      <c r="CI101" s="373"/>
      <c r="CJ101" s="373"/>
      <c r="CK101" s="373"/>
      <c r="CL101" s="373"/>
      <c r="CM101" s="373"/>
      <c r="CN101" s="373"/>
      <c r="CO101" s="373"/>
      <c r="CP101" s="373"/>
      <c r="CQ101" s="373"/>
      <c r="CR101" s="373"/>
      <c r="CS101" s="373"/>
      <c r="CT101" s="373"/>
      <c r="CU101" s="373"/>
      <c r="CV101" s="376"/>
      <c r="CW101" s="376"/>
      <c r="CX101" s="376"/>
      <c r="CY101" s="376"/>
      <c r="CZ101" s="373"/>
      <c r="DA101" s="373"/>
      <c r="DB101" s="376"/>
      <c r="DC101" s="376"/>
      <c r="DD101" s="376"/>
      <c r="DE101" s="376"/>
      <c r="DF101" s="373"/>
      <c r="DG101" s="373"/>
      <c r="DH101" s="17"/>
      <c r="DI101" s="17"/>
      <c r="DJ101" s="17"/>
      <c r="DK101" s="17"/>
      <c r="DL101" s="17"/>
      <c r="DM101" s="373"/>
      <c r="DN101" s="17"/>
      <c r="DO101" s="17"/>
      <c r="DP101" s="17"/>
      <c r="DQ101" s="17"/>
      <c r="DR101" s="17"/>
      <c r="DS101" s="354"/>
      <c r="DT101" s="17"/>
      <c r="DU101" s="17"/>
      <c r="DV101" s="17"/>
      <c r="DW101" s="17"/>
      <c r="DX101" s="17"/>
      <c r="DY101" s="31"/>
      <c r="DZ101" s="17"/>
      <c r="EA101" s="17"/>
      <c r="EB101" s="17"/>
      <c r="EC101" s="17"/>
      <c r="ED101" s="17"/>
      <c r="EE101" s="41"/>
      <c r="EF101" s="17"/>
      <c r="EG101" s="17"/>
      <c r="EH101" s="17"/>
      <c r="EI101" s="17"/>
      <c r="EJ101" s="17"/>
      <c r="EK101" s="41"/>
      <c r="EL101" s="17"/>
      <c r="EM101" s="17"/>
      <c r="EN101" s="17"/>
      <c r="EO101" s="17"/>
      <c r="EP101" s="17"/>
      <c r="ER101" s="17"/>
      <c r="ES101" s="17"/>
      <c r="ET101" s="17"/>
      <c r="EU101" s="17"/>
      <c r="EV101" s="17"/>
      <c r="EX101" s="374"/>
      <c r="EY101" s="374"/>
      <c r="EZ101" s="374"/>
      <c r="FA101" s="374"/>
      <c r="FB101" s="523"/>
      <c r="FD101" s="374"/>
      <c r="FE101" s="374"/>
      <c r="FF101" s="374"/>
      <c r="FG101" s="374"/>
      <c r="FH101" s="523"/>
      <c r="FJ101" s="374"/>
      <c r="FK101" s="374"/>
      <c r="FL101" s="374"/>
      <c r="FM101" s="374"/>
      <c r="FN101" s="523"/>
    </row>
    <row r="102" spans="2:176" hidden="1" outlineLevel="1">
      <c r="B102" s="25" t="s">
        <v>530</v>
      </c>
      <c r="C102" s="348"/>
      <c r="D102" s="15"/>
      <c r="E102" s="15"/>
      <c r="F102" s="15"/>
      <c r="G102" s="15"/>
      <c r="H102" s="15"/>
      <c r="I102" s="15"/>
      <c r="J102" s="15"/>
      <c r="K102" s="15"/>
      <c r="L102" s="15"/>
      <c r="M102" s="15"/>
      <c r="N102" s="15"/>
      <c r="O102" s="15"/>
      <c r="P102" s="15"/>
      <c r="Q102" s="15"/>
      <c r="R102" s="17"/>
      <c r="S102" s="15"/>
      <c r="T102" s="15"/>
      <c r="U102" s="15"/>
      <c r="V102" s="15"/>
      <c r="W102" s="15"/>
      <c r="X102" s="17"/>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339"/>
      <c r="BA102" s="339"/>
      <c r="BB102" s="339"/>
      <c r="BC102" s="339"/>
      <c r="BD102" s="17"/>
      <c r="BE102" s="17"/>
      <c r="BF102" s="339"/>
      <c r="BG102" s="339"/>
      <c r="BH102" s="339"/>
      <c r="BI102" s="339"/>
      <c r="BJ102" s="339"/>
      <c r="BK102" s="15"/>
      <c r="BL102" s="15"/>
      <c r="BM102" s="15"/>
      <c r="BN102" s="17"/>
      <c r="BO102" s="15"/>
      <c r="BP102" s="15"/>
      <c r="BQ102" s="15"/>
      <c r="BR102" s="15"/>
      <c r="BS102" s="15"/>
      <c r="BT102" s="15"/>
      <c r="BU102" s="15"/>
      <c r="BV102" s="15"/>
      <c r="BW102" s="15"/>
      <c r="BX102" s="15"/>
      <c r="BY102" s="15"/>
      <c r="BZ102" s="15"/>
      <c r="CA102" s="340"/>
      <c r="CB102" s="15"/>
      <c r="CC102" s="338"/>
      <c r="CD102" s="15"/>
      <c r="CE102" s="15"/>
      <c r="CF102" s="15"/>
      <c r="CG102" s="15"/>
      <c r="CH102" s="15"/>
      <c r="CI102" s="15"/>
      <c r="CJ102" s="15"/>
      <c r="CK102" s="15"/>
      <c r="CL102" s="341"/>
      <c r="CM102" s="15"/>
      <c r="CN102" s="15"/>
      <c r="CO102" s="15"/>
      <c r="CP102" s="15"/>
      <c r="CQ102" s="15"/>
      <c r="CR102" s="342"/>
      <c r="CS102" s="342"/>
      <c r="CT102" s="17"/>
      <c r="CU102" s="15"/>
      <c r="CV102" s="109"/>
      <c r="CW102" s="109"/>
      <c r="CX102" s="109"/>
      <c r="CY102" s="109"/>
      <c r="CZ102" s="17"/>
      <c r="DA102" s="354"/>
      <c r="DB102" s="109">
        <v>38.53</v>
      </c>
      <c r="DC102" s="109"/>
      <c r="DD102" s="109"/>
      <c r="DE102" s="109"/>
      <c r="DF102" s="17"/>
      <c r="DG102" s="354"/>
      <c r="DH102" s="109">
        <v>38.53</v>
      </c>
      <c r="DI102" s="17">
        <v>40.847000000000001</v>
      </c>
      <c r="DJ102" s="17">
        <v>39.779000000000003</v>
      </c>
      <c r="DK102" s="17">
        <f>164.888-DJ102-DI102-DH102</f>
        <v>45.731999999999999</v>
      </c>
      <c r="DL102" s="17">
        <f>SUM(DH102:DK102)</f>
        <v>164.88800000000001</v>
      </c>
      <c r="DM102" s="354"/>
      <c r="DN102" s="17">
        <v>49.756</v>
      </c>
      <c r="DO102" s="17">
        <v>54.008000000000003</v>
      </c>
      <c r="DP102" s="17">
        <v>53.555</v>
      </c>
      <c r="DQ102" s="17">
        <f>212.703-DP102-DO102-DN102</f>
        <v>55.383999999999986</v>
      </c>
      <c r="DR102" s="17">
        <f>SUM(DN102:DQ102)</f>
        <v>212.703</v>
      </c>
      <c r="DS102" s="354"/>
      <c r="DT102" s="17">
        <v>54.292000000000002</v>
      </c>
      <c r="DU102" s="17">
        <v>45.244</v>
      </c>
      <c r="DV102" s="17">
        <v>72.896000000000001</v>
      </c>
      <c r="DW102" s="17">
        <f>240.535-DV102-DU102-DT102</f>
        <v>68.103000000000009</v>
      </c>
      <c r="DX102" s="17">
        <f>SUM(DT102:DW102)</f>
        <v>240.53500000000003</v>
      </c>
      <c r="DZ102" s="17">
        <v>60.709000000000003</v>
      </c>
      <c r="EA102" s="17">
        <v>63.137</v>
      </c>
      <c r="EB102" s="17">
        <v>64.194999999999993</v>
      </c>
      <c r="EC102" s="17">
        <f>252.617-EB102-EA102-DZ102</f>
        <v>64.575999999999993</v>
      </c>
      <c r="ED102" s="17">
        <f>SUM(DZ102:EC102)</f>
        <v>252.61699999999999</v>
      </c>
      <c r="EF102" s="17">
        <v>65.013999999999996</v>
      </c>
      <c r="EG102" s="17">
        <v>69.873999999999995</v>
      </c>
      <c r="EH102" s="17">
        <v>73.233999999999995</v>
      </c>
      <c r="EI102" s="17">
        <f>279.732-EH102-EG102-EF102</f>
        <v>71.610000000000056</v>
      </c>
      <c r="EJ102" s="17">
        <f>SUM(EF102:EI102)</f>
        <v>279.73200000000003</v>
      </c>
      <c r="EL102" s="17">
        <v>76.822999999999993</v>
      </c>
      <c r="EM102" s="17">
        <v>83.176000000000002</v>
      </c>
      <c r="EN102" s="17">
        <v>86.16</v>
      </c>
      <c r="EO102" s="17">
        <f>332.894-EN102-EM102-EL102</f>
        <v>86.734999999999999</v>
      </c>
      <c r="EP102" s="17">
        <f>SUM(EL102:EO102)</f>
        <v>332.89400000000001</v>
      </c>
      <c r="ER102" s="17">
        <v>90.483000000000004</v>
      </c>
      <c r="ES102" s="17">
        <v>95.191000000000003</v>
      </c>
      <c r="ET102" s="17">
        <v>99.606999999999999</v>
      </c>
      <c r="EU102" s="17"/>
      <c r="EX102" s="357"/>
      <c r="EY102" s="357"/>
      <c r="EZ102" s="357"/>
      <c r="FA102" s="357"/>
      <c r="FB102" s="355"/>
      <c r="FD102" s="357"/>
      <c r="FE102" s="357"/>
      <c r="FF102" s="357"/>
      <c r="FG102" s="357"/>
      <c r="FH102" s="355"/>
      <c r="FJ102" s="357"/>
      <c r="FK102" s="357"/>
      <c r="FL102" s="357"/>
      <c r="FM102" s="357"/>
      <c r="FN102" s="355"/>
    </row>
    <row r="103" spans="2:176" hidden="1" outlineLevel="1">
      <c r="B103" s="25" t="s">
        <v>531</v>
      </c>
      <c r="C103" s="348"/>
      <c r="D103" s="15"/>
      <c r="E103" s="15"/>
      <c r="F103" s="15"/>
      <c r="G103" s="15"/>
      <c r="H103" s="15"/>
      <c r="I103" s="15"/>
      <c r="J103" s="15"/>
      <c r="K103" s="15"/>
      <c r="L103" s="15"/>
      <c r="M103" s="15"/>
      <c r="N103" s="15"/>
      <c r="O103" s="15"/>
      <c r="P103" s="15"/>
      <c r="Q103" s="15"/>
      <c r="R103" s="17"/>
      <c r="S103" s="15"/>
      <c r="T103" s="15"/>
      <c r="U103" s="15"/>
      <c r="V103" s="15"/>
      <c r="W103" s="15"/>
      <c r="X103" s="17"/>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339"/>
      <c r="BA103" s="339"/>
      <c r="BB103" s="339"/>
      <c r="BC103" s="339"/>
      <c r="BD103" s="17"/>
      <c r="BE103" s="17"/>
      <c r="BF103" s="339"/>
      <c r="BG103" s="339"/>
      <c r="BH103" s="339"/>
      <c r="BI103" s="339"/>
      <c r="BJ103" s="339"/>
      <c r="BK103" s="15"/>
      <c r="BL103" s="15"/>
      <c r="BM103" s="15"/>
      <c r="BN103" s="17"/>
      <c r="BO103" s="15"/>
      <c r="BP103" s="15"/>
      <c r="BQ103" s="15"/>
      <c r="BR103" s="15"/>
      <c r="BS103" s="15"/>
      <c r="BT103" s="15"/>
      <c r="BU103" s="15"/>
      <c r="BV103" s="15"/>
      <c r="BW103" s="15"/>
      <c r="BX103" s="15"/>
      <c r="BY103" s="15"/>
      <c r="BZ103" s="15"/>
      <c r="CA103" s="340"/>
      <c r="CB103" s="15"/>
      <c r="CC103" s="338"/>
      <c r="CD103" s="15"/>
      <c r="CE103" s="15"/>
      <c r="CF103" s="15"/>
      <c r="CG103" s="15"/>
      <c r="CH103" s="15"/>
      <c r="CI103" s="15"/>
      <c r="CJ103" s="15"/>
      <c r="CK103" s="15"/>
      <c r="CL103" s="341"/>
      <c r="CM103" s="15"/>
      <c r="CN103" s="15"/>
      <c r="CO103" s="15"/>
      <c r="CP103" s="15"/>
      <c r="CQ103" s="15"/>
      <c r="CR103" s="342"/>
      <c r="CS103" s="342"/>
      <c r="CT103" s="17"/>
      <c r="CU103" s="15"/>
      <c r="CV103" s="109"/>
      <c r="CW103" s="109"/>
      <c r="CX103" s="109"/>
      <c r="CY103" s="109"/>
      <c r="CZ103" s="17"/>
      <c r="DA103" s="354"/>
      <c r="DB103" s="109">
        <v>10.326000000000001</v>
      </c>
      <c r="DC103" s="109"/>
      <c r="DD103" s="109"/>
      <c r="DE103" s="109"/>
      <c r="DF103" s="17"/>
      <c r="DG103" s="354"/>
      <c r="DH103" s="109">
        <v>10.326000000000001</v>
      </c>
      <c r="DI103" s="17">
        <v>8.9809999999999999</v>
      </c>
      <c r="DJ103" s="17">
        <v>10.253</v>
      </c>
      <c r="DK103" s="17">
        <f>40.36-DJ103-DI103-DH103</f>
        <v>10.799999999999997</v>
      </c>
      <c r="DL103" s="17">
        <f>SUM(DH103:DK103)</f>
        <v>40.36</v>
      </c>
      <c r="DM103" s="354"/>
      <c r="DN103" s="17">
        <v>20.433</v>
      </c>
      <c r="DO103" s="17">
        <v>20.893999999999998</v>
      </c>
      <c r="DP103" s="17">
        <v>20.956</v>
      </c>
      <c r="DQ103" s="17">
        <f>83.107-DP103-DO103-DN103</f>
        <v>20.823999999999998</v>
      </c>
      <c r="DR103" s="17">
        <f>SUM(DN103:DQ103)</f>
        <v>83.106999999999999</v>
      </c>
      <c r="DS103" s="354"/>
      <c r="DT103" s="17">
        <v>21.992999999999999</v>
      </c>
      <c r="DU103" s="17">
        <v>15.148</v>
      </c>
      <c r="DV103" s="17">
        <v>19.218</v>
      </c>
      <c r="DW103" s="17">
        <f>76.55-DV103-DU103-DT103</f>
        <v>20.190999999999999</v>
      </c>
      <c r="DX103" s="17">
        <f>SUM(DT103:DW103)</f>
        <v>76.55</v>
      </c>
      <c r="DZ103" s="17">
        <v>18.574000000000002</v>
      </c>
      <c r="EA103" s="17">
        <v>20.527999999999999</v>
      </c>
      <c r="EB103" s="17">
        <v>19.539000000000001</v>
      </c>
      <c r="EC103" s="17">
        <f>78.773-EB103-EA103-DZ103</f>
        <v>20.131999999999994</v>
      </c>
      <c r="ED103" s="17">
        <f>SUM(DZ103:EC103)</f>
        <v>78.772999999999996</v>
      </c>
      <c r="EF103" s="17">
        <v>18.288</v>
      </c>
      <c r="EG103" s="17">
        <v>18.512</v>
      </c>
      <c r="EH103" s="17">
        <v>17.105</v>
      </c>
      <c r="EI103" s="17">
        <f>73.28-EH103-EG103-EF103</f>
        <v>19.374999999999996</v>
      </c>
      <c r="EJ103" s="17">
        <f>SUM(EF103:EI103)</f>
        <v>73.28</v>
      </c>
      <c r="EL103" s="17">
        <v>21.355</v>
      </c>
      <c r="EM103" s="17">
        <v>21.695</v>
      </c>
      <c r="EN103" s="17">
        <v>21.722000000000001</v>
      </c>
      <c r="EO103" s="17">
        <f>88.022-EN103-EM103-EL103</f>
        <v>23.250000000000011</v>
      </c>
      <c r="EP103" s="17">
        <f>SUM(EL103:EO103)</f>
        <v>88.022000000000006</v>
      </c>
      <c r="ER103" s="17">
        <v>23.603999999999999</v>
      </c>
      <c r="ES103" s="17">
        <v>24.843</v>
      </c>
      <c r="ET103" s="17">
        <v>24.667000000000002</v>
      </c>
      <c r="EU103" s="17"/>
      <c r="EV103" s="17"/>
      <c r="EX103" s="357"/>
      <c r="EY103" s="357"/>
      <c r="EZ103" s="357"/>
      <c r="FA103" s="357"/>
      <c r="FB103" s="355"/>
      <c r="FD103" s="357"/>
      <c r="FE103" s="357"/>
      <c r="FF103" s="357"/>
      <c r="FG103" s="357"/>
      <c r="FH103" s="355"/>
      <c r="FJ103" s="357"/>
      <c r="FK103" s="357"/>
      <c r="FL103" s="357"/>
      <c r="FM103" s="357"/>
      <c r="FN103" s="355"/>
    </row>
    <row r="104" spans="2:176" hidden="1" outlineLevel="1">
      <c r="B104" s="25" t="s">
        <v>532</v>
      </c>
      <c r="C104" s="348"/>
      <c r="D104" s="15"/>
      <c r="E104" s="15"/>
      <c r="F104" s="15"/>
      <c r="G104" s="15"/>
      <c r="H104" s="15"/>
      <c r="I104" s="15"/>
      <c r="J104" s="15"/>
      <c r="K104" s="15"/>
      <c r="L104" s="15"/>
      <c r="M104" s="15"/>
      <c r="N104" s="15"/>
      <c r="O104" s="15"/>
      <c r="P104" s="15"/>
      <c r="Q104" s="15"/>
      <c r="R104" s="17"/>
      <c r="S104" s="15"/>
      <c r="T104" s="15"/>
      <c r="U104" s="15"/>
      <c r="V104" s="15"/>
      <c r="W104" s="15"/>
      <c r="X104" s="17"/>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339"/>
      <c r="BA104" s="339"/>
      <c r="BB104" s="339"/>
      <c r="BC104" s="339"/>
      <c r="BD104" s="17"/>
      <c r="BE104" s="17"/>
      <c r="BF104" s="339"/>
      <c r="BG104" s="339"/>
      <c r="BH104" s="339"/>
      <c r="BI104" s="339"/>
      <c r="BJ104" s="339"/>
      <c r="BK104" s="15"/>
      <c r="BL104" s="15"/>
      <c r="BM104" s="15"/>
      <c r="BN104" s="17"/>
      <c r="BO104" s="15"/>
      <c r="BP104" s="15"/>
      <c r="BQ104" s="15"/>
      <c r="BR104" s="15"/>
      <c r="BS104" s="15"/>
      <c r="BT104" s="15"/>
      <c r="BU104" s="15"/>
      <c r="BV104" s="15"/>
      <c r="BW104" s="15"/>
      <c r="BX104" s="15"/>
      <c r="BY104" s="15"/>
      <c r="BZ104" s="15"/>
      <c r="CA104" s="340"/>
      <c r="CB104" s="15"/>
      <c r="CC104" s="338"/>
      <c r="CD104" s="15"/>
      <c r="CE104" s="15"/>
      <c r="CF104" s="15"/>
      <c r="CG104" s="15"/>
      <c r="CH104" s="15"/>
      <c r="CI104" s="15"/>
      <c r="CJ104" s="15"/>
      <c r="CK104" s="15"/>
      <c r="CL104" s="341"/>
      <c r="CM104" s="15"/>
      <c r="CN104" s="15"/>
      <c r="CO104" s="15"/>
      <c r="CP104" s="15"/>
      <c r="CQ104" s="15"/>
      <c r="CR104" s="342"/>
      <c r="CS104" s="342"/>
      <c r="CT104" s="17"/>
      <c r="CU104" s="15"/>
      <c r="CV104" s="109"/>
      <c r="CW104" s="109"/>
      <c r="CX104" s="109"/>
      <c r="CY104" s="109"/>
      <c r="CZ104" s="17"/>
      <c r="DA104" s="354"/>
      <c r="DB104" s="109">
        <v>8.0839999999999996</v>
      </c>
      <c r="DC104" s="109"/>
      <c r="DD104" s="109"/>
      <c r="DE104" s="109"/>
      <c r="DF104" s="17"/>
      <c r="DG104" s="354"/>
      <c r="DH104" s="109">
        <v>8.0839999999999996</v>
      </c>
      <c r="DI104" s="17">
        <v>9.0239999999999991</v>
      </c>
      <c r="DJ104" s="17">
        <v>8.6029999999999998</v>
      </c>
      <c r="DK104" s="17">
        <f>35.566-DJ104-DI104-DH104</f>
        <v>9.8550000000000004</v>
      </c>
      <c r="DL104" s="17">
        <f>SUM(DH104:DK104)</f>
        <v>35.566000000000003</v>
      </c>
      <c r="DM104" s="354"/>
      <c r="DN104" s="17">
        <v>15.792999999999999</v>
      </c>
      <c r="DO104" s="17">
        <v>13.718999999999999</v>
      </c>
      <c r="DP104" s="17">
        <v>17.818000000000001</v>
      </c>
      <c r="DQ104" s="17">
        <f>64.745-DP104-DO104-DN104</f>
        <v>17.415000000000006</v>
      </c>
      <c r="DR104" s="17">
        <f>SUM(DN104:DQ104)</f>
        <v>64.745000000000005</v>
      </c>
      <c r="DS104" s="354"/>
      <c r="DT104" s="17">
        <v>16.483000000000001</v>
      </c>
      <c r="DU104" s="17">
        <v>13.541</v>
      </c>
      <c r="DV104" s="17">
        <v>16.46</v>
      </c>
      <c r="DW104" s="17">
        <f>64.776-DV104-DU104-DT104</f>
        <v>18.291999999999991</v>
      </c>
      <c r="DX104" s="17">
        <f>SUM(DT104:DW104)</f>
        <v>64.775999999999996</v>
      </c>
      <c r="DZ104" s="17">
        <v>17.149999999999999</v>
      </c>
      <c r="EA104" s="17">
        <v>17.484000000000002</v>
      </c>
      <c r="EB104" s="17">
        <v>18.295000000000002</v>
      </c>
      <c r="EC104" s="17">
        <f>72.01-EB104-EA104-DZ104</f>
        <v>19.081000000000003</v>
      </c>
      <c r="ED104" s="17">
        <f>SUM(DZ104:EC104)</f>
        <v>72.010000000000005</v>
      </c>
      <c r="EF104" s="17">
        <v>15.465</v>
      </c>
      <c r="EG104" s="17">
        <v>17.167000000000002</v>
      </c>
      <c r="EH104" s="17">
        <v>15.795</v>
      </c>
      <c r="EI104" s="17">
        <f>65.585-EH104-EG104-EF104</f>
        <v>17.157999999999991</v>
      </c>
      <c r="EJ104" s="17">
        <f>SUM(EF104:EI104)</f>
        <v>65.584999999999994</v>
      </c>
      <c r="EL104" s="17">
        <v>16.587</v>
      </c>
      <c r="EM104" s="17">
        <v>18.196000000000002</v>
      </c>
      <c r="EN104" s="17">
        <v>19.623999999999999</v>
      </c>
      <c r="EO104" s="17">
        <f>74.37-EN104-EM104-EL104</f>
        <v>19.963000000000012</v>
      </c>
      <c r="EP104" s="17">
        <f>SUM(EL104:EO104)</f>
        <v>74.37</v>
      </c>
      <c r="ER104" s="17">
        <v>20.369</v>
      </c>
      <c r="ES104" s="17">
        <v>21.196999999999999</v>
      </c>
      <c r="ET104" s="17">
        <v>21.291</v>
      </c>
      <c r="EU104" s="17"/>
      <c r="EV104" s="17"/>
      <c r="EX104" s="357"/>
      <c r="EY104" s="357"/>
      <c r="EZ104" s="357"/>
      <c r="FA104" s="357"/>
      <c r="FB104" s="355"/>
      <c r="FD104" s="357"/>
      <c r="FE104" s="357"/>
      <c r="FF104" s="357"/>
      <c r="FG104" s="357"/>
      <c r="FH104" s="355"/>
      <c r="FJ104" s="357"/>
      <c r="FK104" s="357"/>
      <c r="FL104" s="357"/>
      <c r="FM104" s="357"/>
      <c r="FN104" s="355"/>
    </row>
    <row r="105" spans="2:176" hidden="1" outlineLevel="1">
      <c r="B105" s="25" t="s">
        <v>533</v>
      </c>
      <c r="C105" s="348"/>
      <c r="D105" s="15"/>
      <c r="E105" s="15"/>
      <c r="F105" s="15"/>
      <c r="G105" s="15"/>
      <c r="H105" s="15"/>
      <c r="I105" s="15"/>
      <c r="J105" s="15"/>
      <c r="K105" s="15"/>
      <c r="L105" s="15"/>
      <c r="M105" s="15"/>
      <c r="N105" s="15"/>
      <c r="O105" s="15"/>
      <c r="P105" s="15"/>
      <c r="Q105" s="15"/>
      <c r="R105" s="17"/>
      <c r="S105" s="15"/>
      <c r="T105" s="15"/>
      <c r="U105" s="15"/>
      <c r="V105" s="15"/>
      <c r="W105" s="15"/>
      <c r="X105" s="17"/>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339"/>
      <c r="BA105" s="339"/>
      <c r="BB105" s="339"/>
      <c r="BC105" s="339"/>
      <c r="BD105" s="17"/>
      <c r="BE105" s="17"/>
      <c r="BF105" s="339"/>
      <c r="BG105" s="339"/>
      <c r="BH105" s="339"/>
      <c r="BI105" s="339"/>
      <c r="BJ105" s="339"/>
      <c r="BK105" s="15"/>
      <c r="BL105" s="15"/>
      <c r="BM105" s="15"/>
      <c r="BN105" s="17"/>
      <c r="BO105" s="15"/>
      <c r="BP105" s="15"/>
      <c r="BQ105" s="15"/>
      <c r="BR105" s="15"/>
      <c r="BS105" s="15"/>
      <c r="BT105" s="15"/>
      <c r="BU105" s="15"/>
      <c r="BV105" s="15"/>
      <c r="BW105" s="15"/>
      <c r="BX105" s="15"/>
      <c r="BY105" s="15"/>
      <c r="BZ105" s="15"/>
      <c r="CA105" s="340"/>
      <c r="CB105" s="15"/>
      <c r="CC105" s="338"/>
      <c r="CD105" s="15"/>
      <c r="CE105" s="15"/>
      <c r="CF105" s="15"/>
      <c r="CG105" s="15"/>
      <c r="CH105" s="15"/>
      <c r="CI105" s="15"/>
      <c r="CJ105" s="15"/>
      <c r="CK105" s="15"/>
      <c r="CL105" s="341"/>
      <c r="CM105" s="15"/>
      <c r="CN105" s="15"/>
      <c r="CO105" s="15"/>
      <c r="CP105" s="15"/>
      <c r="CQ105" s="15"/>
      <c r="CR105" s="342"/>
      <c r="CS105" s="342"/>
      <c r="CT105" s="17"/>
      <c r="CU105" s="15"/>
      <c r="CV105" s="109"/>
      <c r="CW105" s="109"/>
      <c r="CX105" s="109"/>
      <c r="CY105" s="109"/>
      <c r="CZ105" s="17"/>
      <c r="DA105" s="354"/>
      <c r="DB105" s="109">
        <v>3.1E-2</v>
      </c>
      <c r="DC105" s="109"/>
      <c r="DD105" s="109"/>
      <c r="DE105" s="109"/>
      <c r="DF105" s="17"/>
      <c r="DG105" s="354"/>
      <c r="DH105" s="109">
        <v>3.1E-2</v>
      </c>
      <c r="DI105" s="17">
        <v>0.68799999999999994</v>
      </c>
      <c r="DJ105" s="17">
        <v>0.81399999999999995</v>
      </c>
      <c r="DK105" s="17">
        <f>1.059-DJ105-DI105-DH105</f>
        <v>-0.47399999999999998</v>
      </c>
      <c r="DL105" s="17">
        <f>SUM(DH105:DK105)</f>
        <v>1.0589999999999999</v>
      </c>
      <c r="DM105" s="354"/>
      <c r="DN105" s="17">
        <v>0.22800000000000001</v>
      </c>
      <c r="DO105" s="17">
        <v>0.36099999999999999</v>
      </c>
      <c r="DP105" s="17">
        <v>0.23599999999999999</v>
      </c>
      <c r="DQ105" s="17">
        <f>0.606-DP105-DO105-DN105</f>
        <v>-0.219</v>
      </c>
      <c r="DR105" s="17">
        <f>SUM(DN105:DQ105)</f>
        <v>0.60599999999999998</v>
      </c>
      <c r="DS105" s="354"/>
      <c r="DT105" s="17">
        <v>0.214</v>
      </c>
      <c r="DU105" s="17">
        <v>-4.9000000000000002E-2</v>
      </c>
      <c r="DV105" s="17">
        <v>0.159</v>
      </c>
      <c r="DW105" s="17">
        <f>0.476-DV105-DU105-DT105</f>
        <v>0.15199999999999994</v>
      </c>
      <c r="DX105" s="17">
        <f>SUM(DT105:DW105)</f>
        <v>0.47599999999999987</v>
      </c>
      <c r="DZ105" s="17">
        <v>5.3999999999999999E-2</v>
      </c>
      <c r="EA105" s="17">
        <v>0.25600000000000001</v>
      </c>
      <c r="EB105" s="17">
        <v>0.19800000000000001</v>
      </c>
      <c r="EC105" s="17">
        <f>0.772-EB105-EA105-DZ105</f>
        <v>0.26400000000000007</v>
      </c>
      <c r="ED105" s="17">
        <f>SUM(DZ105:EC105)</f>
        <v>0.77200000000000002</v>
      </c>
      <c r="EF105" s="17">
        <v>2.4E-2</v>
      </c>
      <c r="EG105" s="17">
        <v>8.2000000000000003E-2</v>
      </c>
      <c r="EH105" s="17">
        <v>2.8000000000000001E-2</v>
      </c>
      <c r="EI105" s="17">
        <f>0.157-EH105-EG105-EF105</f>
        <v>2.3E-2</v>
      </c>
      <c r="EJ105" s="17">
        <f>SUM(EF105:EI105)</f>
        <v>0.157</v>
      </c>
      <c r="EL105" s="17">
        <v>0.104</v>
      </c>
      <c r="EM105" s="17">
        <v>8.8999999999999996E-2</v>
      </c>
      <c r="EN105" s="17">
        <v>4.7E-2</v>
      </c>
      <c r="EO105" s="17">
        <f>0.35-EN105-EM105-EL105</f>
        <v>0.11</v>
      </c>
      <c r="EP105" s="17">
        <f>SUM(EL105:EO105)</f>
        <v>0.35</v>
      </c>
      <c r="ER105" s="17">
        <v>7.9000000000000001E-2</v>
      </c>
      <c r="ES105" s="17">
        <v>0.157</v>
      </c>
      <c r="ET105" s="17">
        <v>0.218</v>
      </c>
      <c r="EU105" s="17"/>
      <c r="EV105" s="17"/>
      <c r="EX105" s="357"/>
      <c r="EY105" s="357"/>
      <c r="EZ105" s="357"/>
      <c r="FA105" s="357"/>
      <c r="FB105" s="355"/>
      <c r="FD105" s="357"/>
      <c r="FE105" s="357"/>
      <c r="FF105" s="357"/>
      <c r="FG105" s="357"/>
      <c r="FH105" s="355"/>
      <c r="FJ105" s="357"/>
      <c r="FK105" s="357"/>
      <c r="FL105" s="357"/>
      <c r="FM105" s="357"/>
      <c r="FN105" s="355"/>
    </row>
    <row r="106" spans="2:176" s="381" customFormat="1" hidden="1" outlineLevel="1">
      <c r="B106" s="378" t="s">
        <v>658</v>
      </c>
      <c r="C106" s="382"/>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c r="AK106" s="378"/>
      <c r="AL106" s="378"/>
      <c r="AM106" s="378"/>
      <c r="AN106" s="378"/>
      <c r="AO106" s="378"/>
      <c r="AP106" s="378"/>
      <c r="AQ106" s="378"/>
      <c r="AR106" s="378"/>
      <c r="AS106" s="378"/>
      <c r="AT106" s="378"/>
      <c r="AU106" s="378"/>
      <c r="AV106" s="378"/>
      <c r="AW106" s="378"/>
      <c r="AX106" s="378"/>
      <c r="AY106" s="378"/>
      <c r="AZ106" s="383"/>
      <c r="BA106" s="383"/>
      <c r="BB106" s="383"/>
      <c r="BC106" s="383"/>
      <c r="BD106" s="378"/>
      <c r="BE106" s="378"/>
      <c r="BF106" s="383"/>
      <c r="BG106" s="383"/>
      <c r="BH106" s="383"/>
      <c r="BI106" s="383"/>
      <c r="BJ106" s="383"/>
      <c r="BK106" s="378"/>
      <c r="BL106" s="378"/>
      <c r="BM106" s="378"/>
      <c r="BN106" s="378"/>
      <c r="BO106" s="378"/>
      <c r="BP106" s="378"/>
      <c r="BQ106" s="378"/>
      <c r="BR106" s="378"/>
      <c r="BS106" s="378"/>
      <c r="BT106" s="378"/>
      <c r="BU106" s="378"/>
      <c r="BV106" s="378"/>
      <c r="BW106" s="378"/>
      <c r="BX106" s="378"/>
      <c r="BY106" s="378"/>
      <c r="BZ106" s="378"/>
      <c r="CA106" s="379"/>
      <c r="CB106" s="378"/>
      <c r="CC106" s="384"/>
      <c r="CD106" s="378"/>
      <c r="CE106" s="378"/>
      <c r="CF106" s="378"/>
      <c r="CG106" s="378"/>
      <c r="CH106" s="378"/>
      <c r="CI106" s="378"/>
      <c r="CJ106" s="378"/>
      <c r="CK106" s="378"/>
      <c r="CL106" s="378"/>
      <c r="CM106" s="378"/>
      <c r="CN106" s="378"/>
      <c r="CO106" s="378"/>
      <c r="CP106" s="378"/>
      <c r="CQ106" s="378"/>
      <c r="CR106" s="378"/>
      <c r="CS106" s="378"/>
      <c r="CT106" s="378"/>
      <c r="CU106" s="378"/>
      <c r="CV106" s="379"/>
      <c r="CW106" s="379"/>
      <c r="CX106" s="379"/>
      <c r="CY106" s="379"/>
      <c r="CZ106" s="378"/>
      <c r="DA106" s="378"/>
      <c r="DB106" s="385">
        <f>SUM(DB102:DB105)</f>
        <v>56.970999999999997</v>
      </c>
      <c r="DC106" s="379"/>
      <c r="DD106" s="379"/>
      <c r="DE106" s="379"/>
      <c r="DF106" s="378"/>
      <c r="DG106" s="378"/>
      <c r="DH106" s="385">
        <f>SUM(DH102:DH105)</f>
        <v>56.970999999999997</v>
      </c>
      <c r="DI106" s="385">
        <f>SUM(DI102:DI105)</f>
        <v>59.540000000000006</v>
      </c>
      <c r="DJ106" s="385">
        <f>SUM(DJ102:DJ105)</f>
        <v>59.449000000000005</v>
      </c>
      <c r="DK106" s="385">
        <f>SUM(DK102:DK105)</f>
        <v>65.912999999999997</v>
      </c>
      <c r="DL106" s="67">
        <f>SUM(DL102:DL105)</f>
        <v>241.87299999999999</v>
      </c>
      <c r="DM106" s="378"/>
      <c r="DN106" s="385">
        <f>SUM(DN102:DN105)</f>
        <v>86.21</v>
      </c>
      <c r="DO106" s="385">
        <f>SUM(DO102:DO105)</f>
        <v>88.981999999999999</v>
      </c>
      <c r="DP106" s="385">
        <f>SUM(DP102:DP105)</f>
        <v>92.564999999999998</v>
      </c>
      <c r="DQ106" s="385">
        <f>SUM(DQ102:DQ105)</f>
        <v>93.403999999999996</v>
      </c>
      <c r="DR106" s="67">
        <f>SUM(DR102:DR105)</f>
        <v>361.161</v>
      </c>
      <c r="DS106" s="378"/>
      <c r="DT106" s="385">
        <f>SUM(DT102:DT105)</f>
        <v>92.981999999999999</v>
      </c>
      <c r="DU106" s="385">
        <f>SUM(DU102:DU105)</f>
        <v>73.883999999999986</v>
      </c>
      <c r="DV106" s="385">
        <f>SUM(DV102:DV105)</f>
        <v>108.73300000000002</v>
      </c>
      <c r="DW106" s="385">
        <f>SUM(DW102:DW105)</f>
        <v>106.738</v>
      </c>
      <c r="DX106" s="67">
        <f>SUM(DX102:DX105)</f>
        <v>382.33700000000005</v>
      </c>
      <c r="DZ106" s="385">
        <f>SUM(DZ102:DZ105)</f>
        <v>96.486999999999995</v>
      </c>
      <c r="EA106" s="385">
        <f>SUM(EA102:EA105)</f>
        <v>101.405</v>
      </c>
      <c r="EB106" s="385">
        <f>SUM(EB102:EB105)</f>
        <v>102.22699999999999</v>
      </c>
      <c r="EC106" s="385">
        <f>SUM(EC102:EC105)</f>
        <v>104.05299999999998</v>
      </c>
      <c r="ED106" s="385">
        <f>SUM(ED102:ED105)</f>
        <v>404.17199999999997</v>
      </c>
      <c r="EE106" s="386"/>
      <c r="EF106" s="385">
        <f>SUM(EF102:EF105)</f>
        <v>98.790999999999997</v>
      </c>
      <c r="EG106" s="385">
        <f>SUM(EG102:EG105)</f>
        <v>105.63499999999999</v>
      </c>
      <c r="EH106" s="385">
        <f>SUM(EH102:EH105)</f>
        <v>106.16200000000001</v>
      </c>
      <c r="EI106" s="385">
        <f>SUM(EI102:EI105)</f>
        <v>108.16600000000004</v>
      </c>
      <c r="EJ106" s="385">
        <f>SUM(EJ102:EJ105)</f>
        <v>418.75400000000002</v>
      </c>
      <c r="EK106" s="386"/>
      <c r="EL106" s="385">
        <f>SUM(EL102:EL105)</f>
        <v>114.869</v>
      </c>
      <c r="EM106" s="385">
        <f>SUM(EM102:EM105)</f>
        <v>123.15600000000001</v>
      </c>
      <c r="EN106" s="385">
        <f>SUM(EN102:EN105)</f>
        <v>127.553</v>
      </c>
      <c r="EO106" s="385">
        <f>SUM(EO102:EO105)</f>
        <v>130.05800000000005</v>
      </c>
      <c r="EP106" s="385">
        <f>SUM(EP102:EP105)</f>
        <v>495.63600000000002</v>
      </c>
      <c r="ER106" s="385">
        <f>SUM(ER102:ER105)</f>
        <v>134.53500000000003</v>
      </c>
      <c r="ES106" s="385">
        <f>SUM(ES102:ES105)</f>
        <v>141.38800000000001</v>
      </c>
      <c r="ET106" s="385">
        <f>SUM(ET102:ET105)</f>
        <v>145.78299999999999</v>
      </c>
      <c r="EU106" s="385"/>
      <c r="EV106" s="385"/>
      <c r="EX106" s="382"/>
      <c r="EY106" s="382"/>
      <c r="EZ106" s="382"/>
      <c r="FA106" s="382"/>
      <c r="FB106" s="388"/>
      <c r="FD106" s="382"/>
      <c r="FE106" s="382"/>
      <c r="FF106" s="382"/>
      <c r="FG106" s="382"/>
      <c r="FH106" s="388"/>
      <c r="FJ106" s="382"/>
      <c r="FK106" s="382"/>
      <c r="FL106" s="382"/>
      <c r="FM106" s="382"/>
      <c r="FN106" s="388"/>
    </row>
    <row r="107" spans="2:176" s="372" customFormat="1" hidden="1" outlineLevel="1">
      <c r="B107" s="373"/>
      <c r="C107" s="348"/>
      <c r="D107" s="373"/>
      <c r="E107" s="373"/>
      <c r="F107" s="373"/>
      <c r="G107" s="373"/>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5"/>
      <c r="BA107" s="375"/>
      <c r="BB107" s="375"/>
      <c r="BC107" s="375"/>
      <c r="BD107" s="373"/>
      <c r="BE107" s="373"/>
      <c r="BF107" s="375"/>
      <c r="BG107" s="375"/>
      <c r="BH107" s="375"/>
      <c r="BI107" s="375"/>
      <c r="BJ107" s="375"/>
      <c r="BK107" s="373"/>
      <c r="BL107" s="373"/>
      <c r="BM107" s="373"/>
      <c r="BN107" s="373"/>
      <c r="BO107" s="373"/>
      <c r="BP107" s="373"/>
      <c r="BQ107" s="373"/>
      <c r="BR107" s="373"/>
      <c r="BS107" s="373"/>
      <c r="BT107" s="373"/>
      <c r="BU107" s="373"/>
      <c r="BV107" s="373"/>
      <c r="BW107" s="373"/>
      <c r="BX107" s="373"/>
      <c r="BY107" s="373"/>
      <c r="BZ107" s="373"/>
      <c r="CA107" s="376"/>
      <c r="CB107" s="373"/>
      <c r="CC107" s="377"/>
      <c r="CD107" s="373"/>
      <c r="CE107" s="373"/>
      <c r="CF107" s="373"/>
      <c r="CG107" s="373"/>
      <c r="CH107" s="373"/>
      <c r="CI107" s="373"/>
      <c r="CJ107" s="373"/>
      <c r="CK107" s="373"/>
      <c r="CL107" s="373"/>
      <c r="CM107" s="373"/>
      <c r="CN107" s="373"/>
      <c r="CO107" s="373"/>
      <c r="CP107" s="373"/>
      <c r="CQ107" s="373"/>
      <c r="CR107" s="373"/>
      <c r="CS107" s="373"/>
      <c r="CT107" s="373"/>
      <c r="CU107" s="373"/>
      <c r="CV107" s="376"/>
      <c r="CW107" s="376"/>
      <c r="CX107" s="376"/>
      <c r="CY107" s="376"/>
      <c r="CZ107" s="373"/>
      <c r="DA107" s="373"/>
      <c r="DB107" s="376"/>
      <c r="DC107" s="376"/>
      <c r="DD107" s="376"/>
      <c r="DE107" s="376"/>
      <c r="DF107" s="373"/>
      <c r="DG107" s="373"/>
      <c r="DH107" s="17"/>
      <c r="DI107" s="17"/>
      <c r="DJ107" s="17"/>
      <c r="DK107" s="17"/>
      <c r="DL107" s="17"/>
      <c r="DM107" s="373"/>
      <c r="DN107" s="17"/>
      <c r="DO107" s="17"/>
      <c r="DP107" s="17"/>
      <c r="DQ107" s="17"/>
      <c r="DR107" s="17"/>
      <c r="DS107" s="354"/>
      <c r="DT107" s="17"/>
      <c r="DU107" s="17"/>
      <c r="DV107" s="17"/>
      <c r="DW107" s="17"/>
      <c r="DX107" s="17"/>
      <c r="DY107" s="31"/>
      <c r="DZ107" s="17"/>
      <c r="EA107" s="17"/>
      <c r="EB107" s="17"/>
      <c r="EC107" s="17"/>
      <c r="ED107" s="17"/>
      <c r="EE107" s="41"/>
      <c r="EF107" s="17"/>
      <c r="EG107" s="17"/>
      <c r="EH107" s="17"/>
      <c r="EI107" s="17"/>
      <c r="EJ107" s="17"/>
      <c r="EK107" s="41"/>
      <c r="EL107" s="17"/>
      <c r="EM107" s="17"/>
      <c r="EN107" s="17"/>
      <c r="EO107" s="17"/>
      <c r="EP107" s="17"/>
      <c r="ER107" s="17"/>
      <c r="ES107" s="17"/>
      <c r="ET107" s="17"/>
      <c r="EU107" s="17"/>
      <c r="EV107" s="17"/>
      <c r="EX107" s="374"/>
      <c r="EY107" s="374"/>
      <c r="EZ107" s="374"/>
      <c r="FA107" s="374"/>
      <c r="FB107" s="523"/>
      <c r="FD107" s="374"/>
      <c r="FE107" s="374"/>
      <c r="FF107" s="374"/>
      <c r="FG107" s="374"/>
      <c r="FH107" s="523"/>
      <c r="FJ107" s="374"/>
      <c r="FK107" s="374"/>
      <c r="FL107" s="374"/>
      <c r="FM107" s="374"/>
      <c r="FN107" s="523"/>
    </row>
    <row r="108" spans="2:176" s="372" customFormat="1" hidden="1" outlineLevel="1">
      <c r="B108" s="25" t="s">
        <v>530</v>
      </c>
      <c r="C108" s="348"/>
      <c r="D108" s="373"/>
      <c r="E108" s="373"/>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5"/>
      <c r="BA108" s="375"/>
      <c r="BB108" s="375"/>
      <c r="BC108" s="375"/>
      <c r="BD108" s="373"/>
      <c r="BE108" s="373"/>
      <c r="BF108" s="375"/>
      <c r="BG108" s="375"/>
      <c r="BH108" s="375"/>
      <c r="BI108" s="375"/>
      <c r="BJ108" s="375"/>
      <c r="BK108" s="373"/>
      <c r="BL108" s="373"/>
      <c r="BM108" s="373"/>
      <c r="BN108" s="373"/>
      <c r="BO108" s="373"/>
      <c r="BP108" s="373"/>
      <c r="BQ108" s="373"/>
      <c r="BR108" s="373"/>
      <c r="BS108" s="373"/>
      <c r="BT108" s="373"/>
      <c r="BU108" s="373"/>
      <c r="BV108" s="373"/>
      <c r="BW108" s="373"/>
      <c r="BX108" s="373"/>
      <c r="BY108" s="373"/>
      <c r="BZ108" s="373"/>
      <c r="CA108" s="376"/>
      <c r="CB108" s="373"/>
      <c r="CC108" s="377"/>
      <c r="CD108" s="373"/>
      <c r="CE108" s="373"/>
      <c r="CF108" s="373"/>
      <c r="CG108" s="373"/>
      <c r="CH108" s="373"/>
      <c r="CI108" s="373"/>
      <c r="CJ108" s="373"/>
      <c r="CK108" s="373"/>
      <c r="CL108" s="373"/>
      <c r="CM108" s="373"/>
      <c r="CN108" s="373"/>
      <c r="CO108" s="373"/>
      <c r="CP108" s="373"/>
      <c r="CQ108" s="373"/>
      <c r="CR108" s="373"/>
      <c r="CS108" s="373"/>
      <c r="CT108" s="373"/>
      <c r="CU108" s="373"/>
      <c r="CV108" s="376"/>
      <c r="CW108" s="376"/>
      <c r="CX108" s="376"/>
      <c r="CY108" s="376"/>
      <c r="CZ108" s="373"/>
      <c r="DA108" s="373"/>
      <c r="DB108" s="376"/>
      <c r="DC108" s="376"/>
      <c r="DD108" s="376"/>
      <c r="DE108" s="376"/>
      <c r="DF108" s="373"/>
      <c r="DG108" s="373"/>
      <c r="DH108" s="20">
        <f t="shared" ref="DH108:DL111" si="29">DH102/DH$106</f>
        <v>0.67630899931544131</v>
      </c>
      <c r="DI108" s="20">
        <f t="shared" si="29"/>
        <v>0.68604299630500498</v>
      </c>
      <c r="DJ108" s="20">
        <f t="shared" si="29"/>
        <v>0.66912816027182964</v>
      </c>
      <c r="DK108" s="20">
        <f t="shared" si="29"/>
        <v>0.69382367666469436</v>
      </c>
      <c r="DL108" s="20">
        <f t="shared" si="29"/>
        <v>0.68171313044448956</v>
      </c>
      <c r="DM108" s="373"/>
      <c r="DN108" s="20">
        <f t="shared" ref="DN108:DR111" si="30">DN102/DN$106</f>
        <v>0.57714882264238487</v>
      </c>
      <c r="DO108" s="20">
        <f t="shared" si="30"/>
        <v>0.60695421545930639</v>
      </c>
      <c r="DP108" s="20">
        <f t="shared" si="30"/>
        <v>0.57856641279101173</v>
      </c>
      <c r="DQ108" s="20">
        <f t="shared" si="30"/>
        <v>0.59295105134683723</v>
      </c>
      <c r="DR108" s="20">
        <f t="shared" si="30"/>
        <v>0.58894232765996324</v>
      </c>
      <c r="DS108" s="354"/>
      <c r="DT108" s="20">
        <f t="shared" ref="DT108:DX111" si="31">DT102/DT$106</f>
        <v>0.58389795874470329</v>
      </c>
      <c r="DU108" s="20">
        <f t="shared" si="31"/>
        <v>0.61236532943533117</v>
      </c>
      <c r="DV108" s="20">
        <f t="shared" si="31"/>
        <v>0.67041284614606411</v>
      </c>
      <c r="DW108" s="20">
        <f t="shared" si="31"/>
        <v>0.63803893646124166</v>
      </c>
      <c r="DX108" s="20">
        <f t="shared" si="31"/>
        <v>0.62911776783308959</v>
      </c>
      <c r="DY108" s="31"/>
      <c r="DZ108" s="20">
        <f t="shared" ref="DZ108:ED111" si="32">DZ102/DZ$106</f>
        <v>0.62919357011825439</v>
      </c>
      <c r="EA108" s="20">
        <f t="shared" si="32"/>
        <v>0.62262215867067694</v>
      </c>
      <c r="EB108" s="20">
        <f t="shared" si="32"/>
        <v>0.62796521466931432</v>
      </c>
      <c r="EC108" s="20">
        <f t="shared" si="32"/>
        <v>0.62060680614686747</v>
      </c>
      <c r="ED108" s="20">
        <f t="shared" si="32"/>
        <v>0.62502350484447222</v>
      </c>
      <c r="EE108" s="41"/>
      <c r="EF108" s="20">
        <f>EF102/EF$106</f>
        <v>0.65809638529825587</v>
      </c>
      <c r="EG108" s="20">
        <f>EG102/EG$106</f>
        <v>0.66146637004780617</v>
      </c>
      <c r="EH108" s="20">
        <f>EH102/EH$106</f>
        <v>0.68983252011077401</v>
      </c>
      <c r="EI108" s="20">
        <f>EI102/EI$106</f>
        <v>0.66203797866242653</v>
      </c>
      <c r="EJ108" s="20">
        <f>EJ102/EJ$106</f>
        <v>0.66801033542366162</v>
      </c>
      <c r="EK108" s="41"/>
      <c r="EL108" s="20">
        <f>EL102/EL$106</f>
        <v>0.66878792363474904</v>
      </c>
      <c r="EM108" s="20">
        <f>EM102/EM$106</f>
        <v>0.67537107408490038</v>
      </c>
      <c r="EN108" s="20">
        <f>EN102/EN$106</f>
        <v>0.67548391648961603</v>
      </c>
      <c r="EO108" s="20">
        <f>EO102/EO$106</f>
        <v>0.66689477002568054</v>
      </c>
      <c r="EP108" s="20">
        <f>EP102/EP$106</f>
        <v>0.67165016261934163</v>
      </c>
      <c r="ER108" s="20">
        <f>ER102/ER$106</f>
        <v>0.67256104359460356</v>
      </c>
      <c r="ES108" s="20">
        <f>ES102/ES$106</f>
        <v>0.67326081421337025</v>
      </c>
      <c r="ET108" s="20">
        <f>ET102/ET$106</f>
        <v>0.68325524924030934</v>
      </c>
      <c r="EU108" s="17"/>
      <c r="EV108" s="17"/>
      <c r="EX108" s="374"/>
      <c r="EY108" s="374"/>
      <c r="EZ108" s="374"/>
      <c r="FA108" s="374"/>
      <c r="FB108" s="523"/>
      <c r="FD108" s="374"/>
      <c r="FE108" s="374"/>
      <c r="FF108" s="374"/>
      <c r="FG108" s="374"/>
      <c r="FH108" s="523"/>
      <c r="FJ108" s="374"/>
      <c r="FK108" s="374"/>
      <c r="FL108" s="374"/>
      <c r="FM108" s="374"/>
      <c r="FN108" s="523"/>
    </row>
    <row r="109" spans="2:176" s="372" customFormat="1" hidden="1" outlineLevel="1">
      <c r="B109" s="25" t="s">
        <v>531</v>
      </c>
      <c r="C109" s="348"/>
      <c r="D109" s="373"/>
      <c r="E109" s="373"/>
      <c r="F109" s="373"/>
      <c r="G109" s="373"/>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5"/>
      <c r="BA109" s="375"/>
      <c r="BB109" s="375"/>
      <c r="BC109" s="375"/>
      <c r="BD109" s="373"/>
      <c r="BE109" s="373"/>
      <c r="BF109" s="375"/>
      <c r="BG109" s="375"/>
      <c r="BH109" s="375"/>
      <c r="BI109" s="375"/>
      <c r="BJ109" s="375"/>
      <c r="BK109" s="373"/>
      <c r="BL109" s="373"/>
      <c r="BM109" s="373"/>
      <c r="BN109" s="373"/>
      <c r="BO109" s="373"/>
      <c r="BP109" s="373"/>
      <c r="BQ109" s="373"/>
      <c r="BR109" s="373"/>
      <c r="BS109" s="373"/>
      <c r="BT109" s="373"/>
      <c r="BU109" s="373"/>
      <c r="BV109" s="373"/>
      <c r="BW109" s="373"/>
      <c r="BX109" s="373"/>
      <c r="BY109" s="373"/>
      <c r="BZ109" s="373"/>
      <c r="CA109" s="376"/>
      <c r="CB109" s="373"/>
      <c r="CC109" s="377"/>
      <c r="CD109" s="373"/>
      <c r="CE109" s="373"/>
      <c r="CF109" s="373"/>
      <c r="CG109" s="373"/>
      <c r="CH109" s="373"/>
      <c r="CI109" s="373"/>
      <c r="CJ109" s="373"/>
      <c r="CK109" s="373"/>
      <c r="CL109" s="373"/>
      <c r="CM109" s="373"/>
      <c r="CN109" s="373"/>
      <c r="CO109" s="373"/>
      <c r="CP109" s="373"/>
      <c r="CQ109" s="373"/>
      <c r="CR109" s="373"/>
      <c r="CS109" s="373"/>
      <c r="CT109" s="373"/>
      <c r="CU109" s="373"/>
      <c r="CV109" s="376"/>
      <c r="CW109" s="376"/>
      <c r="CX109" s="376"/>
      <c r="CY109" s="376"/>
      <c r="CZ109" s="373"/>
      <c r="DA109" s="373"/>
      <c r="DB109" s="376"/>
      <c r="DC109" s="376"/>
      <c r="DD109" s="376"/>
      <c r="DE109" s="376"/>
      <c r="DF109" s="373"/>
      <c r="DG109" s="373"/>
      <c r="DH109" s="20">
        <f t="shared" si="29"/>
        <v>0.18125010970493763</v>
      </c>
      <c r="DI109" s="20">
        <f t="shared" si="29"/>
        <v>0.15083977158212963</v>
      </c>
      <c r="DJ109" s="20">
        <f t="shared" si="29"/>
        <v>0.1724671567225689</v>
      </c>
      <c r="DK109" s="20">
        <f t="shared" si="29"/>
        <v>0.1638523508260889</v>
      </c>
      <c r="DL109" s="20">
        <f t="shared" si="29"/>
        <v>0.16686442885315847</v>
      </c>
      <c r="DM109" s="373"/>
      <c r="DN109" s="20">
        <f t="shared" si="30"/>
        <v>0.2370142674863705</v>
      </c>
      <c r="DO109" s="20">
        <f t="shared" si="30"/>
        <v>0.23481153491717424</v>
      </c>
      <c r="DP109" s="20">
        <f t="shared" si="30"/>
        <v>0.22639226489493869</v>
      </c>
      <c r="DQ109" s="20">
        <f t="shared" si="30"/>
        <v>0.22294548413344181</v>
      </c>
      <c r="DR109" s="20">
        <f t="shared" si="30"/>
        <v>0.23011067086424061</v>
      </c>
      <c r="DS109" s="354"/>
      <c r="DT109" s="20">
        <f t="shared" si="31"/>
        <v>0.23652965090017422</v>
      </c>
      <c r="DU109" s="20">
        <f t="shared" si="31"/>
        <v>0.20502409181960915</v>
      </c>
      <c r="DV109" s="20">
        <f t="shared" si="31"/>
        <v>0.17674487046250906</v>
      </c>
      <c r="DW109" s="20">
        <f t="shared" si="31"/>
        <v>0.18916412149375106</v>
      </c>
      <c r="DX109" s="20">
        <f t="shared" si="31"/>
        <v>0.20021603977642757</v>
      </c>
      <c r="DY109" s="31"/>
      <c r="DZ109" s="20">
        <f t="shared" si="32"/>
        <v>0.19250261693285109</v>
      </c>
      <c r="EA109" s="20">
        <f t="shared" si="32"/>
        <v>0.20243577732853407</v>
      </c>
      <c r="EB109" s="20">
        <f t="shared" si="32"/>
        <v>0.19113345789272895</v>
      </c>
      <c r="EC109" s="20">
        <f t="shared" si="32"/>
        <v>0.19347832354665409</v>
      </c>
      <c r="ED109" s="20">
        <f t="shared" si="32"/>
        <v>0.19489969616895778</v>
      </c>
      <c r="EE109" s="41"/>
      <c r="EF109" s="20">
        <f t="shared" ref="EF109:EI111" si="33">EF103/EF$106</f>
        <v>0.18511807755767226</v>
      </c>
      <c r="EG109" s="20">
        <f t="shared" si="33"/>
        <v>0.17524494722393147</v>
      </c>
      <c r="EH109" s="20">
        <f t="shared" si="33"/>
        <v>0.16112168195776266</v>
      </c>
      <c r="EI109" s="20">
        <f t="shared" si="33"/>
        <v>0.17912282972468233</v>
      </c>
      <c r="EJ109" s="20">
        <f t="shared" ref="EJ109:EL111" si="34">EJ103/EJ$106</f>
        <v>0.17499534332806374</v>
      </c>
      <c r="EK109" s="41"/>
      <c r="EL109" s="20">
        <f t="shared" si="34"/>
        <v>0.18590742497975957</v>
      </c>
      <c r="EM109" s="20">
        <f t="shared" ref="EM109:EP111" si="35">EM103/EM$106</f>
        <v>0.17615869303972198</v>
      </c>
      <c r="EN109" s="20">
        <f t="shared" si="35"/>
        <v>0.17029783697757012</v>
      </c>
      <c r="EO109" s="20">
        <f t="shared" si="35"/>
        <v>0.17876639653077858</v>
      </c>
      <c r="EP109" s="20">
        <f t="shared" si="35"/>
        <v>0.17759404078799765</v>
      </c>
      <c r="ER109" s="20">
        <f>ER103/ER$106</f>
        <v>0.17544876797859288</v>
      </c>
      <c r="ES109" s="20">
        <f t="shared" ref="ES109:ET111" si="36">ES103/ES$106</f>
        <v>0.1757079808753218</v>
      </c>
      <c r="ET109" s="20">
        <f t="shared" si="36"/>
        <v>0.16920354225115414</v>
      </c>
      <c r="EU109" s="17"/>
      <c r="EV109" s="17"/>
      <c r="EX109" s="374"/>
      <c r="EY109" s="374"/>
      <c r="EZ109" s="374"/>
      <c r="FA109" s="374"/>
      <c r="FB109" s="523"/>
      <c r="FD109" s="374"/>
      <c r="FE109" s="374"/>
      <c r="FF109" s="374"/>
      <c r="FG109" s="374"/>
      <c r="FH109" s="523"/>
      <c r="FJ109" s="374"/>
      <c r="FK109" s="374"/>
      <c r="FL109" s="374"/>
      <c r="FM109" s="374"/>
      <c r="FN109" s="523"/>
    </row>
    <row r="110" spans="2:176" s="372" customFormat="1" hidden="1" outlineLevel="1">
      <c r="B110" s="25" t="s">
        <v>532</v>
      </c>
      <c r="C110" s="348"/>
      <c r="D110" s="373"/>
      <c r="E110" s="373"/>
      <c r="F110" s="373"/>
      <c r="G110" s="373"/>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5"/>
      <c r="BA110" s="375"/>
      <c r="BB110" s="375"/>
      <c r="BC110" s="375"/>
      <c r="BD110" s="373"/>
      <c r="BE110" s="373"/>
      <c r="BF110" s="375"/>
      <c r="BG110" s="375"/>
      <c r="BH110" s="375"/>
      <c r="BI110" s="375"/>
      <c r="BJ110" s="375"/>
      <c r="BK110" s="373"/>
      <c r="BL110" s="373"/>
      <c r="BM110" s="373"/>
      <c r="BN110" s="373"/>
      <c r="BO110" s="373"/>
      <c r="BP110" s="373"/>
      <c r="BQ110" s="373"/>
      <c r="BR110" s="373"/>
      <c r="BS110" s="373"/>
      <c r="BT110" s="373"/>
      <c r="BU110" s="373"/>
      <c r="BV110" s="373"/>
      <c r="BW110" s="373"/>
      <c r="BX110" s="373"/>
      <c r="BY110" s="373"/>
      <c r="BZ110" s="373"/>
      <c r="CA110" s="376"/>
      <c r="CB110" s="373"/>
      <c r="CC110" s="377"/>
      <c r="CD110" s="373"/>
      <c r="CE110" s="373"/>
      <c r="CF110" s="373"/>
      <c r="CG110" s="373"/>
      <c r="CH110" s="373"/>
      <c r="CI110" s="373"/>
      <c r="CJ110" s="373"/>
      <c r="CK110" s="373"/>
      <c r="CL110" s="373"/>
      <c r="CM110" s="373"/>
      <c r="CN110" s="373"/>
      <c r="CO110" s="373"/>
      <c r="CP110" s="373"/>
      <c r="CQ110" s="373"/>
      <c r="CR110" s="373"/>
      <c r="CS110" s="373"/>
      <c r="CT110" s="373"/>
      <c r="CU110" s="373"/>
      <c r="CV110" s="376"/>
      <c r="CW110" s="376"/>
      <c r="CX110" s="376"/>
      <c r="CY110" s="376"/>
      <c r="CZ110" s="373"/>
      <c r="DA110" s="373"/>
      <c r="DB110" s="376"/>
      <c r="DC110" s="376"/>
      <c r="DD110" s="376"/>
      <c r="DE110" s="376"/>
      <c r="DF110" s="373"/>
      <c r="DG110" s="373"/>
      <c r="DH110" s="20">
        <f t="shared" si="29"/>
        <v>0.14189675448912606</v>
      </c>
      <c r="DI110" s="20">
        <f t="shared" si="29"/>
        <v>0.15156197514276115</v>
      </c>
      <c r="DJ110" s="20">
        <f t="shared" si="29"/>
        <v>0.14471227438644887</v>
      </c>
      <c r="DK110" s="20">
        <f t="shared" si="29"/>
        <v>0.14951527012880617</v>
      </c>
      <c r="DL110" s="20">
        <f t="shared" si="29"/>
        <v>0.14704410992545677</v>
      </c>
      <c r="DM110" s="373"/>
      <c r="DN110" s="20">
        <f t="shared" si="30"/>
        <v>0.18319220508061709</v>
      </c>
      <c r="DO110" s="20">
        <f t="shared" si="30"/>
        <v>0.15417724933132543</v>
      </c>
      <c r="DP110" s="20">
        <f t="shared" si="30"/>
        <v>0.1924917625452385</v>
      </c>
      <c r="DQ110" s="20">
        <f t="shared" si="30"/>
        <v>0.18644811785362519</v>
      </c>
      <c r="DR110" s="20">
        <f t="shared" si="30"/>
        <v>0.17926907944102494</v>
      </c>
      <c r="DS110" s="354"/>
      <c r="DT110" s="20">
        <f t="shared" si="31"/>
        <v>0.17727086963068123</v>
      </c>
      <c r="DU110" s="20">
        <f t="shared" si="31"/>
        <v>0.18327378052081644</v>
      </c>
      <c r="DV110" s="20">
        <f t="shared" si="31"/>
        <v>0.15137998583686643</v>
      </c>
      <c r="DW110" s="20">
        <f t="shared" si="31"/>
        <v>0.17137289437688538</v>
      </c>
      <c r="DX110" s="20">
        <f t="shared" si="31"/>
        <v>0.16942121740767957</v>
      </c>
      <c r="DY110" s="31"/>
      <c r="DZ110" s="20">
        <f t="shared" si="32"/>
        <v>0.17774415206193581</v>
      </c>
      <c r="EA110" s="20">
        <f t="shared" si="32"/>
        <v>0.17241753365218679</v>
      </c>
      <c r="EB110" s="20">
        <f t="shared" si="32"/>
        <v>0.17896446144364994</v>
      </c>
      <c r="EC110" s="20">
        <f t="shared" si="32"/>
        <v>0.18337770174814763</v>
      </c>
      <c r="ED110" s="20">
        <f t="shared" si="32"/>
        <v>0.17816672109893811</v>
      </c>
      <c r="EE110" s="41"/>
      <c r="EF110" s="20">
        <f t="shared" si="33"/>
        <v>0.15654260003441609</v>
      </c>
      <c r="EG110" s="20">
        <f t="shared" si="33"/>
        <v>0.16251242485918496</v>
      </c>
      <c r="EH110" s="20">
        <f t="shared" si="33"/>
        <v>0.14878205007441456</v>
      </c>
      <c r="EI110" s="20">
        <f t="shared" si="33"/>
        <v>0.15862655547954055</v>
      </c>
      <c r="EJ110" s="20">
        <f t="shared" si="34"/>
        <v>0.15661939945648279</v>
      </c>
      <c r="EK110" s="41"/>
      <c r="EL110" s="20">
        <f t="shared" si="34"/>
        <v>0.14439927221443558</v>
      </c>
      <c r="EM110" s="20">
        <f t="shared" si="35"/>
        <v>0.14774757218487122</v>
      </c>
      <c r="EN110" s="20">
        <f t="shared" si="35"/>
        <v>0.15384977225153465</v>
      </c>
      <c r="EO110" s="20">
        <f t="shared" si="35"/>
        <v>0.15349305694382509</v>
      </c>
      <c r="EP110" s="20">
        <f t="shared" si="35"/>
        <v>0.15004963319855702</v>
      </c>
      <c r="ER110" s="20">
        <f>ER104/ER$106</f>
        <v>0.15140298063700894</v>
      </c>
      <c r="ES110" s="20">
        <f t="shared" si="36"/>
        <v>0.14992078535660733</v>
      </c>
      <c r="ET110" s="20">
        <f t="shared" si="36"/>
        <v>0.14604583524827999</v>
      </c>
      <c r="EU110" s="17"/>
      <c r="EV110" s="17"/>
      <c r="EX110" s="374"/>
      <c r="EY110" s="374"/>
      <c r="EZ110" s="374"/>
      <c r="FA110" s="374"/>
      <c r="FB110" s="523"/>
      <c r="FD110" s="374"/>
      <c r="FE110" s="374"/>
      <c r="FF110" s="374"/>
      <c r="FG110" s="374"/>
      <c r="FH110" s="523"/>
      <c r="FJ110" s="374"/>
      <c r="FK110" s="374"/>
      <c r="FL110" s="374"/>
      <c r="FM110" s="374"/>
      <c r="FN110" s="523"/>
    </row>
    <row r="111" spans="2:176" s="372" customFormat="1" hidden="1" outlineLevel="1">
      <c r="B111" s="25" t="s">
        <v>533</v>
      </c>
      <c r="C111" s="348"/>
      <c r="D111" s="373"/>
      <c r="E111" s="373"/>
      <c r="F111" s="373"/>
      <c r="G111" s="373"/>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5"/>
      <c r="BA111" s="375"/>
      <c r="BB111" s="375"/>
      <c r="BC111" s="375"/>
      <c r="BD111" s="373"/>
      <c r="BE111" s="373"/>
      <c r="BF111" s="375"/>
      <c r="BG111" s="375"/>
      <c r="BH111" s="375"/>
      <c r="BI111" s="375"/>
      <c r="BJ111" s="375"/>
      <c r="BK111" s="373"/>
      <c r="BL111" s="373"/>
      <c r="BM111" s="373"/>
      <c r="BN111" s="373"/>
      <c r="BO111" s="373"/>
      <c r="BP111" s="373"/>
      <c r="BQ111" s="373"/>
      <c r="BR111" s="373"/>
      <c r="BS111" s="373"/>
      <c r="BT111" s="373"/>
      <c r="BU111" s="373"/>
      <c r="BV111" s="373"/>
      <c r="BW111" s="373"/>
      <c r="BX111" s="373"/>
      <c r="BY111" s="373"/>
      <c r="BZ111" s="373"/>
      <c r="CA111" s="376"/>
      <c r="CB111" s="373"/>
      <c r="CC111" s="377"/>
      <c r="CD111" s="373"/>
      <c r="CE111" s="373"/>
      <c r="CF111" s="373"/>
      <c r="CG111" s="373"/>
      <c r="CH111" s="373"/>
      <c r="CI111" s="373"/>
      <c r="CJ111" s="373"/>
      <c r="CK111" s="373"/>
      <c r="CL111" s="373"/>
      <c r="CM111" s="373"/>
      <c r="CN111" s="373"/>
      <c r="CO111" s="373"/>
      <c r="CP111" s="373"/>
      <c r="CQ111" s="373"/>
      <c r="CR111" s="373"/>
      <c r="CS111" s="373"/>
      <c r="CT111" s="373"/>
      <c r="CU111" s="373"/>
      <c r="CV111" s="376"/>
      <c r="CW111" s="376"/>
      <c r="CX111" s="376"/>
      <c r="CY111" s="376"/>
      <c r="CZ111" s="373"/>
      <c r="DA111" s="373"/>
      <c r="DB111" s="376"/>
      <c r="DC111" s="376"/>
      <c r="DD111" s="376"/>
      <c r="DE111" s="376"/>
      <c r="DF111" s="373"/>
      <c r="DG111" s="373"/>
      <c r="DH111" s="20">
        <f t="shared" si="29"/>
        <v>5.441364904951642E-4</v>
      </c>
      <c r="DI111" s="20">
        <f t="shared" si="29"/>
        <v>1.1555256970104129E-2</v>
      </c>
      <c r="DJ111" s="20">
        <f t="shared" si="29"/>
        <v>1.3692408619152548E-2</v>
      </c>
      <c r="DK111" s="20">
        <f t="shared" si="29"/>
        <v>-7.1912976195894589E-3</v>
      </c>
      <c r="DL111" s="20">
        <f t="shared" si="29"/>
        <v>4.3783307768953126E-3</v>
      </c>
      <c r="DM111" s="373"/>
      <c r="DN111" s="20">
        <f t="shared" si="30"/>
        <v>2.6447047906275377E-3</v>
      </c>
      <c r="DO111" s="20">
        <f t="shared" si="30"/>
        <v>4.0570002921939269E-3</v>
      </c>
      <c r="DP111" s="20">
        <f t="shared" si="30"/>
        <v>2.5495597688111058E-3</v>
      </c>
      <c r="DQ111" s="20">
        <f t="shared" si="30"/>
        <v>-2.3446533339043295E-3</v>
      </c>
      <c r="DR111" s="20">
        <f t="shared" si="30"/>
        <v>1.6779220347711962E-3</v>
      </c>
      <c r="DS111" s="354"/>
      <c r="DT111" s="20">
        <f t="shared" si="31"/>
        <v>2.3015207244412896E-3</v>
      </c>
      <c r="DU111" s="20">
        <f t="shared" si="31"/>
        <v>-6.6320177575659154E-4</v>
      </c>
      <c r="DV111" s="20">
        <f t="shared" si="31"/>
        <v>1.462297554560253E-3</v>
      </c>
      <c r="DW111" s="20">
        <f t="shared" si="31"/>
        <v>1.4240476681219429E-3</v>
      </c>
      <c r="DX111" s="20">
        <f t="shared" si="31"/>
        <v>1.2449749828031286E-3</v>
      </c>
      <c r="DY111" s="31"/>
      <c r="DZ111" s="20">
        <f t="shared" si="32"/>
        <v>5.5966088695886499E-4</v>
      </c>
      <c r="EA111" s="20">
        <f t="shared" si="32"/>
        <v>2.5245303486021399E-3</v>
      </c>
      <c r="EB111" s="20">
        <f t="shared" si="32"/>
        <v>1.936865994306788E-3</v>
      </c>
      <c r="EC111" s="20">
        <f t="shared" si="32"/>
        <v>2.5371685583308518E-3</v>
      </c>
      <c r="ED111" s="20">
        <f t="shared" si="32"/>
        <v>1.9100778876319985E-3</v>
      </c>
      <c r="EE111" s="41"/>
      <c r="EF111" s="20">
        <f t="shared" si="33"/>
        <v>2.4293710965573789E-4</v>
      </c>
      <c r="EG111" s="20">
        <f t="shared" si="33"/>
        <v>7.7625786907748384E-4</v>
      </c>
      <c r="EH111" s="20">
        <f t="shared" si="33"/>
        <v>2.6374785704866147E-4</v>
      </c>
      <c r="EI111" s="20">
        <f t="shared" si="33"/>
        <v>2.1263613335059068E-4</v>
      </c>
      <c r="EJ111" s="20">
        <f t="shared" si="34"/>
        <v>3.7492179179183957E-4</v>
      </c>
      <c r="EK111" s="41"/>
      <c r="EL111" s="20">
        <f t="shared" si="34"/>
        <v>9.0537917105572427E-4</v>
      </c>
      <c r="EM111" s="20">
        <f t="shared" si="35"/>
        <v>7.2266069050634955E-4</v>
      </c>
      <c r="EN111" s="20">
        <f t="shared" si="35"/>
        <v>3.6847428127915457E-4</v>
      </c>
      <c r="EO111" s="20">
        <f t="shared" si="35"/>
        <v>8.4577649971551117E-4</v>
      </c>
      <c r="EP111" s="20">
        <f t="shared" si="35"/>
        <v>7.0616339410373738E-4</v>
      </c>
      <c r="ER111" s="20">
        <f>ER105/ER$106</f>
        <v>5.8720778979447718E-4</v>
      </c>
      <c r="ES111" s="20">
        <f t="shared" si="36"/>
        <v>1.1104195547005404E-3</v>
      </c>
      <c r="ET111" s="20">
        <f t="shared" si="36"/>
        <v>1.4953732602566831E-3</v>
      </c>
      <c r="EU111" s="17"/>
      <c r="EV111" s="17"/>
      <c r="EX111" s="374"/>
      <c r="EY111" s="374"/>
      <c r="EZ111" s="374"/>
      <c r="FA111" s="374"/>
      <c r="FB111" s="523"/>
      <c r="FD111" s="374"/>
      <c r="FE111" s="374"/>
      <c r="FF111" s="374"/>
      <c r="FG111" s="374"/>
      <c r="FH111" s="523"/>
      <c r="FJ111" s="374"/>
      <c r="FK111" s="374"/>
      <c r="FL111" s="374"/>
      <c r="FM111" s="374"/>
      <c r="FN111" s="523"/>
    </row>
    <row r="112" spans="2:176" s="372" customFormat="1" collapsed="1">
      <c r="B112" s="25"/>
      <c r="C112" s="348"/>
      <c r="D112" s="373"/>
      <c r="E112" s="373"/>
      <c r="F112" s="373"/>
      <c r="G112" s="373"/>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5"/>
      <c r="BA112" s="375"/>
      <c r="BB112" s="375"/>
      <c r="BC112" s="375"/>
      <c r="BD112" s="373"/>
      <c r="BE112" s="373"/>
      <c r="BF112" s="375"/>
      <c r="BG112" s="375"/>
      <c r="BH112" s="375"/>
      <c r="BI112" s="375"/>
      <c r="BJ112" s="375"/>
      <c r="BK112" s="373"/>
      <c r="BL112" s="373"/>
      <c r="BM112" s="373"/>
      <c r="BN112" s="373"/>
      <c r="BO112" s="373"/>
      <c r="BP112" s="373"/>
      <c r="BQ112" s="373"/>
      <c r="BR112" s="373"/>
      <c r="BS112" s="373"/>
      <c r="BT112" s="373"/>
      <c r="BU112" s="373"/>
      <c r="BV112" s="373"/>
      <c r="BW112" s="373"/>
      <c r="BX112" s="373"/>
      <c r="BY112" s="373"/>
      <c r="BZ112" s="373"/>
      <c r="CA112" s="376"/>
      <c r="CB112" s="373"/>
      <c r="CC112" s="377"/>
      <c r="CD112" s="373"/>
      <c r="CE112" s="373"/>
      <c r="CF112" s="373"/>
      <c r="CG112" s="373"/>
      <c r="CH112" s="373"/>
      <c r="CI112" s="373"/>
      <c r="CJ112" s="373"/>
      <c r="CK112" s="373"/>
      <c r="CL112" s="373"/>
      <c r="CM112" s="373"/>
      <c r="CN112" s="373"/>
      <c r="CO112" s="373"/>
      <c r="CP112" s="373"/>
      <c r="CQ112" s="373"/>
      <c r="CR112" s="373"/>
      <c r="CS112" s="373"/>
      <c r="CT112" s="373"/>
      <c r="CU112" s="373"/>
      <c r="CV112" s="376"/>
      <c r="CW112" s="376"/>
      <c r="CX112" s="376"/>
      <c r="CY112" s="376"/>
      <c r="CZ112" s="373"/>
      <c r="DA112" s="373"/>
      <c r="DB112" s="376"/>
      <c r="DC112" s="376"/>
      <c r="DD112" s="376"/>
      <c r="DE112" s="376"/>
      <c r="DF112" s="373"/>
      <c r="DG112" s="373"/>
      <c r="DH112" s="20"/>
      <c r="DI112" s="20"/>
      <c r="DJ112" s="20"/>
      <c r="DK112" s="20"/>
      <c r="DL112" s="20"/>
      <c r="DM112" s="373"/>
      <c r="DN112" s="20"/>
      <c r="DO112" s="20"/>
      <c r="DP112" s="20"/>
      <c r="DQ112" s="20"/>
      <c r="DR112" s="20"/>
      <c r="DS112" s="354"/>
      <c r="DT112" s="20"/>
      <c r="DU112" s="20"/>
      <c r="DV112" s="20"/>
      <c r="DW112" s="20"/>
      <c r="DX112" s="20"/>
      <c r="DY112" s="31"/>
      <c r="DZ112" s="20"/>
      <c r="EA112" s="20"/>
      <c r="EB112" s="20"/>
      <c r="EC112" s="20"/>
      <c r="ED112" s="20"/>
      <c r="EE112" s="41"/>
      <c r="EF112" s="20"/>
      <c r="EG112" s="20"/>
      <c r="EH112" s="20"/>
      <c r="EI112" s="20"/>
      <c r="EJ112" s="20"/>
      <c r="EK112" s="41"/>
      <c r="EL112" s="20"/>
      <c r="EM112" s="20"/>
      <c r="EN112" s="20"/>
      <c r="EO112" s="20"/>
      <c r="EP112" s="20"/>
      <c r="ER112" s="20"/>
      <c r="ES112" s="20"/>
      <c r="ET112" s="20"/>
      <c r="EU112" s="17"/>
      <c r="EV112" s="17"/>
      <c r="EX112" s="374"/>
      <c r="EY112" s="374"/>
      <c r="EZ112" s="374"/>
      <c r="FA112" s="374"/>
      <c r="FB112" s="523"/>
      <c r="FD112" s="374"/>
      <c r="FE112" s="374"/>
      <c r="FF112" s="374"/>
      <c r="FG112" s="374"/>
      <c r="FH112" s="523"/>
      <c r="FJ112" s="374"/>
      <c r="FK112" s="374"/>
      <c r="FL112" s="374"/>
      <c r="FM112" s="374"/>
      <c r="FN112" s="523"/>
    </row>
    <row r="113" spans="2:170" s="372" customFormat="1">
      <c r="B113" s="378" t="s">
        <v>691</v>
      </c>
      <c r="C113" s="348"/>
      <c r="D113" s="373"/>
      <c r="E113" s="373"/>
      <c r="F113" s="373"/>
      <c r="G113" s="373"/>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3"/>
      <c r="AX113" s="373"/>
      <c r="AY113" s="373"/>
      <c r="AZ113" s="375"/>
      <c r="BA113" s="375"/>
      <c r="BB113" s="375"/>
      <c r="BC113" s="375"/>
      <c r="BD113" s="373"/>
      <c r="BE113" s="373"/>
      <c r="BF113" s="375"/>
      <c r="BG113" s="375"/>
      <c r="BH113" s="375"/>
      <c r="BI113" s="375"/>
      <c r="BJ113" s="375"/>
      <c r="BK113" s="373"/>
      <c r="BL113" s="373"/>
      <c r="BM113" s="373"/>
      <c r="BN113" s="373"/>
      <c r="BO113" s="373"/>
      <c r="BP113" s="373"/>
      <c r="BQ113" s="373"/>
      <c r="BR113" s="373"/>
      <c r="BS113" s="373"/>
      <c r="BT113" s="373"/>
      <c r="BU113" s="373"/>
      <c r="BV113" s="373"/>
      <c r="BW113" s="373"/>
      <c r="BX113" s="373"/>
      <c r="BY113" s="373"/>
      <c r="BZ113" s="373"/>
      <c r="CA113" s="376"/>
      <c r="CB113" s="373"/>
      <c r="CC113" s="377"/>
      <c r="CD113" s="373"/>
      <c r="CE113" s="373"/>
      <c r="CF113" s="373"/>
      <c r="CG113" s="373"/>
      <c r="CH113" s="373"/>
      <c r="CI113" s="373"/>
      <c r="CJ113" s="373"/>
      <c r="CK113" s="373"/>
      <c r="CL113" s="373"/>
      <c r="CM113" s="373"/>
      <c r="CN113" s="373"/>
      <c r="CO113" s="373"/>
      <c r="CP113" s="373"/>
      <c r="CQ113" s="373"/>
      <c r="CR113" s="373"/>
      <c r="CS113" s="373"/>
      <c r="CT113" s="373"/>
      <c r="CU113" s="373"/>
      <c r="CV113" s="376"/>
      <c r="CW113" s="376"/>
      <c r="CX113" s="376"/>
      <c r="CY113" s="376"/>
      <c r="CZ113" s="373"/>
      <c r="DA113" s="373"/>
      <c r="DB113" s="376"/>
      <c r="DC113" s="376"/>
      <c r="DD113" s="376"/>
      <c r="DE113" s="376"/>
      <c r="DF113" s="373"/>
      <c r="DG113" s="373"/>
      <c r="DH113" s="20"/>
      <c r="DI113" s="20"/>
      <c r="DJ113" s="20"/>
      <c r="DK113" s="20"/>
      <c r="DL113" s="20"/>
      <c r="DM113" s="373"/>
      <c r="DN113" s="20"/>
      <c r="DO113" s="20"/>
      <c r="DP113" s="20"/>
      <c r="DQ113" s="20"/>
      <c r="DR113" s="20"/>
      <c r="DS113" s="354"/>
      <c r="DT113" s="20"/>
      <c r="DU113" s="20"/>
      <c r="DV113" s="20"/>
      <c r="DW113" s="20"/>
      <c r="DX113" s="20"/>
      <c r="DY113" s="31"/>
      <c r="DZ113" s="20"/>
      <c r="EA113" s="20"/>
      <c r="EB113" s="20"/>
      <c r="EC113" s="20"/>
      <c r="ED113" s="20"/>
      <c r="EE113" s="41"/>
      <c r="EF113" s="20"/>
      <c r="EG113" s="20"/>
      <c r="EH113" s="20"/>
      <c r="EI113" s="20"/>
      <c r="EJ113" s="20"/>
      <c r="EK113" s="41"/>
      <c r="EL113" s="20"/>
      <c r="EM113" s="20"/>
      <c r="EN113" s="20"/>
      <c r="EO113" s="20"/>
      <c r="EP113" s="20"/>
      <c r="ER113" s="20"/>
      <c r="ES113" s="20"/>
      <c r="ET113" s="20"/>
      <c r="EU113" s="17"/>
      <c r="EV113" s="17"/>
      <c r="EX113" s="374"/>
      <c r="EY113" s="374"/>
      <c r="EZ113" s="374"/>
      <c r="FA113" s="374"/>
      <c r="FB113" s="523"/>
      <c r="FD113" s="374"/>
      <c r="FE113" s="374"/>
      <c r="FF113" s="374"/>
      <c r="FG113" s="374"/>
      <c r="FH113" s="523"/>
      <c r="FJ113" s="374"/>
      <c r="FK113" s="374"/>
      <c r="FL113" s="374"/>
      <c r="FM113" s="374"/>
      <c r="FN113" s="523"/>
    </row>
    <row r="114" spans="2:170" s="372" customFormat="1">
      <c r="B114" s="25" t="s">
        <v>530</v>
      </c>
      <c r="C114" s="348"/>
      <c r="D114" s="373"/>
      <c r="E114" s="373"/>
      <c r="F114" s="373"/>
      <c r="G114" s="373"/>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3"/>
      <c r="AX114" s="373"/>
      <c r="AY114" s="373"/>
      <c r="AZ114" s="375"/>
      <c r="BA114" s="375"/>
      <c r="BB114" s="375"/>
      <c r="BC114" s="375"/>
      <c r="BD114" s="373"/>
      <c r="BE114" s="373"/>
      <c r="BF114" s="375"/>
      <c r="BG114" s="375"/>
      <c r="BH114" s="375"/>
      <c r="BI114" s="375"/>
      <c r="BJ114" s="375"/>
      <c r="BK114" s="373"/>
      <c r="BL114" s="373"/>
      <c r="BM114" s="373"/>
      <c r="BN114" s="373"/>
      <c r="BO114" s="373"/>
      <c r="BP114" s="373"/>
      <c r="BQ114" s="373"/>
      <c r="BR114" s="373"/>
      <c r="BS114" s="373"/>
      <c r="BT114" s="373"/>
      <c r="BU114" s="373"/>
      <c r="BV114" s="373"/>
      <c r="BW114" s="373"/>
      <c r="BX114" s="373"/>
      <c r="BY114" s="373"/>
      <c r="BZ114" s="373"/>
      <c r="CA114" s="376"/>
      <c r="CB114" s="373"/>
      <c r="CC114" s="377"/>
      <c r="CD114" s="373"/>
      <c r="CE114" s="373"/>
      <c r="CF114" s="373"/>
      <c r="CG114" s="373"/>
      <c r="CH114" s="373"/>
      <c r="CI114" s="373"/>
      <c r="CJ114" s="373"/>
      <c r="CK114" s="373"/>
      <c r="CL114" s="373"/>
      <c r="CM114" s="373"/>
      <c r="CN114" s="373"/>
      <c r="CO114" s="373"/>
      <c r="CP114" s="373"/>
      <c r="CQ114" s="373"/>
      <c r="CR114" s="373"/>
      <c r="CS114" s="373"/>
      <c r="CT114" s="373"/>
      <c r="CU114" s="373"/>
      <c r="CV114" s="376"/>
      <c r="CW114" s="376"/>
      <c r="CX114" s="376"/>
      <c r="CY114" s="376"/>
      <c r="CZ114" s="373"/>
      <c r="DA114" s="373"/>
      <c r="DB114" s="376"/>
      <c r="DC114" s="376"/>
      <c r="DD114" s="376"/>
      <c r="DE114" s="376"/>
      <c r="DF114" s="373"/>
      <c r="DG114" s="373"/>
      <c r="DH114" s="20"/>
      <c r="DI114" s="20"/>
      <c r="DJ114" s="20"/>
      <c r="DK114" s="20"/>
      <c r="DL114" s="20"/>
      <c r="DM114" s="373"/>
      <c r="DN114" s="20"/>
      <c r="DO114" s="20"/>
      <c r="DP114" s="20"/>
      <c r="DQ114" s="20"/>
      <c r="DR114" s="20"/>
      <c r="DS114" s="354"/>
      <c r="DT114" s="20"/>
      <c r="DU114" s="20"/>
      <c r="DV114" s="20"/>
      <c r="DW114" s="20"/>
      <c r="DX114" s="20"/>
      <c r="DY114" s="31"/>
      <c r="DZ114" s="20"/>
      <c r="EA114" s="20"/>
      <c r="EB114" s="20"/>
      <c r="EC114" s="20"/>
      <c r="ED114" s="20"/>
      <c r="EE114" s="41"/>
      <c r="EF114" s="20"/>
      <c r="EG114" s="20"/>
      <c r="EH114" s="20"/>
      <c r="EI114" s="20"/>
      <c r="EJ114" s="20"/>
      <c r="EK114" s="41"/>
      <c r="EL114" s="20"/>
      <c r="EM114" s="20"/>
      <c r="EN114" s="20"/>
      <c r="EO114" s="20"/>
      <c r="EP114" s="20"/>
      <c r="ER114" s="20"/>
      <c r="ES114" s="20"/>
      <c r="ET114" s="20"/>
      <c r="EU114" s="17"/>
      <c r="EV114" s="17">
        <v>475.44400000000002</v>
      </c>
      <c r="EX114" s="17">
        <v>122.038</v>
      </c>
      <c r="EY114" s="374">
        <v>131.15700000000001</v>
      </c>
      <c r="EZ114" s="374">
        <v>132.28800000000001</v>
      </c>
      <c r="FA114" s="374"/>
      <c r="FB114" s="523"/>
      <c r="FD114" s="374"/>
      <c r="FE114" s="374"/>
      <c r="FF114" s="374"/>
      <c r="FG114" s="374"/>
      <c r="FH114" s="523"/>
      <c r="FJ114" s="374"/>
      <c r="FK114" s="374"/>
      <c r="FL114" s="374"/>
      <c r="FM114" s="374"/>
      <c r="FN114" s="523"/>
    </row>
    <row r="115" spans="2:170" s="372" customFormat="1">
      <c r="B115" s="25" t="s">
        <v>531</v>
      </c>
      <c r="C115" s="348"/>
      <c r="D115" s="373"/>
      <c r="E115" s="373"/>
      <c r="F115" s="373"/>
      <c r="G115" s="373"/>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3"/>
      <c r="AX115" s="373"/>
      <c r="AY115" s="373"/>
      <c r="AZ115" s="375"/>
      <c r="BA115" s="375"/>
      <c r="BB115" s="375"/>
      <c r="BC115" s="375"/>
      <c r="BD115" s="373"/>
      <c r="BE115" s="373"/>
      <c r="BF115" s="375"/>
      <c r="BG115" s="375"/>
      <c r="BH115" s="375"/>
      <c r="BI115" s="375"/>
      <c r="BJ115" s="375"/>
      <c r="BK115" s="373"/>
      <c r="BL115" s="373"/>
      <c r="BM115" s="373"/>
      <c r="BN115" s="373"/>
      <c r="BO115" s="373"/>
      <c r="BP115" s="373"/>
      <c r="BQ115" s="373"/>
      <c r="BR115" s="373"/>
      <c r="BS115" s="373"/>
      <c r="BT115" s="373"/>
      <c r="BU115" s="373"/>
      <c r="BV115" s="373"/>
      <c r="BW115" s="373"/>
      <c r="BX115" s="373"/>
      <c r="BY115" s="373"/>
      <c r="BZ115" s="373"/>
      <c r="CA115" s="376"/>
      <c r="CB115" s="373"/>
      <c r="CC115" s="377"/>
      <c r="CD115" s="373"/>
      <c r="CE115" s="373"/>
      <c r="CF115" s="373"/>
      <c r="CG115" s="373"/>
      <c r="CH115" s="373"/>
      <c r="CI115" s="373"/>
      <c r="CJ115" s="373"/>
      <c r="CK115" s="373"/>
      <c r="CL115" s="373"/>
      <c r="CM115" s="373"/>
      <c r="CN115" s="373"/>
      <c r="CO115" s="373"/>
      <c r="CP115" s="373"/>
      <c r="CQ115" s="373"/>
      <c r="CR115" s="373"/>
      <c r="CS115" s="373"/>
      <c r="CT115" s="373"/>
      <c r="CU115" s="373"/>
      <c r="CV115" s="376"/>
      <c r="CW115" s="376"/>
      <c r="CX115" s="376"/>
      <c r="CY115" s="376"/>
      <c r="CZ115" s="373"/>
      <c r="DA115" s="373"/>
      <c r="DB115" s="376"/>
      <c r="DC115" s="376"/>
      <c r="DD115" s="376"/>
      <c r="DE115" s="376"/>
      <c r="DF115" s="373"/>
      <c r="DG115" s="373"/>
      <c r="DH115" s="20"/>
      <c r="DI115" s="20"/>
      <c r="DJ115" s="20"/>
      <c r="DK115" s="20"/>
      <c r="DL115" s="20"/>
      <c r="DM115" s="373"/>
      <c r="DN115" s="20"/>
      <c r="DO115" s="20"/>
      <c r="DP115" s="20"/>
      <c r="DQ115" s="20"/>
      <c r="DR115" s="20"/>
      <c r="DS115" s="354"/>
      <c r="DT115" s="20"/>
      <c r="DU115" s="20"/>
      <c r="DV115" s="20"/>
      <c r="DW115" s="20"/>
      <c r="DX115" s="20"/>
      <c r="DY115" s="31"/>
      <c r="DZ115" s="20"/>
      <c r="EA115" s="20"/>
      <c r="EB115" s="20"/>
      <c r="EC115" s="20"/>
      <c r="ED115" s="20"/>
      <c r="EE115" s="41"/>
      <c r="EF115" s="20"/>
      <c r="EG115" s="20"/>
      <c r="EH115" s="20"/>
      <c r="EI115" s="20"/>
      <c r="EJ115" s="20"/>
      <c r="EK115" s="41"/>
      <c r="EL115" s="20"/>
      <c r="EM115" s="20"/>
      <c r="EN115" s="20"/>
      <c r="EO115" s="20"/>
      <c r="EP115" s="20"/>
      <c r="ER115" s="20"/>
      <c r="ES115" s="20"/>
      <c r="ET115" s="20"/>
      <c r="EU115" s="17"/>
      <c r="EV115" s="17">
        <v>99.843000000000004</v>
      </c>
      <c r="EX115" s="17">
        <v>24.856999999999999</v>
      </c>
      <c r="EY115" s="374">
        <v>28.765999999999998</v>
      </c>
      <c r="EZ115" s="374">
        <v>32.466000000000001</v>
      </c>
      <c r="FA115" s="374"/>
      <c r="FB115" s="523"/>
      <c r="FD115" s="374"/>
      <c r="FE115" s="374"/>
      <c r="FF115" s="374"/>
      <c r="FG115" s="374"/>
      <c r="FH115" s="523"/>
      <c r="FJ115" s="374"/>
      <c r="FK115" s="374"/>
      <c r="FL115" s="374"/>
      <c r="FM115" s="374"/>
      <c r="FN115" s="523"/>
    </row>
    <row r="116" spans="2:170" s="372" customFormat="1">
      <c r="B116" s="25" t="s">
        <v>532</v>
      </c>
      <c r="C116" s="348"/>
      <c r="D116" s="373"/>
      <c r="E116" s="373"/>
      <c r="F116" s="373"/>
      <c r="G116" s="373"/>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3"/>
      <c r="AX116" s="373"/>
      <c r="AY116" s="373"/>
      <c r="AZ116" s="375"/>
      <c r="BA116" s="375"/>
      <c r="BB116" s="375"/>
      <c r="BC116" s="375"/>
      <c r="BD116" s="373"/>
      <c r="BE116" s="373"/>
      <c r="BF116" s="375"/>
      <c r="BG116" s="375"/>
      <c r="BH116" s="375"/>
      <c r="BI116" s="375"/>
      <c r="BJ116" s="375"/>
      <c r="BK116" s="373"/>
      <c r="BL116" s="373"/>
      <c r="BM116" s="373"/>
      <c r="BN116" s="373"/>
      <c r="BO116" s="373"/>
      <c r="BP116" s="373"/>
      <c r="BQ116" s="373"/>
      <c r="BR116" s="373"/>
      <c r="BS116" s="373"/>
      <c r="BT116" s="373"/>
      <c r="BU116" s="373"/>
      <c r="BV116" s="373"/>
      <c r="BW116" s="373"/>
      <c r="BX116" s="373"/>
      <c r="BY116" s="373"/>
      <c r="BZ116" s="373"/>
      <c r="CA116" s="376"/>
      <c r="CB116" s="373"/>
      <c r="CC116" s="377"/>
      <c r="CD116" s="373"/>
      <c r="CE116" s="373"/>
      <c r="CF116" s="373"/>
      <c r="CG116" s="373"/>
      <c r="CH116" s="373"/>
      <c r="CI116" s="373"/>
      <c r="CJ116" s="373"/>
      <c r="CK116" s="373"/>
      <c r="CL116" s="373"/>
      <c r="CM116" s="373"/>
      <c r="CN116" s="373"/>
      <c r="CO116" s="373"/>
      <c r="CP116" s="373"/>
      <c r="CQ116" s="373"/>
      <c r="CR116" s="373"/>
      <c r="CS116" s="373"/>
      <c r="CT116" s="373"/>
      <c r="CU116" s="373"/>
      <c r="CV116" s="376"/>
      <c r="CW116" s="376"/>
      <c r="CX116" s="376"/>
      <c r="CY116" s="376"/>
      <c r="CZ116" s="373"/>
      <c r="DA116" s="373"/>
      <c r="DB116" s="376"/>
      <c r="DC116" s="376"/>
      <c r="DD116" s="376"/>
      <c r="DE116" s="376"/>
      <c r="DF116" s="373"/>
      <c r="DG116" s="373"/>
      <c r="DH116" s="20"/>
      <c r="DI116" s="20"/>
      <c r="DJ116" s="20"/>
      <c r="DK116" s="20"/>
      <c r="DL116" s="20"/>
      <c r="DM116" s="373"/>
      <c r="DN116" s="20"/>
      <c r="DO116" s="20"/>
      <c r="DP116" s="20"/>
      <c r="DQ116" s="20"/>
      <c r="DR116" s="20"/>
      <c r="DS116" s="354"/>
      <c r="DT116" s="20"/>
      <c r="DU116" s="20"/>
      <c r="DV116" s="20"/>
      <c r="DW116" s="20"/>
      <c r="DX116" s="20"/>
      <c r="DY116" s="31"/>
      <c r="DZ116" s="20"/>
      <c r="EA116" s="20"/>
      <c r="EB116" s="20"/>
      <c r="EC116" s="20"/>
      <c r="ED116" s="20"/>
      <c r="EE116" s="41"/>
      <c r="EF116" s="20"/>
      <c r="EG116" s="20"/>
      <c r="EH116" s="20"/>
      <c r="EI116" s="20"/>
      <c r="EJ116" s="20"/>
      <c r="EK116" s="41"/>
      <c r="EL116" s="20"/>
      <c r="EM116" s="20"/>
      <c r="EN116" s="20"/>
      <c r="EO116" s="20"/>
      <c r="EP116" s="20"/>
      <c r="ER116" s="20"/>
      <c r="ES116" s="20"/>
      <c r="ET116" s="20"/>
      <c r="EU116" s="17"/>
      <c r="EV116" s="17">
        <v>84.597999999999999</v>
      </c>
      <c r="EX116" s="17">
        <v>21.100999999999999</v>
      </c>
      <c r="EY116" s="374">
        <v>21.387</v>
      </c>
      <c r="EZ116" s="374">
        <v>22.974</v>
      </c>
      <c r="FA116" s="374"/>
      <c r="FB116" s="523"/>
      <c r="FD116" s="374"/>
      <c r="FE116" s="374"/>
      <c r="FF116" s="374"/>
      <c r="FG116" s="374"/>
      <c r="FH116" s="523"/>
      <c r="FJ116" s="374"/>
      <c r="FK116" s="374"/>
      <c r="FL116" s="374"/>
      <c r="FM116" s="374"/>
      <c r="FN116" s="523"/>
    </row>
    <row r="117" spans="2:170" s="372" customFormat="1">
      <c r="B117" s="25" t="s">
        <v>533</v>
      </c>
      <c r="C117" s="348"/>
      <c r="D117" s="373"/>
      <c r="E117" s="373"/>
      <c r="F117" s="373"/>
      <c r="G117" s="373"/>
      <c r="H117" s="373"/>
      <c r="I117" s="373"/>
      <c r="J117" s="373"/>
      <c r="K117" s="373"/>
      <c r="L117" s="373"/>
      <c r="M117" s="373"/>
      <c r="N117" s="373"/>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3"/>
      <c r="AX117" s="373"/>
      <c r="AY117" s="373"/>
      <c r="AZ117" s="375"/>
      <c r="BA117" s="375"/>
      <c r="BB117" s="375"/>
      <c r="BC117" s="375"/>
      <c r="BD117" s="373"/>
      <c r="BE117" s="373"/>
      <c r="BF117" s="375"/>
      <c r="BG117" s="375"/>
      <c r="BH117" s="375"/>
      <c r="BI117" s="375"/>
      <c r="BJ117" s="375"/>
      <c r="BK117" s="373"/>
      <c r="BL117" s="373"/>
      <c r="BM117" s="373"/>
      <c r="BN117" s="373"/>
      <c r="BO117" s="373"/>
      <c r="BP117" s="373"/>
      <c r="BQ117" s="373"/>
      <c r="BR117" s="373"/>
      <c r="BS117" s="373"/>
      <c r="BT117" s="373"/>
      <c r="BU117" s="373"/>
      <c r="BV117" s="373"/>
      <c r="BW117" s="373"/>
      <c r="BX117" s="373"/>
      <c r="BY117" s="373"/>
      <c r="BZ117" s="373"/>
      <c r="CA117" s="376"/>
      <c r="CB117" s="373"/>
      <c r="CC117" s="377"/>
      <c r="CD117" s="373"/>
      <c r="CE117" s="373"/>
      <c r="CF117" s="373"/>
      <c r="CG117" s="373"/>
      <c r="CH117" s="373"/>
      <c r="CI117" s="373"/>
      <c r="CJ117" s="373"/>
      <c r="CK117" s="373"/>
      <c r="CL117" s="373"/>
      <c r="CM117" s="373"/>
      <c r="CN117" s="373"/>
      <c r="CO117" s="373"/>
      <c r="CP117" s="373"/>
      <c r="CQ117" s="373"/>
      <c r="CR117" s="373"/>
      <c r="CS117" s="373"/>
      <c r="CT117" s="373"/>
      <c r="CU117" s="373"/>
      <c r="CV117" s="376"/>
      <c r="CW117" s="376"/>
      <c r="CX117" s="376"/>
      <c r="CY117" s="376"/>
      <c r="CZ117" s="373"/>
      <c r="DA117" s="373"/>
      <c r="DB117" s="376"/>
      <c r="DC117" s="376"/>
      <c r="DD117" s="376"/>
      <c r="DE117" s="376"/>
      <c r="DF117" s="373"/>
      <c r="DG117" s="373"/>
      <c r="DH117" s="20"/>
      <c r="DI117" s="20"/>
      <c r="DJ117" s="20"/>
      <c r="DK117" s="20"/>
      <c r="DL117" s="20"/>
      <c r="DM117" s="373"/>
      <c r="DN117" s="20"/>
      <c r="DO117" s="20"/>
      <c r="DP117" s="20"/>
      <c r="DQ117" s="20"/>
      <c r="DR117" s="20"/>
      <c r="DS117" s="354"/>
      <c r="DT117" s="20"/>
      <c r="DU117" s="20"/>
      <c r="DV117" s="20"/>
      <c r="DW117" s="20"/>
      <c r="DX117" s="20"/>
      <c r="DY117" s="31"/>
      <c r="DZ117" s="20"/>
      <c r="EA117" s="20"/>
      <c r="EB117" s="20"/>
      <c r="EC117" s="20"/>
      <c r="ED117" s="20"/>
      <c r="EE117" s="41"/>
      <c r="EF117" s="20"/>
      <c r="EG117" s="20"/>
      <c r="EH117" s="20"/>
      <c r="EI117" s="20"/>
      <c r="EJ117" s="20"/>
      <c r="EK117" s="41"/>
      <c r="EL117" s="20"/>
      <c r="EM117" s="20"/>
      <c r="EN117" s="20"/>
      <c r="EO117" s="20"/>
      <c r="EP117" s="20"/>
      <c r="ER117" s="20"/>
      <c r="ES117" s="20"/>
      <c r="ET117" s="20"/>
      <c r="EU117" s="17"/>
      <c r="EV117" s="17">
        <v>0.68100000000000005</v>
      </c>
      <c r="EX117" s="17">
        <v>3.9E-2</v>
      </c>
      <c r="EY117" s="374">
        <v>0.02</v>
      </c>
      <c r="EZ117" s="374">
        <v>6.9000000000000006E-2</v>
      </c>
      <c r="FA117" s="374"/>
      <c r="FB117" s="523"/>
      <c r="FD117" s="374"/>
      <c r="FE117" s="374"/>
      <c r="FF117" s="374"/>
      <c r="FG117" s="374"/>
      <c r="FH117" s="523"/>
      <c r="FJ117" s="374"/>
      <c r="FK117" s="374"/>
      <c r="FL117" s="374"/>
      <c r="FM117" s="374"/>
      <c r="FN117" s="523"/>
    </row>
    <row r="118" spans="2:170" s="372" customFormat="1">
      <c r="B118" s="378" t="s">
        <v>658</v>
      </c>
      <c r="C118" s="348"/>
      <c r="D118" s="373"/>
      <c r="E118" s="373"/>
      <c r="F118" s="373"/>
      <c r="G118" s="373"/>
      <c r="H118" s="373"/>
      <c r="I118" s="373"/>
      <c r="J118" s="373"/>
      <c r="K118" s="373"/>
      <c r="L118" s="373"/>
      <c r="M118" s="373"/>
      <c r="N118" s="373"/>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3"/>
      <c r="AX118" s="373"/>
      <c r="AY118" s="373"/>
      <c r="AZ118" s="375"/>
      <c r="BA118" s="375"/>
      <c r="BB118" s="375"/>
      <c r="BC118" s="375"/>
      <c r="BD118" s="373"/>
      <c r="BE118" s="373"/>
      <c r="BF118" s="375"/>
      <c r="BG118" s="375"/>
      <c r="BH118" s="375"/>
      <c r="BI118" s="375"/>
      <c r="BJ118" s="375"/>
      <c r="BK118" s="373"/>
      <c r="BL118" s="373"/>
      <c r="BM118" s="373"/>
      <c r="BN118" s="373"/>
      <c r="BO118" s="373"/>
      <c r="BP118" s="373"/>
      <c r="BQ118" s="373"/>
      <c r="BR118" s="373"/>
      <c r="BS118" s="373"/>
      <c r="BT118" s="373"/>
      <c r="BU118" s="373"/>
      <c r="BV118" s="373"/>
      <c r="BW118" s="373"/>
      <c r="BX118" s="373"/>
      <c r="BY118" s="373"/>
      <c r="BZ118" s="373"/>
      <c r="CA118" s="376"/>
      <c r="CB118" s="373"/>
      <c r="CC118" s="377"/>
      <c r="CD118" s="373"/>
      <c r="CE118" s="373"/>
      <c r="CF118" s="373"/>
      <c r="CG118" s="373"/>
      <c r="CH118" s="373"/>
      <c r="CI118" s="373"/>
      <c r="CJ118" s="373"/>
      <c r="CK118" s="373"/>
      <c r="CL118" s="373"/>
      <c r="CM118" s="373"/>
      <c r="CN118" s="373"/>
      <c r="CO118" s="373"/>
      <c r="CP118" s="373"/>
      <c r="CQ118" s="373"/>
      <c r="CR118" s="373"/>
      <c r="CS118" s="373"/>
      <c r="CT118" s="373"/>
      <c r="CU118" s="373"/>
      <c r="CV118" s="376"/>
      <c r="CW118" s="376"/>
      <c r="CX118" s="376"/>
      <c r="CY118" s="376"/>
      <c r="CZ118" s="373"/>
      <c r="DA118" s="373"/>
      <c r="DB118" s="376"/>
      <c r="DC118" s="376"/>
      <c r="DD118" s="376"/>
      <c r="DE118" s="376"/>
      <c r="DF118" s="373"/>
      <c r="DG118" s="373"/>
      <c r="DH118" s="20"/>
      <c r="DI118" s="20"/>
      <c r="DJ118" s="20"/>
      <c r="DK118" s="20"/>
      <c r="DL118" s="20"/>
      <c r="DM118" s="373"/>
      <c r="DN118" s="20"/>
      <c r="DO118" s="20"/>
      <c r="DP118" s="20"/>
      <c r="DQ118" s="20"/>
      <c r="DR118" s="20"/>
      <c r="DS118" s="354"/>
      <c r="DT118" s="20"/>
      <c r="DU118" s="20"/>
      <c r="DV118" s="20"/>
      <c r="DW118" s="20"/>
      <c r="DX118" s="20"/>
      <c r="DY118" s="31"/>
      <c r="DZ118" s="20"/>
      <c r="EA118" s="20"/>
      <c r="EB118" s="20"/>
      <c r="EC118" s="20"/>
      <c r="ED118" s="20"/>
      <c r="EE118" s="41"/>
      <c r="EF118" s="20"/>
      <c r="EG118" s="20"/>
      <c r="EH118" s="20"/>
      <c r="EI118" s="20"/>
      <c r="EJ118" s="20"/>
      <c r="EK118" s="41"/>
      <c r="EL118" s="20"/>
      <c r="EM118" s="20"/>
      <c r="EN118" s="20"/>
      <c r="EO118" s="20"/>
      <c r="EP118" s="20"/>
      <c r="ER118" s="20"/>
      <c r="ES118" s="20"/>
      <c r="ET118" s="20"/>
      <c r="EU118" s="17"/>
      <c r="EV118" s="385">
        <f>SUM(EV114:EV117)</f>
        <v>660.56600000000003</v>
      </c>
      <c r="EX118" s="385">
        <f>SUM(EX114:EX117)</f>
        <v>168.03499999999997</v>
      </c>
      <c r="EY118" s="385">
        <f>SUM(EY114:EY117)</f>
        <v>181.33</v>
      </c>
      <c r="EZ118" s="385">
        <f>SUM(EZ114:EZ117)</f>
        <v>187.797</v>
      </c>
      <c r="FA118" s="374"/>
      <c r="FB118" s="523"/>
      <c r="FD118" s="374"/>
      <c r="FE118" s="374"/>
      <c r="FF118" s="374"/>
      <c r="FG118" s="374"/>
      <c r="FH118" s="523"/>
      <c r="FJ118" s="374"/>
      <c r="FK118" s="374"/>
      <c r="FL118" s="374"/>
      <c r="FM118" s="374"/>
      <c r="FN118" s="523"/>
    </row>
    <row r="119" spans="2:170" s="372" customFormat="1">
      <c r="B119" s="25"/>
      <c r="C119" s="348"/>
      <c r="D119" s="373"/>
      <c r="E119" s="373"/>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3"/>
      <c r="AX119" s="373"/>
      <c r="AY119" s="373"/>
      <c r="AZ119" s="375"/>
      <c r="BA119" s="375"/>
      <c r="BB119" s="375"/>
      <c r="BC119" s="375"/>
      <c r="BD119" s="373"/>
      <c r="BE119" s="373"/>
      <c r="BF119" s="375"/>
      <c r="BG119" s="375"/>
      <c r="BH119" s="375"/>
      <c r="BI119" s="375"/>
      <c r="BJ119" s="375"/>
      <c r="BK119" s="373"/>
      <c r="BL119" s="373"/>
      <c r="BM119" s="373"/>
      <c r="BN119" s="373"/>
      <c r="BO119" s="373"/>
      <c r="BP119" s="373"/>
      <c r="BQ119" s="373"/>
      <c r="BR119" s="373"/>
      <c r="BS119" s="373"/>
      <c r="BT119" s="373"/>
      <c r="BU119" s="373"/>
      <c r="BV119" s="373"/>
      <c r="BW119" s="373"/>
      <c r="BX119" s="373"/>
      <c r="BY119" s="373"/>
      <c r="BZ119" s="373"/>
      <c r="CA119" s="376"/>
      <c r="CB119" s="373"/>
      <c r="CC119" s="377"/>
      <c r="CD119" s="373"/>
      <c r="CE119" s="373"/>
      <c r="CF119" s="373"/>
      <c r="CG119" s="373"/>
      <c r="CH119" s="373"/>
      <c r="CI119" s="373"/>
      <c r="CJ119" s="373"/>
      <c r="CK119" s="373"/>
      <c r="CL119" s="373"/>
      <c r="CM119" s="373"/>
      <c r="CN119" s="373"/>
      <c r="CO119" s="373"/>
      <c r="CP119" s="373"/>
      <c r="CQ119" s="373"/>
      <c r="CR119" s="373"/>
      <c r="CS119" s="373"/>
      <c r="CT119" s="373"/>
      <c r="CU119" s="373"/>
      <c r="CV119" s="376"/>
      <c r="CW119" s="376"/>
      <c r="CX119" s="376"/>
      <c r="CY119" s="376"/>
      <c r="CZ119" s="373"/>
      <c r="DA119" s="373"/>
      <c r="DB119" s="376"/>
      <c r="DC119" s="376"/>
      <c r="DD119" s="376"/>
      <c r="DE119" s="376"/>
      <c r="DF119" s="373"/>
      <c r="DG119" s="373"/>
      <c r="DH119" s="20"/>
      <c r="DI119" s="20"/>
      <c r="DJ119" s="20"/>
      <c r="DK119" s="20"/>
      <c r="DL119" s="20"/>
      <c r="DM119" s="373"/>
      <c r="DN119" s="20"/>
      <c r="DO119" s="20"/>
      <c r="DP119" s="20"/>
      <c r="DQ119" s="20"/>
      <c r="DR119" s="20"/>
      <c r="DS119" s="354"/>
      <c r="DT119" s="20"/>
      <c r="DU119" s="20"/>
      <c r="DV119" s="20"/>
      <c r="DW119" s="20"/>
      <c r="DX119" s="20"/>
      <c r="DY119" s="31"/>
      <c r="DZ119" s="20"/>
      <c r="EA119" s="20"/>
      <c r="EB119" s="20"/>
      <c r="EC119" s="20"/>
      <c r="ED119" s="20"/>
      <c r="EE119" s="41"/>
      <c r="EF119" s="20"/>
      <c r="EG119" s="20"/>
      <c r="EH119" s="20"/>
      <c r="EI119" s="20"/>
      <c r="EJ119" s="20"/>
      <c r="EK119" s="41"/>
      <c r="EL119" s="20"/>
      <c r="EM119" s="20"/>
      <c r="EN119" s="20"/>
      <c r="EO119" s="20"/>
      <c r="EP119" s="20"/>
      <c r="ER119" s="20"/>
      <c r="ES119" s="20"/>
      <c r="ET119" s="20"/>
      <c r="EU119" s="17"/>
      <c r="EV119" s="17"/>
      <c r="EX119" s="17"/>
      <c r="EY119" s="374"/>
      <c r="EZ119" s="374"/>
      <c r="FA119" s="374"/>
      <c r="FB119" s="523"/>
      <c r="FD119" s="374"/>
      <c r="FE119" s="374"/>
      <c r="FF119" s="374"/>
      <c r="FG119" s="374"/>
      <c r="FH119" s="523"/>
      <c r="FJ119" s="374"/>
      <c r="FK119" s="374"/>
      <c r="FL119" s="374"/>
      <c r="FM119" s="374"/>
      <c r="FN119" s="523"/>
    </row>
    <row r="120" spans="2:170" s="372" customFormat="1">
      <c r="B120" s="25" t="s">
        <v>530</v>
      </c>
      <c r="C120" s="348"/>
      <c r="D120" s="373"/>
      <c r="E120" s="373"/>
      <c r="F120" s="373"/>
      <c r="G120" s="373"/>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3"/>
      <c r="AX120" s="373"/>
      <c r="AY120" s="373"/>
      <c r="AZ120" s="375"/>
      <c r="BA120" s="375"/>
      <c r="BB120" s="375"/>
      <c r="BC120" s="375"/>
      <c r="BD120" s="373"/>
      <c r="BE120" s="373"/>
      <c r="BF120" s="375"/>
      <c r="BG120" s="375"/>
      <c r="BH120" s="375"/>
      <c r="BI120" s="375"/>
      <c r="BJ120" s="375"/>
      <c r="BK120" s="373"/>
      <c r="BL120" s="373"/>
      <c r="BM120" s="373"/>
      <c r="BN120" s="373"/>
      <c r="BO120" s="373"/>
      <c r="BP120" s="373"/>
      <c r="BQ120" s="373"/>
      <c r="BR120" s="373"/>
      <c r="BS120" s="373"/>
      <c r="BT120" s="373"/>
      <c r="BU120" s="373"/>
      <c r="BV120" s="373"/>
      <c r="BW120" s="373"/>
      <c r="BX120" s="373"/>
      <c r="BY120" s="373"/>
      <c r="BZ120" s="373"/>
      <c r="CA120" s="376"/>
      <c r="CB120" s="373"/>
      <c r="CC120" s="377"/>
      <c r="CD120" s="373"/>
      <c r="CE120" s="373"/>
      <c r="CF120" s="373"/>
      <c r="CG120" s="373"/>
      <c r="CH120" s="373"/>
      <c r="CI120" s="373"/>
      <c r="CJ120" s="373"/>
      <c r="CK120" s="373"/>
      <c r="CL120" s="373"/>
      <c r="CM120" s="373"/>
      <c r="CN120" s="373"/>
      <c r="CO120" s="373"/>
      <c r="CP120" s="373"/>
      <c r="CQ120" s="373"/>
      <c r="CR120" s="373"/>
      <c r="CS120" s="373"/>
      <c r="CT120" s="373"/>
      <c r="CU120" s="373"/>
      <c r="CV120" s="376"/>
      <c r="CW120" s="376"/>
      <c r="CX120" s="376"/>
      <c r="CY120" s="376"/>
      <c r="CZ120" s="373"/>
      <c r="DA120" s="373"/>
      <c r="DB120" s="376"/>
      <c r="DC120" s="376"/>
      <c r="DD120" s="376"/>
      <c r="DE120" s="376"/>
      <c r="DF120" s="373"/>
      <c r="DG120" s="373"/>
      <c r="DH120" s="20"/>
      <c r="DI120" s="20"/>
      <c r="DJ120" s="20"/>
      <c r="DK120" s="20"/>
      <c r="DL120" s="20"/>
      <c r="DM120" s="373"/>
      <c r="DN120" s="20"/>
      <c r="DO120" s="20"/>
      <c r="DP120" s="20"/>
      <c r="DQ120" s="20"/>
      <c r="DR120" s="20"/>
      <c r="DS120" s="354"/>
      <c r="DT120" s="20"/>
      <c r="DU120" s="20"/>
      <c r="DV120" s="20"/>
      <c r="DW120" s="20"/>
      <c r="DX120" s="20"/>
      <c r="DY120" s="31"/>
      <c r="DZ120" s="20"/>
      <c r="EA120" s="20"/>
      <c r="EB120" s="20"/>
      <c r="EC120" s="20"/>
      <c r="ED120" s="20"/>
      <c r="EE120" s="41"/>
      <c r="EF120" s="20"/>
      <c r="EG120" s="20"/>
      <c r="EH120" s="20"/>
      <c r="EI120" s="20"/>
      <c r="EJ120" s="20"/>
      <c r="EK120" s="41"/>
      <c r="EL120" s="20"/>
      <c r="EM120" s="20"/>
      <c r="EN120" s="20"/>
      <c r="EO120" s="20"/>
      <c r="EP120" s="20"/>
      <c r="ER120" s="20"/>
      <c r="ES120" s="20"/>
      <c r="ET120" s="20"/>
      <c r="EU120" s="17"/>
      <c r="EV120" s="20">
        <f>EV114/EV$118</f>
        <v>0.71975245471307936</v>
      </c>
      <c r="EX120" s="20">
        <f t="shared" ref="EX120:EY123" si="37">EX114/EX$118</f>
        <v>0.72626536138304532</v>
      </c>
      <c r="EY120" s="20">
        <f t="shared" si="37"/>
        <v>0.7233055754701373</v>
      </c>
      <c r="EZ120" s="20">
        <f>EZ114/EZ$118</f>
        <v>0.70442019840572545</v>
      </c>
      <c r="FA120" s="374"/>
      <c r="FB120" s="523"/>
      <c r="FD120" s="374"/>
      <c r="FE120" s="374"/>
      <c r="FF120" s="374"/>
      <c r="FG120" s="374"/>
      <c r="FH120" s="523"/>
      <c r="FJ120" s="374"/>
      <c r="FK120" s="374"/>
      <c r="FL120" s="374"/>
      <c r="FM120" s="374"/>
      <c r="FN120" s="523"/>
    </row>
    <row r="121" spans="2:170" s="372" customFormat="1">
      <c r="B121" s="25" t="s">
        <v>531</v>
      </c>
      <c r="C121" s="348"/>
      <c r="D121" s="373"/>
      <c r="E121" s="373"/>
      <c r="F121" s="373"/>
      <c r="G121" s="373"/>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3"/>
      <c r="AX121" s="373"/>
      <c r="AY121" s="373"/>
      <c r="AZ121" s="375"/>
      <c r="BA121" s="375"/>
      <c r="BB121" s="375"/>
      <c r="BC121" s="375"/>
      <c r="BD121" s="373"/>
      <c r="BE121" s="373"/>
      <c r="BF121" s="375"/>
      <c r="BG121" s="375"/>
      <c r="BH121" s="375"/>
      <c r="BI121" s="375"/>
      <c r="BJ121" s="375"/>
      <c r="BK121" s="373"/>
      <c r="BL121" s="373"/>
      <c r="BM121" s="373"/>
      <c r="BN121" s="373"/>
      <c r="BO121" s="373"/>
      <c r="BP121" s="373"/>
      <c r="BQ121" s="373"/>
      <c r="BR121" s="373"/>
      <c r="BS121" s="373"/>
      <c r="BT121" s="373"/>
      <c r="BU121" s="373"/>
      <c r="BV121" s="373"/>
      <c r="BW121" s="373"/>
      <c r="BX121" s="373"/>
      <c r="BY121" s="373"/>
      <c r="BZ121" s="373"/>
      <c r="CA121" s="376"/>
      <c r="CB121" s="373"/>
      <c r="CC121" s="377"/>
      <c r="CD121" s="373"/>
      <c r="CE121" s="373"/>
      <c r="CF121" s="373"/>
      <c r="CG121" s="373"/>
      <c r="CH121" s="373"/>
      <c r="CI121" s="373"/>
      <c r="CJ121" s="373"/>
      <c r="CK121" s="373"/>
      <c r="CL121" s="373"/>
      <c r="CM121" s="373"/>
      <c r="CN121" s="373"/>
      <c r="CO121" s="373"/>
      <c r="CP121" s="373"/>
      <c r="CQ121" s="373"/>
      <c r="CR121" s="373"/>
      <c r="CS121" s="373"/>
      <c r="CT121" s="373"/>
      <c r="CU121" s="373"/>
      <c r="CV121" s="376"/>
      <c r="CW121" s="376"/>
      <c r="CX121" s="376"/>
      <c r="CY121" s="376"/>
      <c r="CZ121" s="373"/>
      <c r="DA121" s="373"/>
      <c r="DB121" s="376"/>
      <c r="DC121" s="376"/>
      <c r="DD121" s="376"/>
      <c r="DE121" s="376"/>
      <c r="DF121" s="373"/>
      <c r="DG121" s="373"/>
      <c r="DH121" s="20"/>
      <c r="DI121" s="20"/>
      <c r="DJ121" s="20"/>
      <c r="DK121" s="20"/>
      <c r="DL121" s="20"/>
      <c r="DM121" s="373"/>
      <c r="DN121" s="20"/>
      <c r="DO121" s="20"/>
      <c r="DP121" s="20"/>
      <c r="DQ121" s="20"/>
      <c r="DR121" s="20"/>
      <c r="DS121" s="354"/>
      <c r="DT121" s="20"/>
      <c r="DU121" s="20"/>
      <c r="DV121" s="20"/>
      <c r="DW121" s="20"/>
      <c r="DX121" s="20"/>
      <c r="DY121" s="31"/>
      <c r="DZ121" s="20"/>
      <c r="EA121" s="20"/>
      <c r="EB121" s="20"/>
      <c r="EC121" s="20"/>
      <c r="ED121" s="20"/>
      <c r="EE121" s="41"/>
      <c r="EF121" s="20"/>
      <c r="EG121" s="20"/>
      <c r="EH121" s="20"/>
      <c r="EI121" s="20"/>
      <c r="EJ121" s="20"/>
      <c r="EK121" s="41"/>
      <c r="EL121" s="20"/>
      <c r="EM121" s="20"/>
      <c r="EN121" s="20"/>
      <c r="EO121" s="20"/>
      <c r="EP121" s="20"/>
      <c r="ER121" s="20"/>
      <c r="ES121" s="20"/>
      <c r="ET121" s="20"/>
      <c r="EU121" s="17"/>
      <c r="EV121" s="20">
        <f>EV115/EV$118</f>
        <v>0.15114765216496157</v>
      </c>
      <c r="EX121" s="20">
        <f t="shared" si="37"/>
        <v>0.14792751510102065</v>
      </c>
      <c r="EY121" s="20">
        <f t="shared" si="37"/>
        <v>0.15863894556885236</v>
      </c>
      <c r="EZ121" s="20">
        <f>EZ115/EZ$118</f>
        <v>0.17287816099298711</v>
      </c>
      <c r="FA121" s="374"/>
      <c r="FB121" s="523"/>
      <c r="FD121" s="374"/>
      <c r="FE121" s="374"/>
      <c r="FF121" s="374"/>
      <c r="FG121" s="374"/>
      <c r="FH121" s="523"/>
      <c r="FJ121" s="374"/>
      <c r="FK121" s="374"/>
      <c r="FL121" s="374"/>
      <c r="FM121" s="374"/>
      <c r="FN121" s="523"/>
    </row>
    <row r="122" spans="2:170" s="372" customFormat="1">
      <c r="B122" s="25" t="s">
        <v>532</v>
      </c>
      <c r="C122" s="348"/>
      <c r="D122" s="373"/>
      <c r="E122" s="373"/>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3"/>
      <c r="AX122" s="373"/>
      <c r="AY122" s="373"/>
      <c r="AZ122" s="375"/>
      <c r="BA122" s="375"/>
      <c r="BB122" s="375"/>
      <c r="BC122" s="375"/>
      <c r="BD122" s="373"/>
      <c r="BE122" s="373"/>
      <c r="BF122" s="375"/>
      <c r="BG122" s="375"/>
      <c r="BH122" s="375"/>
      <c r="BI122" s="375"/>
      <c r="BJ122" s="375"/>
      <c r="BK122" s="373"/>
      <c r="BL122" s="373"/>
      <c r="BM122" s="373"/>
      <c r="BN122" s="373"/>
      <c r="BO122" s="373"/>
      <c r="BP122" s="373"/>
      <c r="BQ122" s="373"/>
      <c r="BR122" s="373"/>
      <c r="BS122" s="373"/>
      <c r="BT122" s="373"/>
      <c r="BU122" s="373"/>
      <c r="BV122" s="373"/>
      <c r="BW122" s="373"/>
      <c r="BX122" s="373"/>
      <c r="BY122" s="373"/>
      <c r="BZ122" s="373"/>
      <c r="CA122" s="376"/>
      <c r="CB122" s="373"/>
      <c r="CC122" s="377"/>
      <c r="CD122" s="373"/>
      <c r="CE122" s="373"/>
      <c r="CF122" s="373"/>
      <c r="CG122" s="373"/>
      <c r="CH122" s="373"/>
      <c r="CI122" s="373"/>
      <c r="CJ122" s="373"/>
      <c r="CK122" s="373"/>
      <c r="CL122" s="373"/>
      <c r="CM122" s="373"/>
      <c r="CN122" s="373"/>
      <c r="CO122" s="373"/>
      <c r="CP122" s="373"/>
      <c r="CQ122" s="373"/>
      <c r="CR122" s="373"/>
      <c r="CS122" s="373"/>
      <c r="CT122" s="373"/>
      <c r="CU122" s="373"/>
      <c r="CV122" s="376"/>
      <c r="CW122" s="376"/>
      <c r="CX122" s="376"/>
      <c r="CY122" s="376"/>
      <c r="CZ122" s="373"/>
      <c r="DA122" s="373"/>
      <c r="DB122" s="376"/>
      <c r="DC122" s="376"/>
      <c r="DD122" s="376"/>
      <c r="DE122" s="376"/>
      <c r="DF122" s="373"/>
      <c r="DG122" s="373"/>
      <c r="DH122" s="20"/>
      <c r="DI122" s="20"/>
      <c r="DJ122" s="20"/>
      <c r="DK122" s="20"/>
      <c r="DL122" s="20"/>
      <c r="DM122" s="373"/>
      <c r="DN122" s="20"/>
      <c r="DO122" s="20"/>
      <c r="DP122" s="20"/>
      <c r="DQ122" s="20"/>
      <c r="DR122" s="20"/>
      <c r="DS122" s="354"/>
      <c r="DT122" s="20"/>
      <c r="DU122" s="20"/>
      <c r="DV122" s="20"/>
      <c r="DW122" s="20"/>
      <c r="DX122" s="20"/>
      <c r="DY122" s="31"/>
      <c r="DZ122" s="20"/>
      <c r="EA122" s="20"/>
      <c r="EB122" s="20"/>
      <c r="EC122" s="20"/>
      <c r="ED122" s="20"/>
      <c r="EE122" s="41"/>
      <c r="EF122" s="20"/>
      <c r="EG122" s="20"/>
      <c r="EH122" s="20"/>
      <c r="EI122" s="20"/>
      <c r="EJ122" s="20"/>
      <c r="EK122" s="41"/>
      <c r="EL122" s="20"/>
      <c r="EM122" s="20"/>
      <c r="EN122" s="20"/>
      <c r="EO122" s="20"/>
      <c r="EP122" s="20"/>
      <c r="ER122" s="20"/>
      <c r="ES122" s="20"/>
      <c r="ET122" s="20"/>
      <c r="EU122" s="17"/>
      <c r="EV122" s="20">
        <f>EV116/EV$118</f>
        <v>0.12806895904421359</v>
      </c>
      <c r="EX122" s="20">
        <f t="shared" si="37"/>
        <v>0.12557502901181303</v>
      </c>
      <c r="EY122" s="20">
        <f t="shared" si="37"/>
        <v>0.11794518281586058</v>
      </c>
      <c r="EZ122" s="20">
        <f>EZ116/EZ$118</f>
        <v>0.1223342225914152</v>
      </c>
      <c r="FA122" s="374"/>
      <c r="FB122" s="523"/>
      <c r="FD122" s="374"/>
      <c r="FE122" s="374"/>
      <c r="FF122" s="374"/>
      <c r="FG122" s="374"/>
      <c r="FH122" s="523"/>
      <c r="FJ122" s="374"/>
      <c r="FK122" s="374"/>
      <c r="FL122" s="374"/>
      <c r="FM122" s="374"/>
      <c r="FN122" s="523"/>
    </row>
    <row r="123" spans="2:170" s="372" customFormat="1">
      <c r="B123" s="25" t="s">
        <v>533</v>
      </c>
      <c r="C123" s="348"/>
      <c r="D123" s="373"/>
      <c r="E123" s="373"/>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3"/>
      <c r="AX123" s="373"/>
      <c r="AY123" s="373"/>
      <c r="AZ123" s="375"/>
      <c r="BA123" s="375"/>
      <c r="BB123" s="375"/>
      <c r="BC123" s="375"/>
      <c r="BD123" s="373"/>
      <c r="BE123" s="373"/>
      <c r="BF123" s="375"/>
      <c r="BG123" s="375"/>
      <c r="BH123" s="375"/>
      <c r="BI123" s="375"/>
      <c r="BJ123" s="375"/>
      <c r="BK123" s="373"/>
      <c r="BL123" s="373"/>
      <c r="BM123" s="373"/>
      <c r="BN123" s="373"/>
      <c r="BO123" s="373"/>
      <c r="BP123" s="373"/>
      <c r="BQ123" s="373"/>
      <c r="BR123" s="373"/>
      <c r="BS123" s="373"/>
      <c r="BT123" s="373"/>
      <c r="BU123" s="373"/>
      <c r="BV123" s="373"/>
      <c r="BW123" s="373"/>
      <c r="BX123" s="373"/>
      <c r="BY123" s="373"/>
      <c r="BZ123" s="373"/>
      <c r="CA123" s="376"/>
      <c r="CB123" s="373"/>
      <c r="CC123" s="377"/>
      <c r="CD123" s="373"/>
      <c r="CE123" s="373"/>
      <c r="CF123" s="373"/>
      <c r="CG123" s="373"/>
      <c r="CH123" s="373"/>
      <c r="CI123" s="373"/>
      <c r="CJ123" s="373"/>
      <c r="CK123" s="373"/>
      <c r="CL123" s="373"/>
      <c r="CM123" s="373"/>
      <c r="CN123" s="373"/>
      <c r="CO123" s="373"/>
      <c r="CP123" s="373"/>
      <c r="CQ123" s="373"/>
      <c r="CR123" s="373"/>
      <c r="CS123" s="373"/>
      <c r="CT123" s="373"/>
      <c r="CU123" s="373"/>
      <c r="CV123" s="376"/>
      <c r="CW123" s="376"/>
      <c r="CX123" s="376"/>
      <c r="CY123" s="376"/>
      <c r="CZ123" s="373"/>
      <c r="DA123" s="373"/>
      <c r="DB123" s="376"/>
      <c r="DC123" s="376"/>
      <c r="DD123" s="376"/>
      <c r="DE123" s="376"/>
      <c r="DF123" s="373"/>
      <c r="DG123" s="373"/>
      <c r="DH123" s="20"/>
      <c r="DI123" s="20"/>
      <c r="DJ123" s="20"/>
      <c r="DK123" s="20"/>
      <c r="DL123" s="20"/>
      <c r="DM123" s="373"/>
      <c r="DN123" s="20"/>
      <c r="DO123" s="20"/>
      <c r="DP123" s="20"/>
      <c r="DQ123" s="20"/>
      <c r="DR123" s="20"/>
      <c r="DS123" s="354"/>
      <c r="DT123" s="20"/>
      <c r="DU123" s="20"/>
      <c r="DV123" s="20"/>
      <c r="DW123" s="20"/>
      <c r="DX123" s="20"/>
      <c r="DY123" s="31"/>
      <c r="DZ123" s="20"/>
      <c r="EA123" s="20"/>
      <c r="EB123" s="20"/>
      <c r="EC123" s="20"/>
      <c r="ED123" s="20"/>
      <c r="EE123" s="41"/>
      <c r="EF123" s="20"/>
      <c r="EG123" s="20"/>
      <c r="EH123" s="20"/>
      <c r="EI123" s="20"/>
      <c r="EJ123" s="20"/>
      <c r="EK123" s="41"/>
      <c r="EL123" s="20"/>
      <c r="EM123" s="20"/>
      <c r="EN123" s="20"/>
      <c r="EO123" s="20"/>
      <c r="EP123" s="20"/>
      <c r="ER123" s="20"/>
      <c r="ES123" s="20"/>
      <c r="ET123" s="20"/>
      <c r="EU123" s="17"/>
      <c r="EV123" s="20">
        <f>EV117/EV$118</f>
        <v>1.0309340777454486E-3</v>
      </c>
      <c r="EX123" s="20">
        <f t="shared" si="37"/>
        <v>2.3209450412116527E-4</v>
      </c>
      <c r="EY123" s="20">
        <f t="shared" si="37"/>
        <v>1.1029614514972701E-4</v>
      </c>
      <c r="EZ123" s="20">
        <f>EZ117/EZ$118</f>
        <v>3.674180098723622E-4</v>
      </c>
      <c r="FA123" s="374"/>
      <c r="FB123" s="523"/>
      <c r="FD123" s="374"/>
      <c r="FE123" s="374"/>
      <c r="FF123" s="374"/>
      <c r="FG123" s="374"/>
      <c r="FH123" s="523"/>
      <c r="FJ123" s="374"/>
      <c r="FK123" s="374"/>
      <c r="FL123" s="374"/>
      <c r="FM123" s="374"/>
      <c r="FN123" s="523"/>
    </row>
    <row r="124" spans="2:170" s="372" customFormat="1">
      <c r="B124" s="25"/>
      <c r="C124" s="348"/>
      <c r="D124" s="373"/>
      <c r="E124" s="373"/>
      <c r="F124" s="373"/>
      <c r="G124" s="373"/>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3"/>
      <c r="AX124" s="373"/>
      <c r="AY124" s="373"/>
      <c r="AZ124" s="375"/>
      <c r="BA124" s="375"/>
      <c r="BB124" s="375"/>
      <c r="BC124" s="375"/>
      <c r="BD124" s="373"/>
      <c r="BE124" s="373"/>
      <c r="BF124" s="375"/>
      <c r="BG124" s="375"/>
      <c r="BH124" s="375"/>
      <c r="BI124" s="375"/>
      <c r="BJ124" s="375"/>
      <c r="BK124" s="373"/>
      <c r="BL124" s="373"/>
      <c r="BM124" s="373"/>
      <c r="BN124" s="373"/>
      <c r="BO124" s="373"/>
      <c r="BP124" s="373"/>
      <c r="BQ124" s="373"/>
      <c r="BR124" s="373"/>
      <c r="BS124" s="373"/>
      <c r="BT124" s="373"/>
      <c r="BU124" s="373"/>
      <c r="BV124" s="373"/>
      <c r="BW124" s="373"/>
      <c r="BX124" s="373"/>
      <c r="BY124" s="373"/>
      <c r="BZ124" s="373"/>
      <c r="CA124" s="376"/>
      <c r="CB124" s="373"/>
      <c r="CC124" s="377"/>
      <c r="CD124" s="373"/>
      <c r="CE124" s="373"/>
      <c r="CF124" s="373"/>
      <c r="CG124" s="373"/>
      <c r="CH124" s="373"/>
      <c r="CI124" s="373"/>
      <c r="CJ124" s="373"/>
      <c r="CK124" s="373"/>
      <c r="CL124" s="373"/>
      <c r="CM124" s="373"/>
      <c r="CN124" s="373"/>
      <c r="CO124" s="373"/>
      <c r="CP124" s="373"/>
      <c r="CQ124" s="373"/>
      <c r="CR124" s="373"/>
      <c r="CS124" s="373"/>
      <c r="CT124" s="373"/>
      <c r="CU124" s="373"/>
      <c r="CV124" s="376"/>
      <c r="CW124" s="376"/>
      <c r="CX124" s="376"/>
      <c r="CY124" s="376"/>
      <c r="CZ124" s="373"/>
      <c r="DA124" s="373"/>
      <c r="DB124" s="376"/>
      <c r="DC124" s="376"/>
      <c r="DD124" s="376"/>
      <c r="DE124" s="376"/>
      <c r="DF124" s="373"/>
      <c r="DG124" s="373"/>
      <c r="DH124" s="20"/>
      <c r="DI124" s="20"/>
      <c r="DJ124" s="20"/>
      <c r="DK124" s="20"/>
      <c r="DL124" s="20"/>
      <c r="DM124" s="373"/>
      <c r="DN124" s="20"/>
      <c r="DO124" s="20"/>
      <c r="DP124" s="20"/>
      <c r="DQ124" s="20"/>
      <c r="DR124" s="20"/>
      <c r="DS124" s="354"/>
      <c r="DT124" s="20"/>
      <c r="DU124" s="20"/>
      <c r="DV124" s="20"/>
      <c r="DW124" s="20"/>
      <c r="DX124" s="20"/>
      <c r="DY124" s="31"/>
      <c r="DZ124" s="20"/>
      <c r="EA124" s="20"/>
      <c r="EB124" s="20"/>
      <c r="EC124" s="20"/>
      <c r="ED124" s="20"/>
      <c r="EE124" s="41"/>
      <c r="EF124" s="20"/>
      <c r="EG124" s="20"/>
      <c r="EH124" s="20"/>
      <c r="EI124" s="20"/>
      <c r="EJ124" s="20"/>
      <c r="EK124" s="41"/>
      <c r="EL124" s="20"/>
      <c r="EM124" s="20"/>
      <c r="EN124" s="20"/>
      <c r="EO124" s="20"/>
      <c r="EP124" s="20"/>
      <c r="ER124" s="20"/>
      <c r="ES124" s="20"/>
      <c r="ET124" s="20"/>
      <c r="EU124" s="17"/>
      <c r="EV124" s="17"/>
      <c r="EX124" s="374"/>
      <c r="EY124" s="374"/>
      <c r="EZ124" s="374"/>
      <c r="FA124" s="374"/>
      <c r="FB124" s="523"/>
      <c r="FD124" s="374"/>
      <c r="FE124" s="374"/>
      <c r="FF124" s="374"/>
      <c r="FG124" s="374"/>
      <c r="FH124" s="523"/>
      <c r="FJ124" s="374"/>
      <c r="FK124" s="374"/>
      <c r="FL124" s="374"/>
      <c r="FM124" s="374"/>
      <c r="FN124" s="523"/>
    </row>
    <row r="125" spans="2:170" s="372" customFormat="1">
      <c r="B125" s="373"/>
      <c r="C125" s="348"/>
      <c r="D125" s="373"/>
      <c r="E125" s="373"/>
      <c r="F125" s="373"/>
      <c r="G125" s="373"/>
      <c r="H125" s="373"/>
      <c r="I125" s="373"/>
      <c r="J125" s="373"/>
      <c r="K125" s="373"/>
      <c r="L125" s="373"/>
      <c r="M125" s="373"/>
      <c r="N125" s="373"/>
      <c r="O125" s="373"/>
      <c r="P125" s="373"/>
      <c r="Q125" s="373"/>
      <c r="R125" s="373"/>
      <c r="S125" s="373"/>
      <c r="T125" s="373"/>
      <c r="U125" s="373"/>
      <c r="V125" s="373"/>
      <c r="W125" s="373"/>
      <c r="X125" s="373"/>
      <c r="Y125" s="373"/>
      <c r="Z125" s="373"/>
      <c r="AA125" s="373"/>
      <c r="AB125" s="373"/>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3"/>
      <c r="AX125" s="373"/>
      <c r="AY125" s="373"/>
      <c r="AZ125" s="375"/>
      <c r="BA125" s="375"/>
      <c r="BB125" s="375"/>
      <c r="BC125" s="375"/>
      <c r="BD125" s="373"/>
      <c r="BE125" s="373"/>
      <c r="BF125" s="375"/>
      <c r="BG125" s="375"/>
      <c r="BH125" s="375"/>
      <c r="BI125" s="375"/>
      <c r="BJ125" s="375"/>
      <c r="BK125" s="373"/>
      <c r="BL125" s="373"/>
      <c r="BM125" s="373"/>
      <c r="BN125" s="373"/>
      <c r="BO125" s="373"/>
      <c r="BP125" s="373"/>
      <c r="BQ125" s="373"/>
      <c r="BR125" s="373"/>
      <c r="BS125" s="373"/>
      <c r="BT125" s="373"/>
      <c r="BU125" s="373"/>
      <c r="BV125" s="373"/>
      <c r="BW125" s="373"/>
      <c r="BX125" s="373"/>
      <c r="BY125" s="373"/>
      <c r="BZ125" s="373"/>
      <c r="CA125" s="376"/>
      <c r="CB125" s="373"/>
      <c r="CC125" s="377"/>
      <c r="CD125" s="373"/>
      <c r="CE125" s="373"/>
      <c r="CF125" s="373"/>
      <c r="CG125" s="373"/>
      <c r="CH125" s="373"/>
      <c r="CI125" s="373"/>
      <c r="CJ125" s="373"/>
      <c r="CK125" s="373"/>
      <c r="CL125" s="373"/>
      <c r="CM125" s="373"/>
      <c r="CN125" s="373"/>
      <c r="CO125" s="373"/>
      <c r="CP125" s="373"/>
      <c r="CQ125" s="373"/>
      <c r="CR125" s="373"/>
      <c r="CS125" s="373"/>
      <c r="CT125" s="373"/>
      <c r="CU125" s="373"/>
      <c r="CV125" s="376"/>
      <c r="CW125" s="376"/>
      <c r="CX125" s="376"/>
      <c r="CY125" s="376"/>
      <c r="CZ125" s="373"/>
      <c r="DA125" s="373"/>
      <c r="DB125" s="376"/>
      <c r="DC125" s="376"/>
      <c r="DD125" s="376"/>
      <c r="DE125" s="376"/>
      <c r="DF125" s="373"/>
      <c r="DG125" s="373"/>
      <c r="DH125" s="17"/>
      <c r="DI125" s="17"/>
      <c r="DJ125" s="17"/>
      <c r="DK125" s="17"/>
      <c r="DL125" s="17"/>
      <c r="DM125" s="373"/>
      <c r="DN125" s="17"/>
      <c r="DO125" s="17"/>
      <c r="DP125" s="17"/>
      <c r="DQ125" s="17"/>
      <c r="DR125" s="17"/>
      <c r="DS125" s="354"/>
      <c r="DT125" s="17"/>
      <c r="DU125" s="17"/>
      <c r="DV125" s="17"/>
      <c r="DW125" s="17"/>
      <c r="DX125" s="17"/>
      <c r="DY125" s="31"/>
      <c r="DZ125" s="17"/>
      <c r="EA125" s="17"/>
      <c r="EB125" s="17"/>
      <c r="EC125" s="17"/>
      <c r="ED125" s="17"/>
      <c r="EE125" s="41"/>
      <c r="EF125" s="17"/>
      <c r="EG125" s="17"/>
      <c r="EH125" s="17"/>
      <c r="EI125" s="17"/>
      <c r="EJ125" s="17"/>
      <c r="EK125" s="41"/>
      <c r="EL125" s="17"/>
      <c r="EM125" s="17"/>
      <c r="EN125" s="17"/>
      <c r="EO125" s="17"/>
      <c r="EP125" s="17"/>
      <c r="ER125" s="17"/>
      <c r="ES125" s="17"/>
      <c r="ET125" s="17"/>
      <c r="EU125" s="17"/>
      <c r="EV125" s="17"/>
      <c r="EX125" s="374"/>
      <c r="EY125" s="374"/>
      <c r="EZ125" s="374"/>
      <c r="FA125" s="374"/>
      <c r="FB125" s="523"/>
      <c r="FD125" s="374"/>
      <c r="FE125" s="374"/>
      <c r="FF125" s="374"/>
      <c r="FG125" s="374"/>
      <c r="FH125" s="523"/>
      <c r="FJ125" s="374"/>
      <c r="FK125" s="374"/>
      <c r="FL125" s="374"/>
      <c r="FM125" s="374"/>
      <c r="FN125" s="523"/>
    </row>
    <row r="126" spans="2:170" s="372" customFormat="1">
      <c r="B126" s="378" t="s">
        <v>655</v>
      </c>
      <c r="C126" s="389"/>
      <c r="D126" s="373"/>
      <c r="E126" s="373"/>
      <c r="F126" s="373"/>
      <c r="G126" s="373"/>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3"/>
      <c r="AX126" s="373"/>
      <c r="AY126" s="373"/>
      <c r="AZ126" s="375"/>
      <c r="BA126" s="375"/>
      <c r="BB126" s="375"/>
      <c r="BC126" s="375"/>
      <c r="BD126" s="373"/>
      <c r="BE126" s="373"/>
      <c r="BF126" s="375"/>
      <c r="BG126" s="375"/>
      <c r="BH126" s="375"/>
      <c r="BI126" s="375"/>
      <c r="BJ126" s="375"/>
      <c r="BK126" s="373"/>
      <c r="BL126" s="373"/>
      <c r="BM126" s="373"/>
      <c r="BN126" s="373"/>
      <c r="BO126" s="373"/>
      <c r="BP126" s="373"/>
      <c r="BQ126" s="373"/>
      <c r="BR126" s="373"/>
      <c r="BS126" s="373"/>
      <c r="BT126" s="373"/>
      <c r="BU126" s="373"/>
      <c r="BV126" s="373"/>
      <c r="BW126" s="373"/>
      <c r="BX126" s="373"/>
      <c r="BY126" s="373"/>
      <c r="BZ126" s="373"/>
      <c r="CA126" s="376"/>
      <c r="CB126" s="373"/>
      <c r="CC126" s="377"/>
      <c r="CD126" s="373"/>
      <c r="CE126" s="373"/>
      <c r="CF126" s="373"/>
      <c r="CG126" s="373"/>
      <c r="CH126" s="373"/>
      <c r="CI126" s="373"/>
      <c r="CJ126" s="373"/>
      <c r="CK126" s="373"/>
      <c r="CL126" s="373"/>
      <c r="CM126" s="373"/>
      <c r="CN126" s="373"/>
      <c r="CO126" s="373"/>
      <c r="CP126" s="373"/>
      <c r="CQ126" s="373"/>
      <c r="CR126" s="373"/>
      <c r="CS126" s="373"/>
      <c r="CT126" s="373"/>
      <c r="CU126" s="373"/>
      <c r="CV126" s="376"/>
      <c r="CW126" s="376"/>
      <c r="CX126" s="376"/>
      <c r="CY126" s="376"/>
      <c r="CZ126" s="373"/>
      <c r="DA126" s="373"/>
      <c r="DB126" s="376"/>
      <c r="DC126" s="376"/>
      <c r="DD126" s="376"/>
      <c r="DE126" s="376"/>
      <c r="DF126" s="373"/>
      <c r="DG126" s="373"/>
      <c r="DH126" s="373"/>
      <c r="DI126" s="373"/>
      <c r="DJ126" s="373"/>
      <c r="DK126" s="373"/>
      <c r="DL126" s="373"/>
      <c r="DM126" s="373"/>
      <c r="DN126" s="373"/>
      <c r="DO126" s="373"/>
      <c r="DP126" s="373"/>
      <c r="DQ126" s="373"/>
      <c r="DR126" s="373"/>
      <c r="DS126" s="373"/>
      <c r="DT126" s="373"/>
      <c r="DU126" s="373"/>
      <c r="DV126" s="373"/>
      <c r="DW126" s="373"/>
      <c r="DX126" s="373"/>
      <c r="DZ126" s="380"/>
      <c r="EA126" s="380"/>
      <c r="EB126" s="380"/>
      <c r="EC126" s="380"/>
      <c r="ED126" s="380"/>
      <c r="EE126" s="41"/>
      <c r="EF126" s="380"/>
      <c r="EG126" s="380"/>
      <c r="EH126" s="380"/>
      <c r="EI126" s="380"/>
      <c r="EJ126" s="380"/>
      <c r="EK126" s="41"/>
      <c r="EL126" s="380"/>
      <c r="EM126" s="380"/>
      <c r="EN126" s="380"/>
      <c r="EO126" s="380"/>
      <c r="EP126" s="380"/>
      <c r="EQ126" s="41"/>
      <c r="ER126" s="380"/>
      <c r="ES126" s="380"/>
      <c r="ET126" s="380"/>
      <c r="EU126" s="380"/>
      <c r="EV126" s="380"/>
      <c r="EW126" s="41"/>
      <c r="EX126" s="380"/>
      <c r="EY126" s="380"/>
      <c r="EZ126" s="380"/>
      <c r="FA126" s="380"/>
      <c r="FB126" s="380"/>
      <c r="FD126" s="380"/>
      <c r="FE126" s="380"/>
      <c r="FF126" s="380"/>
      <c r="FG126" s="380"/>
      <c r="FH126" s="380"/>
      <c r="FJ126" s="380"/>
      <c r="FK126" s="380"/>
      <c r="FL126" s="380"/>
      <c r="FM126" s="380"/>
      <c r="FN126" s="380"/>
    </row>
    <row r="127" spans="2:170" s="372" customFormat="1">
      <c r="B127" s="373" t="s">
        <v>528</v>
      </c>
      <c r="C127" s="389"/>
      <c r="D127" s="373"/>
      <c r="E127" s="373"/>
      <c r="F127" s="373"/>
      <c r="G127" s="373"/>
      <c r="H127" s="373"/>
      <c r="I127" s="373"/>
      <c r="J127" s="373"/>
      <c r="K127" s="373"/>
      <c r="L127" s="373"/>
      <c r="M127" s="373"/>
      <c r="N127" s="373"/>
      <c r="O127" s="373"/>
      <c r="P127" s="373"/>
      <c r="Q127" s="373"/>
      <c r="R127" s="373"/>
      <c r="S127" s="373"/>
      <c r="T127" s="373"/>
      <c r="U127" s="373"/>
      <c r="V127" s="373"/>
      <c r="W127" s="373"/>
      <c r="X127" s="373"/>
      <c r="Y127" s="373"/>
      <c r="Z127" s="373"/>
      <c r="AA127" s="373"/>
      <c r="AB127" s="373"/>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3"/>
      <c r="AX127" s="373"/>
      <c r="AY127" s="373"/>
      <c r="AZ127" s="375"/>
      <c r="BA127" s="375"/>
      <c r="BB127" s="375"/>
      <c r="BC127" s="375"/>
      <c r="BD127" s="373"/>
      <c r="BE127" s="373"/>
      <c r="BF127" s="375"/>
      <c r="BG127" s="375"/>
      <c r="BH127" s="375"/>
      <c r="BI127" s="375"/>
      <c r="BJ127" s="375"/>
      <c r="BK127" s="373"/>
      <c r="BL127" s="373"/>
      <c r="BM127" s="373"/>
      <c r="BN127" s="373"/>
      <c r="BO127" s="373"/>
      <c r="BP127" s="373"/>
      <c r="BQ127" s="373"/>
      <c r="BR127" s="373"/>
      <c r="BS127" s="373"/>
      <c r="BT127" s="373"/>
      <c r="BU127" s="373"/>
      <c r="BV127" s="373"/>
      <c r="BW127" s="373"/>
      <c r="BX127" s="373"/>
      <c r="BY127" s="373"/>
      <c r="BZ127" s="373"/>
      <c r="CA127" s="376"/>
      <c r="CB127" s="373"/>
      <c r="CC127" s="377"/>
      <c r="CD127" s="373"/>
      <c r="CE127" s="373"/>
      <c r="CF127" s="373"/>
      <c r="CG127" s="373"/>
      <c r="CH127" s="373"/>
      <c r="CI127" s="373"/>
      <c r="CJ127" s="373"/>
      <c r="CK127" s="373"/>
      <c r="CL127" s="373"/>
      <c r="CM127" s="373"/>
      <c r="CN127" s="373"/>
      <c r="CO127" s="373"/>
      <c r="CP127" s="373"/>
      <c r="CQ127" s="373"/>
      <c r="CR127" s="373"/>
      <c r="CS127" s="373"/>
      <c r="CT127" s="373"/>
      <c r="CU127" s="373"/>
      <c r="CV127" s="376"/>
      <c r="CW127" s="376"/>
      <c r="CX127" s="376"/>
      <c r="CY127" s="376"/>
      <c r="CZ127" s="373"/>
      <c r="DA127" s="373"/>
      <c r="DB127" s="376"/>
      <c r="DC127" s="376"/>
      <c r="DD127" s="376"/>
      <c r="DE127" s="376"/>
      <c r="DF127" s="373"/>
      <c r="DG127" s="373"/>
      <c r="DH127" s="17">
        <v>31.042000000000002</v>
      </c>
      <c r="DI127" s="17">
        <v>32.034999999999997</v>
      </c>
      <c r="DJ127" s="17">
        <v>31.509</v>
      </c>
      <c r="DK127" s="17">
        <v>33.710999999999999</v>
      </c>
      <c r="DL127" s="387">
        <f>SUM(DH127:DK127)</f>
        <v>128.297</v>
      </c>
      <c r="DM127" s="373"/>
      <c r="DN127" s="17">
        <v>42.651000000000003</v>
      </c>
      <c r="DO127" s="17">
        <v>46.38</v>
      </c>
      <c r="DP127" s="17">
        <v>47.526000000000003</v>
      </c>
      <c r="DQ127" s="17">
        <v>49.054999999999986</v>
      </c>
      <c r="DR127" s="387">
        <f>SUM(DN127:DQ127)</f>
        <v>185.61199999999999</v>
      </c>
      <c r="DS127" s="373"/>
      <c r="DT127" s="17">
        <v>48.923000000000002</v>
      </c>
      <c r="DU127" s="17">
        <v>48.756999999999998</v>
      </c>
      <c r="DV127" s="17">
        <v>60.606999999999999</v>
      </c>
      <c r="DW127" s="17">
        <v>57.24199999999999</v>
      </c>
      <c r="DX127" s="387">
        <f>SUM(DT127:DW127)</f>
        <v>215.529</v>
      </c>
      <c r="DZ127" s="17">
        <v>56.265999999999998</v>
      </c>
      <c r="EA127" s="17">
        <v>56.503999999999998</v>
      </c>
      <c r="EB127" s="17">
        <v>55.320999999999998</v>
      </c>
      <c r="EC127" s="17">
        <v>61.738999999999997</v>
      </c>
      <c r="ED127" s="387">
        <f>SUM(DZ127:EC127)</f>
        <v>229.83</v>
      </c>
      <c r="EE127" s="41"/>
      <c r="EF127" s="17">
        <v>61.003</v>
      </c>
      <c r="EG127" s="17">
        <v>62.771000000000001</v>
      </c>
      <c r="EH127" s="17">
        <v>60.997</v>
      </c>
      <c r="EI127" s="17">
        <v>59.915999999999997</v>
      </c>
      <c r="EJ127" s="387">
        <f>SUM(EF127:EI127)</f>
        <v>244.68700000000001</v>
      </c>
      <c r="EK127" s="41"/>
      <c r="EL127" s="17">
        <v>63.027999999999999</v>
      </c>
      <c r="EM127" s="17">
        <v>67.483000000000004</v>
      </c>
      <c r="EN127" s="17">
        <v>69.73</v>
      </c>
      <c r="EO127" s="17">
        <v>69.537999999999997</v>
      </c>
      <c r="EP127" s="387">
        <f>SUM(EL127:EO127)</f>
        <v>269.779</v>
      </c>
      <c r="EQ127" s="41"/>
      <c r="ER127" s="17">
        <v>72.236999999999995</v>
      </c>
      <c r="ES127" s="17">
        <v>73.542000000000002</v>
      </c>
      <c r="ET127" s="17">
        <v>75.497</v>
      </c>
      <c r="EU127" s="17"/>
      <c r="EV127" s="387"/>
      <c r="EW127" s="41"/>
      <c r="EX127" s="380"/>
      <c r="EY127" s="380"/>
      <c r="EZ127" s="380"/>
      <c r="FA127" s="380"/>
      <c r="FB127" s="380"/>
      <c r="FD127" s="380"/>
      <c r="FE127" s="380"/>
      <c r="FF127" s="380"/>
      <c r="FG127" s="380"/>
      <c r="FH127" s="380"/>
      <c r="FJ127" s="380"/>
      <c r="FK127" s="380"/>
      <c r="FL127" s="380"/>
      <c r="FM127" s="380"/>
      <c r="FN127" s="380"/>
    </row>
    <row r="128" spans="2:170" s="372" customFormat="1">
      <c r="B128" s="373" t="s">
        <v>529</v>
      </c>
      <c r="C128" s="389"/>
      <c r="D128" s="373"/>
      <c r="E128" s="373"/>
      <c r="F128" s="373"/>
      <c r="G128" s="373"/>
      <c r="H128" s="373"/>
      <c r="I128" s="373"/>
      <c r="J128" s="373"/>
      <c r="K128" s="373"/>
      <c r="L128" s="373"/>
      <c r="M128" s="373"/>
      <c r="N128" s="373"/>
      <c r="O128" s="373"/>
      <c r="P128" s="373"/>
      <c r="Q128" s="373"/>
      <c r="R128" s="373"/>
      <c r="S128" s="373"/>
      <c r="T128" s="373"/>
      <c r="U128" s="373"/>
      <c r="V128" s="373"/>
      <c r="W128" s="373"/>
      <c r="X128" s="373"/>
      <c r="Y128" s="373"/>
      <c r="Z128" s="373"/>
      <c r="AA128" s="373"/>
      <c r="AB128" s="373"/>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3"/>
      <c r="AX128" s="373"/>
      <c r="AY128" s="373"/>
      <c r="AZ128" s="375"/>
      <c r="BA128" s="375"/>
      <c r="BB128" s="375"/>
      <c r="BC128" s="375"/>
      <c r="BD128" s="373"/>
      <c r="BE128" s="373"/>
      <c r="BF128" s="375"/>
      <c r="BG128" s="375"/>
      <c r="BH128" s="375"/>
      <c r="BI128" s="375"/>
      <c r="BJ128" s="375"/>
      <c r="BK128" s="373"/>
      <c r="BL128" s="373"/>
      <c r="BM128" s="373"/>
      <c r="BN128" s="373"/>
      <c r="BO128" s="373"/>
      <c r="BP128" s="373"/>
      <c r="BQ128" s="373"/>
      <c r="BR128" s="373"/>
      <c r="BS128" s="373"/>
      <c r="BT128" s="373"/>
      <c r="BU128" s="373"/>
      <c r="BV128" s="373"/>
      <c r="BW128" s="373"/>
      <c r="BX128" s="373"/>
      <c r="BY128" s="373"/>
      <c r="BZ128" s="373"/>
      <c r="CA128" s="376"/>
      <c r="CB128" s="373"/>
      <c r="CC128" s="377"/>
      <c r="CD128" s="373"/>
      <c r="CE128" s="373"/>
      <c r="CF128" s="373"/>
      <c r="CG128" s="373"/>
      <c r="CH128" s="373"/>
      <c r="CI128" s="373"/>
      <c r="CJ128" s="373"/>
      <c r="CK128" s="373"/>
      <c r="CL128" s="373"/>
      <c r="CM128" s="373"/>
      <c r="CN128" s="373"/>
      <c r="CO128" s="373"/>
      <c r="CP128" s="373"/>
      <c r="CQ128" s="373"/>
      <c r="CR128" s="373"/>
      <c r="CS128" s="373"/>
      <c r="CT128" s="373"/>
      <c r="CU128" s="373"/>
      <c r="CV128" s="376"/>
      <c r="CW128" s="376"/>
      <c r="CX128" s="376"/>
      <c r="CY128" s="376"/>
      <c r="CZ128" s="373"/>
      <c r="DA128" s="373"/>
      <c r="DB128" s="376"/>
      <c r="DC128" s="376"/>
      <c r="DD128" s="376"/>
      <c r="DE128" s="376"/>
      <c r="DF128" s="373"/>
      <c r="DG128" s="373"/>
      <c r="DH128" s="17">
        <v>5.0780000000000003</v>
      </c>
      <c r="DI128" s="17">
        <v>5.181</v>
      </c>
      <c r="DJ128" s="17">
        <v>5.266</v>
      </c>
      <c r="DK128" s="17">
        <v>5.653999999999999</v>
      </c>
      <c r="DL128" s="387">
        <f>SUM(DH128:DK128)</f>
        <v>21.178999999999998</v>
      </c>
      <c r="DM128" s="373"/>
      <c r="DN128" s="17">
        <v>5.8109999999999999</v>
      </c>
      <c r="DO128" s="17">
        <v>6.367</v>
      </c>
      <c r="DP128" s="17">
        <v>6.3140000000000001</v>
      </c>
      <c r="DQ128" s="17">
        <v>7.8900000000000006</v>
      </c>
      <c r="DR128" s="387">
        <f>SUM(DN128:DQ128)</f>
        <v>26.382000000000001</v>
      </c>
      <c r="DS128" s="373"/>
      <c r="DT128" s="17">
        <v>10.738</v>
      </c>
      <c r="DU128" s="17">
        <v>10.214</v>
      </c>
      <c r="DV128" s="17">
        <v>10.772</v>
      </c>
      <c r="DW128" s="17">
        <v>11.302000000000007</v>
      </c>
      <c r="DX128" s="387">
        <f>SUM(DT128:DW128)</f>
        <v>43.026000000000003</v>
      </c>
      <c r="DZ128" s="17">
        <v>12.394</v>
      </c>
      <c r="EA128" s="17">
        <v>11.500999999999999</v>
      </c>
      <c r="EB128" s="17">
        <v>13.955</v>
      </c>
      <c r="EC128" s="17">
        <v>13.882999999999999</v>
      </c>
      <c r="ED128" s="387">
        <f>SUM(DZ128:EC128)</f>
        <v>51.733000000000004</v>
      </c>
      <c r="EE128" s="41"/>
      <c r="EF128" s="17">
        <v>13.081</v>
      </c>
      <c r="EG128" s="17">
        <v>13.502000000000001</v>
      </c>
      <c r="EH128" s="17">
        <v>14.039</v>
      </c>
      <c r="EI128" s="17">
        <v>17.11</v>
      </c>
      <c r="EJ128" s="387">
        <f>SUM(EF128:EI128)</f>
        <v>57.731999999999999</v>
      </c>
      <c r="EK128" s="41"/>
      <c r="EL128" s="17">
        <v>14.525</v>
      </c>
      <c r="EM128" s="17">
        <v>14.69</v>
      </c>
      <c r="EN128" s="17">
        <v>15.06</v>
      </c>
      <c r="EO128" s="17">
        <v>13.347</v>
      </c>
      <c r="EP128" s="387">
        <f>SUM(EL128:EO128)</f>
        <v>57.622</v>
      </c>
      <c r="EQ128" s="41"/>
      <c r="ER128" s="17">
        <v>13.228999999999999</v>
      </c>
      <c r="ES128" s="17">
        <v>13.199</v>
      </c>
      <c r="ET128" s="17">
        <v>12.183999999999999</v>
      </c>
      <c r="EU128" s="17"/>
      <c r="EV128" s="387"/>
      <c r="EW128" s="41"/>
      <c r="EX128" s="380"/>
      <c r="EY128" s="380"/>
      <c r="EZ128" s="380"/>
      <c r="FA128" s="380"/>
      <c r="FB128" s="380"/>
      <c r="FD128" s="380"/>
      <c r="FE128" s="380"/>
      <c r="FF128" s="380"/>
      <c r="FG128" s="380"/>
      <c r="FH128" s="380"/>
      <c r="FJ128" s="380"/>
      <c r="FK128" s="380"/>
      <c r="FL128" s="380"/>
      <c r="FM128" s="380"/>
      <c r="FN128" s="380"/>
    </row>
    <row r="129" spans="1:170" s="381" customFormat="1">
      <c r="B129" s="378" t="s">
        <v>534</v>
      </c>
      <c r="C129" s="524"/>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c r="AA129" s="378"/>
      <c r="AB129" s="378"/>
      <c r="AC129" s="378"/>
      <c r="AD129" s="378"/>
      <c r="AE129" s="378"/>
      <c r="AF129" s="378"/>
      <c r="AG129" s="378"/>
      <c r="AH129" s="378"/>
      <c r="AI129" s="378"/>
      <c r="AJ129" s="378"/>
      <c r="AK129" s="378"/>
      <c r="AL129" s="378"/>
      <c r="AM129" s="378"/>
      <c r="AN129" s="378"/>
      <c r="AO129" s="378"/>
      <c r="AP129" s="378"/>
      <c r="AQ129" s="378"/>
      <c r="AR129" s="378"/>
      <c r="AS129" s="378"/>
      <c r="AT129" s="378"/>
      <c r="AU129" s="378"/>
      <c r="AV129" s="378"/>
      <c r="AW129" s="378"/>
      <c r="AX129" s="378"/>
      <c r="AY129" s="378"/>
      <c r="AZ129" s="383"/>
      <c r="BA129" s="383"/>
      <c r="BB129" s="383"/>
      <c r="BC129" s="383"/>
      <c r="BD129" s="378"/>
      <c r="BE129" s="378"/>
      <c r="BF129" s="383"/>
      <c r="BG129" s="383"/>
      <c r="BH129" s="383"/>
      <c r="BI129" s="383"/>
      <c r="BJ129" s="383"/>
      <c r="BK129" s="378"/>
      <c r="BL129" s="378"/>
      <c r="BM129" s="378"/>
      <c r="BN129" s="378"/>
      <c r="BO129" s="378"/>
      <c r="BP129" s="378"/>
      <c r="BQ129" s="378"/>
      <c r="BR129" s="378"/>
      <c r="BS129" s="378"/>
      <c r="BT129" s="378"/>
      <c r="BU129" s="378"/>
      <c r="BV129" s="378"/>
      <c r="BW129" s="378"/>
      <c r="BX129" s="378"/>
      <c r="BY129" s="378"/>
      <c r="BZ129" s="378"/>
      <c r="CA129" s="379"/>
      <c r="CB129" s="378"/>
      <c r="CC129" s="384"/>
      <c r="CD129" s="378"/>
      <c r="CE129" s="378"/>
      <c r="CF129" s="378"/>
      <c r="CG129" s="378"/>
      <c r="CH129" s="378"/>
      <c r="CI129" s="378"/>
      <c r="CJ129" s="378"/>
      <c r="CK129" s="378"/>
      <c r="CL129" s="378"/>
      <c r="CM129" s="378"/>
      <c r="CN129" s="378"/>
      <c r="CO129" s="378"/>
      <c r="CP129" s="378"/>
      <c r="CQ129" s="378"/>
      <c r="CR129" s="378"/>
      <c r="CS129" s="378"/>
      <c r="CT129" s="378"/>
      <c r="CU129" s="378"/>
      <c r="CV129" s="379"/>
      <c r="CW129" s="379"/>
      <c r="CX129" s="379"/>
      <c r="CY129" s="379"/>
      <c r="CZ129" s="378"/>
      <c r="DA129" s="378"/>
      <c r="DB129" s="379"/>
      <c r="DC129" s="379"/>
      <c r="DD129" s="379"/>
      <c r="DE129" s="379"/>
      <c r="DF129" s="378"/>
      <c r="DG129" s="378"/>
      <c r="DH129" s="378">
        <f>SUM(DH127:DH128)</f>
        <v>36.120000000000005</v>
      </c>
      <c r="DI129" s="378">
        <f>SUM(DI127:DI128)</f>
        <v>37.215999999999994</v>
      </c>
      <c r="DJ129" s="378">
        <f>SUM(DJ127:DJ128)</f>
        <v>36.774999999999999</v>
      </c>
      <c r="DK129" s="378">
        <f>SUM(DK127:DK128)</f>
        <v>39.364999999999995</v>
      </c>
      <c r="DL129" s="378">
        <f>SUM(DL127:DL128)</f>
        <v>149.476</v>
      </c>
      <c r="DM129" s="378"/>
      <c r="DN129" s="387">
        <f>SUM(DN127:DN128)</f>
        <v>48.462000000000003</v>
      </c>
      <c r="DO129" s="387">
        <f>SUM(DO127:DO128)</f>
        <v>52.747</v>
      </c>
      <c r="DP129" s="387">
        <f>SUM(DP127:DP128)</f>
        <v>53.84</v>
      </c>
      <c r="DQ129" s="387">
        <f>SUM(DQ127:DQ128)</f>
        <v>56.944999999999986</v>
      </c>
      <c r="DR129" s="387">
        <f>SUM(DR127:DR128)</f>
        <v>211.994</v>
      </c>
      <c r="DS129" s="378"/>
      <c r="DT129" s="387">
        <f>SUM(DT127:DT128)</f>
        <v>59.661000000000001</v>
      </c>
      <c r="DU129" s="387">
        <f>SUM(DU127:DU128)</f>
        <v>58.970999999999997</v>
      </c>
      <c r="DV129" s="387">
        <f>SUM(DV127:DV128)</f>
        <v>71.379000000000005</v>
      </c>
      <c r="DW129" s="387">
        <f>SUM(DW127:DW128)</f>
        <v>68.543999999999997</v>
      </c>
      <c r="DX129" s="387">
        <f>SUM(DX127:DX128)</f>
        <v>258.55500000000001</v>
      </c>
      <c r="DZ129" s="387">
        <f>SUM(DZ127:DZ128)</f>
        <v>68.66</v>
      </c>
      <c r="EA129" s="387">
        <f>SUM(EA127:EA128)</f>
        <v>68.004999999999995</v>
      </c>
      <c r="EB129" s="387">
        <f>SUM(EB127:EB128)</f>
        <v>69.275999999999996</v>
      </c>
      <c r="EC129" s="387">
        <f>SUM(EC127:EC128)</f>
        <v>75.622</v>
      </c>
      <c r="ED129" s="387">
        <f>SUM(ED127:ED128)</f>
        <v>281.56299999999999</v>
      </c>
      <c r="EE129" s="386"/>
      <c r="EF129" s="387">
        <f>SUM(EF127:EF128)</f>
        <v>74.084000000000003</v>
      </c>
      <c r="EG129" s="387">
        <f>SUM(EG127:EG128)</f>
        <v>76.272999999999996</v>
      </c>
      <c r="EH129" s="387">
        <f>SUM(EH127:EH128)</f>
        <v>75.036000000000001</v>
      </c>
      <c r="EI129" s="387">
        <f>SUM(EI127:EI128)</f>
        <v>77.025999999999996</v>
      </c>
      <c r="EJ129" s="387">
        <f>SUM(EJ127:EJ128)</f>
        <v>302.41899999999998</v>
      </c>
      <c r="EK129" s="386"/>
      <c r="EL129" s="387">
        <f>SUM(EL127:EL128)</f>
        <v>77.552999999999997</v>
      </c>
      <c r="EM129" s="387">
        <f>SUM(EM127:EM128)</f>
        <v>82.173000000000002</v>
      </c>
      <c r="EN129" s="387">
        <f>SUM(EN127:EN128)</f>
        <v>84.79</v>
      </c>
      <c r="EO129" s="387">
        <f>SUM(EO127:EO128)</f>
        <v>82.884999999999991</v>
      </c>
      <c r="EP129" s="387">
        <f>SUM(EP127:EP128)</f>
        <v>327.40100000000001</v>
      </c>
      <c r="EQ129" s="386"/>
      <c r="ER129" s="387">
        <f>SUM(ER127:ER128)</f>
        <v>85.465999999999994</v>
      </c>
      <c r="ES129" s="387">
        <f>SUM(ES127:ES128)</f>
        <v>86.741</v>
      </c>
      <c r="ET129" s="387">
        <f>SUM(ET127:ET128)</f>
        <v>87.680999999999997</v>
      </c>
      <c r="EU129" s="387"/>
      <c r="EV129" s="387"/>
      <c r="EW129" s="386"/>
      <c r="EX129" s="387"/>
      <c r="EY129" s="387"/>
      <c r="EZ129" s="387"/>
      <c r="FA129" s="387"/>
      <c r="FB129" s="387"/>
      <c r="FD129" s="387"/>
      <c r="FE129" s="387"/>
      <c r="FF129" s="387"/>
      <c r="FG129" s="387"/>
      <c r="FH129" s="387"/>
      <c r="FJ129" s="387"/>
      <c r="FK129" s="387"/>
      <c r="FL129" s="387"/>
      <c r="FM129" s="387"/>
      <c r="FN129" s="387"/>
    </row>
    <row r="130" spans="1:170" s="372" customFormat="1">
      <c r="B130" s="373"/>
      <c r="C130" s="389"/>
      <c r="D130" s="373"/>
      <c r="E130" s="373"/>
      <c r="F130" s="373"/>
      <c r="G130" s="373"/>
      <c r="H130" s="373"/>
      <c r="I130" s="373"/>
      <c r="J130" s="373"/>
      <c r="K130" s="373"/>
      <c r="L130" s="373"/>
      <c r="M130" s="373"/>
      <c r="N130" s="373"/>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3"/>
      <c r="AX130" s="373"/>
      <c r="AY130" s="373"/>
      <c r="AZ130" s="375"/>
      <c r="BA130" s="375"/>
      <c r="BB130" s="375"/>
      <c r="BC130" s="375"/>
      <c r="BD130" s="373"/>
      <c r="BE130" s="373"/>
      <c r="BF130" s="375"/>
      <c r="BG130" s="375"/>
      <c r="BH130" s="375"/>
      <c r="BI130" s="375"/>
      <c r="BJ130" s="375"/>
      <c r="BK130" s="373"/>
      <c r="BL130" s="373"/>
      <c r="BM130" s="373"/>
      <c r="BN130" s="373"/>
      <c r="BO130" s="373"/>
      <c r="BP130" s="373"/>
      <c r="BQ130" s="373"/>
      <c r="BR130" s="373"/>
      <c r="BS130" s="373"/>
      <c r="BT130" s="373"/>
      <c r="BU130" s="373"/>
      <c r="BV130" s="373"/>
      <c r="BW130" s="373"/>
      <c r="BX130" s="373"/>
      <c r="BY130" s="373"/>
      <c r="BZ130" s="373"/>
      <c r="CA130" s="376"/>
      <c r="CB130" s="373"/>
      <c r="CC130" s="377"/>
      <c r="CD130" s="373"/>
      <c r="CE130" s="373"/>
      <c r="CF130" s="373"/>
      <c r="CG130" s="373"/>
      <c r="CH130" s="373"/>
      <c r="CI130" s="373"/>
      <c r="CJ130" s="373"/>
      <c r="CK130" s="373"/>
      <c r="CL130" s="373"/>
      <c r="CM130" s="373"/>
      <c r="CN130" s="373"/>
      <c r="CO130" s="373"/>
      <c r="CP130" s="373"/>
      <c r="CQ130" s="373"/>
      <c r="CR130" s="373"/>
      <c r="CS130" s="373"/>
      <c r="CT130" s="373"/>
      <c r="CU130" s="373"/>
      <c r="CV130" s="376"/>
      <c r="CW130" s="376"/>
      <c r="CX130" s="376"/>
      <c r="CY130" s="376"/>
      <c r="CZ130" s="373"/>
      <c r="DA130" s="373"/>
      <c r="DB130" s="376"/>
      <c r="DC130" s="376"/>
      <c r="DD130" s="376"/>
      <c r="DE130" s="376"/>
      <c r="DF130" s="373"/>
      <c r="DG130" s="373"/>
      <c r="DH130" s="373"/>
      <c r="DI130" s="373"/>
      <c r="DJ130" s="373"/>
      <c r="DK130" s="373"/>
      <c r="DL130" s="373"/>
      <c r="DM130" s="373"/>
      <c r="DN130" s="373"/>
      <c r="DO130" s="373"/>
      <c r="DP130" s="373"/>
      <c r="DQ130" s="373"/>
      <c r="DR130" s="373"/>
      <c r="DS130" s="373"/>
      <c r="DT130" s="373"/>
      <c r="DU130" s="373"/>
      <c r="DV130" s="373"/>
      <c r="DW130" s="373"/>
      <c r="DX130" s="373"/>
      <c r="DZ130" s="380"/>
      <c r="EA130" s="380"/>
      <c r="EB130" s="380"/>
      <c r="EC130" s="380"/>
      <c r="ED130" s="380"/>
      <c r="EE130" s="41"/>
      <c r="EF130" s="380"/>
      <c r="EG130" s="380"/>
      <c r="EH130" s="380"/>
      <c r="EI130" s="380"/>
      <c r="EJ130" s="380"/>
      <c r="EK130" s="41"/>
      <c r="EL130" s="380"/>
      <c r="EM130" s="380"/>
      <c r="EN130" s="380"/>
      <c r="EO130" s="380"/>
      <c r="EP130" s="380"/>
      <c r="EQ130" s="41"/>
      <c r="ER130" s="380"/>
      <c r="ES130" s="380"/>
      <c r="ET130" s="380"/>
      <c r="EU130" s="380"/>
      <c r="EV130" s="380"/>
      <c r="EW130" s="41"/>
      <c r="EX130" s="380"/>
      <c r="EY130" s="380"/>
      <c r="EZ130" s="380"/>
      <c r="FA130" s="380"/>
      <c r="FB130" s="380"/>
      <c r="FD130" s="380"/>
      <c r="FE130" s="380"/>
      <c r="FF130" s="380"/>
      <c r="FG130" s="380"/>
      <c r="FH130" s="380"/>
      <c r="FJ130" s="380"/>
      <c r="FK130" s="380"/>
      <c r="FL130" s="380"/>
      <c r="FM130" s="380"/>
      <c r="FN130" s="380"/>
    </row>
    <row r="131" spans="1:170" s="372" customFormat="1">
      <c r="B131" s="378" t="s">
        <v>656</v>
      </c>
      <c r="C131" s="389"/>
      <c r="D131" s="373"/>
      <c r="E131" s="373"/>
      <c r="F131" s="373"/>
      <c r="G131" s="373"/>
      <c r="H131" s="373"/>
      <c r="I131" s="373"/>
      <c r="J131" s="373"/>
      <c r="K131" s="373"/>
      <c r="L131" s="373"/>
      <c r="M131" s="373"/>
      <c r="N131" s="373"/>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3"/>
      <c r="AX131" s="373"/>
      <c r="AY131" s="373"/>
      <c r="AZ131" s="375"/>
      <c r="BA131" s="375"/>
      <c r="BB131" s="375"/>
      <c r="BC131" s="375"/>
      <c r="BD131" s="373"/>
      <c r="BE131" s="373"/>
      <c r="BF131" s="375"/>
      <c r="BG131" s="375"/>
      <c r="BH131" s="375"/>
      <c r="BI131" s="375"/>
      <c r="BJ131" s="375"/>
      <c r="BK131" s="373"/>
      <c r="BL131" s="373"/>
      <c r="BM131" s="373"/>
      <c r="BN131" s="373"/>
      <c r="BO131" s="373"/>
      <c r="BP131" s="373"/>
      <c r="BQ131" s="373"/>
      <c r="BR131" s="373"/>
      <c r="BS131" s="373"/>
      <c r="BT131" s="373"/>
      <c r="BU131" s="373"/>
      <c r="BV131" s="373"/>
      <c r="BW131" s="373"/>
      <c r="BX131" s="373"/>
      <c r="BY131" s="373"/>
      <c r="BZ131" s="373"/>
      <c r="CA131" s="376"/>
      <c r="CB131" s="373"/>
      <c r="CC131" s="377"/>
      <c r="CD131" s="373"/>
      <c r="CE131" s="373"/>
      <c r="CF131" s="373"/>
      <c r="CG131" s="373"/>
      <c r="CH131" s="373"/>
      <c r="CI131" s="373"/>
      <c r="CJ131" s="373"/>
      <c r="CK131" s="373"/>
      <c r="CL131" s="373"/>
      <c r="CM131" s="373"/>
      <c r="CN131" s="373"/>
      <c r="CO131" s="373"/>
      <c r="CP131" s="373"/>
      <c r="CQ131" s="373"/>
      <c r="CR131" s="373"/>
      <c r="CS131" s="373"/>
      <c r="CT131" s="373"/>
      <c r="CU131" s="373"/>
      <c r="CV131" s="376"/>
      <c r="CW131" s="376"/>
      <c r="CX131" s="376"/>
      <c r="CY131" s="376"/>
      <c r="CZ131" s="373"/>
      <c r="DA131" s="373"/>
      <c r="DB131" s="376"/>
      <c r="DC131" s="376"/>
      <c r="DD131" s="376"/>
      <c r="DE131" s="376"/>
      <c r="DF131" s="373"/>
      <c r="DG131" s="373"/>
      <c r="DH131" s="373"/>
      <c r="DI131" s="373"/>
      <c r="DJ131" s="373"/>
      <c r="DK131" s="373"/>
      <c r="DL131" s="373"/>
      <c r="DM131" s="373"/>
      <c r="DN131" s="373"/>
      <c r="DO131" s="373"/>
      <c r="DP131" s="373"/>
      <c r="DQ131" s="373"/>
      <c r="DR131" s="373"/>
      <c r="DS131" s="373"/>
      <c r="DT131" s="373"/>
      <c r="DU131" s="373"/>
      <c r="DV131" s="373"/>
      <c r="DW131" s="373"/>
      <c r="DX131" s="373"/>
      <c r="DZ131" s="380"/>
      <c r="EA131" s="380"/>
      <c r="EB131" s="380"/>
      <c r="EC131" s="380"/>
      <c r="ED131" s="380"/>
      <c r="EE131" s="41"/>
      <c r="EF131" s="380"/>
      <c r="EG131" s="380"/>
      <c r="EH131" s="380"/>
      <c r="EI131" s="380"/>
      <c r="EJ131" s="380"/>
      <c r="EK131" s="41"/>
      <c r="EL131" s="380"/>
      <c r="EM131" s="380"/>
      <c r="EN131" s="380"/>
      <c r="EO131" s="380"/>
      <c r="EP131" s="380"/>
      <c r="EQ131" s="41"/>
      <c r="ER131" s="380"/>
      <c r="ES131" s="380"/>
      <c r="ET131" s="380"/>
      <c r="EU131" s="380"/>
      <c r="EV131" s="380"/>
      <c r="EW131" s="41"/>
      <c r="EX131" s="380"/>
      <c r="EY131" s="380"/>
      <c r="EZ131" s="380"/>
      <c r="FA131" s="380"/>
      <c r="FB131" s="380"/>
      <c r="FD131" s="380"/>
      <c r="FE131" s="380"/>
      <c r="FF131" s="380"/>
      <c r="FG131" s="380"/>
      <c r="FH131" s="380"/>
      <c r="FJ131" s="380"/>
      <c r="FK131" s="380"/>
      <c r="FL131" s="380"/>
      <c r="FM131" s="380"/>
      <c r="FN131" s="380"/>
    </row>
    <row r="132" spans="1:170" s="372" customFormat="1">
      <c r="B132" s="373" t="s">
        <v>528</v>
      </c>
      <c r="C132" s="389"/>
      <c r="D132" s="373"/>
      <c r="E132" s="373"/>
      <c r="F132" s="373"/>
      <c r="G132" s="373"/>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3"/>
      <c r="AX132" s="373"/>
      <c r="AY132" s="373"/>
      <c r="AZ132" s="375"/>
      <c r="BA132" s="375"/>
      <c r="BB132" s="375"/>
      <c r="BC132" s="375"/>
      <c r="BD132" s="373"/>
      <c r="BE132" s="373"/>
      <c r="BF132" s="375"/>
      <c r="BG132" s="375"/>
      <c r="BH132" s="375"/>
      <c r="BI132" s="375"/>
      <c r="BJ132" s="375"/>
      <c r="BK132" s="373"/>
      <c r="BL132" s="373"/>
      <c r="BM132" s="373"/>
      <c r="BN132" s="373"/>
      <c r="BO132" s="373"/>
      <c r="BP132" s="373"/>
      <c r="BQ132" s="373"/>
      <c r="BR132" s="373"/>
      <c r="BS132" s="373"/>
      <c r="BT132" s="373"/>
      <c r="BU132" s="373"/>
      <c r="BV132" s="373"/>
      <c r="BW132" s="373"/>
      <c r="BX132" s="373"/>
      <c r="BY132" s="373"/>
      <c r="BZ132" s="373"/>
      <c r="CA132" s="376"/>
      <c r="CB132" s="373"/>
      <c r="CC132" s="377"/>
      <c r="CD132" s="373"/>
      <c r="CE132" s="373"/>
      <c r="CF132" s="373"/>
      <c r="CG132" s="373"/>
      <c r="CH132" s="373"/>
      <c r="CI132" s="373"/>
      <c r="CJ132" s="373"/>
      <c r="CK132" s="373"/>
      <c r="CL132" s="373"/>
      <c r="CM132" s="373"/>
      <c r="CN132" s="373"/>
      <c r="CO132" s="373"/>
      <c r="CP132" s="373"/>
      <c r="CQ132" s="373"/>
      <c r="CR132" s="373"/>
      <c r="CS132" s="373"/>
      <c r="CT132" s="373"/>
      <c r="CU132" s="373"/>
      <c r="CV132" s="376"/>
      <c r="CW132" s="376"/>
      <c r="CX132" s="376"/>
      <c r="CY132" s="376"/>
      <c r="CZ132" s="373"/>
      <c r="DA132" s="373"/>
      <c r="DB132" s="376"/>
      <c r="DC132" s="376"/>
      <c r="DD132" s="376"/>
      <c r="DE132" s="376"/>
      <c r="DF132" s="373"/>
      <c r="DG132" s="373"/>
      <c r="DH132" s="380">
        <f>DH10-DH127</f>
        <v>25.928999999999995</v>
      </c>
      <c r="DI132" s="380">
        <f>DI10-DI127</f>
        <v>27.505000000000003</v>
      </c>
      <c r="DJ132" s="380">
        <f>DJ10-DJ127</f>
        <v>27.939999999999998</v>
      </c>
      <c r="DK132" s="380">
        <f>DK10-DK127</f>
        <v>32.201999999999998</v>
      </c>
      <c r="DL132" s="380">
        <f>DL10-DL127</f>
        <v>113.57599999999999</v>
      </c>
      <c r="DM132" s="373"/>
      <c r="DN132" s="380">
        <f>DN10-DN127</f>
        <v>43.55899999999999</v>
      </c>
      <c r="DO132" s="380">
        <f>DO10-DO127</f>
        <v>42.601999999999997</v>
      </c>
      <c r="DP132" s="380">
        <f>DP10-DP127</f>
        <v>45.038999999999994</v>
      </c>
      <c r="DQ132" s="380">
        <f>DQ10-DQ127</f>
        <v>44.350000000000016</v>
      </c>
      <c r="DR132" s="380">
        <f>DR10-DR127</f>
        <v>175.55000000000004</v>
      </c>
      <c r="DS132" s="373"/>
      <c r="DT132" s="380">
        <f>DT10-DT127</f>
        <v>44.058999999999997</v>
      </c>
      <c r="DU132" s="380">
        <f>DU10-DU127</f>
        <v>25.127000000000002</v>
      </c>
      <c r="DV132" s="380">
        <f>DV10-DV127</f>
        <v>48.126000000000005</v>
      </c>
      <c r="DW132" s="380">
        <f>DW10-DW127</f>
        <v>49.496000000000009</v>
      </c>
      <c r="DX132" s="380">
        <f>DX10-DX127</f>
        <v>166.80799999999999</v>
      </c>
      <c r="DZ132" s="380">
        <f>DZ10-DZ127</f>
        <v>40.220999999999997</v>
      </c>
      <c r="EA132" s="380">
        <f>EA10-EA127</f>
        <v>44.901000000000003</v>
      </c>
      <c r="EB132" s="380">
        <f>EB10-EB127</f>
        <v>46.906000000000006</v>
      </c>
      <c r="EC132" s="380">
        <f>EC10-EC127</f>
        <v>42.314</v>
      </c>
      <c r="ED132" s="380">
        <f>ED10-ED127</f>
        <v>174.34200000000001</v>
      </c>
      <c r="EE132" s="41"/>
      <c r="EF132" s="380">
        <f>EF10-EF127</f>
        <v>37.787999999999997</v>
      </c>
      <c r="EG132" s="380">
        <f>EG10-EG127</f>
        <v>42.864000000000004</v>
      </c>
      <c r="EH132" s="380">
        <f>EH10-EH127</f>
        <v>45.165000000000006</v>
      </c>
      <c r="EI132" s="380">
        <f>EI10-EI127</f>
        <v>48.25</v>
      </c>
      <c r="EJ132" s="380">
        <f>EJ10-EJ127</f>
        <v>174.06699999999995</v>
      </c>
      <c r="EK132" s="41"/>
      <c r="EL132" s="380">
        <f>EL10-EL127</f>
        <v>51.841000000000001</v>
      </c>
      <c r="EM132" s="380">
        <f>EM10-EM127</f>
        <v>55.673000000000002</v>
      </c>
      <c r="EN132" s="380">
        <f>EN10-EN127</f>
        <v>57.822999999999993</v>
      </c>
      <c r="EO132" s="380">
        <f>EO10-EO127</f>
        <v>60.519999999999996</v>
      </c>
      <c r="EP132" s="380">
        <f>EP10-EP127</f>
        <v>225.85699999999997</v>
      </c>
      <c r="EQ132" s="41"/>
      <c r="ER132" s="380">
        <f>ER10-ER127</f>
        <v>62.298000000000002</v>
      </c>
      <c r="ES132" s="380">
        <f>ES10-ES127</f>
        <v>67.846000000000004</v>
      </c>
      <c r="ET132" s="380">
        <f>ET10-ET127</f>
        <v>70.285999999999987</v>
      </c>
      <c r="EU132" s="380"/>
      <c r="EV132" s="380"/>
      <c r="EW132" s="41"/>
      <c r="EX132" s="380"/>
      <c r="EY132" s="380"/>
      <c r="EZ132" s="380"/>
      <c r="FA132" s="380"/>
      <c r="FB132" s="380"/>
      <c r="FD132" s="380"/>
      <c r="FE132" s="380"/>
      <c r="FF132" s="380"/>
      <c r="FG132" s="380"/>
      <c r="FH132" s="380"/>
      <c r="FJ132" s="380"/>
      <c r="FK132" s="380"/>
      <c r="FL132" s="380"/>
      <c r="FM132" s="380"/>
      <c r="FN132" s="380"/>
    </row>
    <row r="133" spans="1:170" s="381" customFormat="1">
      <c r="B133" s="378"/>
      <c r="C133" s="389" t="s">
        <v>404</v>
      </c>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c r="AA133" s="378"/>
      <c r="AB133" s="378"/>
      <c r="AC133" s="378"/>
      <c r="AD133" s="378"/>
      <c r="AE133" s="378"/>
      <c r="AF133" s="378"/>
      <c r="AG133" s="378"/>
      <c r="AH133" s="378"/>
      <c r="AI133" s="378"/>
      <c r="AJ133" s="378"/>
      <c r="AK133" s="378"/>
      <c r="AL133" s="378"/>
      <c r="AM133" s="378"/>
      <c r="AN133" s="378"/>
      <c r="AO133" s="378"/>
      <c r="AP133" s="378"/>
      <c r="AQ133" s="378"/>
      <c r="AR133" s="378"/>
      <c r="AS133" s="378"/>
      <c r="AT133" s="378"/>
      <c r="AU133" s="378"/>
      <c r="AV133" s="378"/>
      <c r="AW133" s="378"/>
      <c r="AX133" s="378"/>
      <c r="AY133" s="378"/>
      <c r="AZ133" s="383"/>
      <c r="BA133" s="383"/>
      <c r="BB133" s="383"/>
      <c r="BC133" s="383"/>
      <c r="BD133" s="378"/>
      <c r="BE133" s="378"/>
      <c r="BF133" s="383"/>
      <c r="BG133" s="383"/>
      <c r="BH133" s="383"/>
      <c r="BI133" s="383"/>
      <c r="BJ133" s="383"/>
      <c r="BK133" s="378"/>
      <c r="BL133" s="378"/>
      <c r="BM133" s="378"/>
      <c r="BN133" s="378"/>
      <c r="BO133" s="378"/>
      <c r="BP133" s="378"/>
      <c r="BQ133" s="378"/>
      <c r="BR133" s="378"/>
      <c r="BS133" s="378"/>
      <c r="BT133" s="378"/>
      <c r="BU133" s="378"/>
      <c r="BV133" s="378"/>
      <c r="BW133" s="378"/>
      <c r="BX133" s="378"/>
      <c r="BY133" s="378"/>
      <c r="BZ133" s="378"/>
      <c r="CA133" s="379"/>
      <c r="CB133" s="378"/>
      <c r="CC133" s="384"/>
      <c r="CD133" s="378"/>
      <c r="CE133" s="378"/>
      <c r="CF133" s="378"/>
      <c r="CG133" s="378"/>
      <c r="CH133" s="378"/>
      <c r="CI133" s="378"/>
      <c r="CJ133" s="378"/>
      <c r="CK133" s="378"/>
      <c r="CL133" s="378"/>
      <c r="CM133" s="378"/>
      <c r="CN133" s="378"/>
      <c r="CO133" s="378"/>
      <c r="CP133" s="378"/>
      <c r="CQ133" s="378"/>
      <c r="CR133" s="378"/>
      <c r="CS133" s="378"/>
      <c r="CT133" s="378"/>
      <c r="CU133" s="378"/>
      <c r="CV133" s="379"/>
      <c r="CW133" s="379"/>
      <c r="CX133" s="379"/>
      <c r="CY133" s="379"/>
      <c r="CZ133" s="378"/>
      <c r="DA133" s="378"/>
      <c r="DB133" s="379"/>
      <c r="DC133" s="379"/>
      <c r="DD133" s="379"/>
      <c r="DE133" s="379"/>
      <c r="DF133" s="378"/>
      <c r="DG133" s="378"/>
      <c r="DH133" s="351">
        <f>DH132/DH106</f>
        <v>0.45512629232416485</v>
      </c>
      <c r="DI133" s="351">
        <f>DI132/DI106</f>
        <v>0.46195834732952634</v>
      </c>
      <c r="DJ133" s="351">
        <f>DJ132/DJ106</f>
        <v>0.46998267422496587</v>
      </c>
      <c r="DK133" s="351">
        <f>DK132/DK106</f>
        <v>0.48855309271312186</v>
      </c>
      <c r="DL133" s="351">
        <f>DL132/DL106</f>
        <v>0.46956874062007747</v>
      </c>
      <c r="DM133" s="378"/>
      <c r="DN133" s="351">
        <f>DN132/DN106</f>
        <v>0.50526621041642494</v>
      </c>
      <c r="DO133" s="351">
        <f>DO132/DO106</f>
        <v>0.47877098739070822</v>
      </c>
      <c r="DP133" s="351">
        <f>DP132/DP106</f>
        <v>0.48656619672662449</v>
      </c>
      <c r="DQ133" s="351">
        <f>DQ132/DQ106</f>
        <v>0.47481906556464409</v>
      </c>
      <c r="DR133" s="351">
        <f>DR132/DR106</f>
        <v>0.48607130891762962</v>
      </c>
      <c r="DS133" s="378"/>
      <c r="DT133" s="351">
        <f>DT132/DT106</f>
        <v>0.47384439999139616</v>
      </c>
      <c r="DU133" s="351">
        <f>DU132/DU106</f>
        <v>0.34008716366195668</v>
      </c>
      <c r="DV133" s="351">
        <f>DV132/DV106</f>
        <v>0.44260712019350146</v>
      </c>
      <c r="DW133" s="351">
        <f>DW132/DW106</f>
        <v>0.46371489066686661</v>
      </c>
      <c r="DX133" s="351">
        <f>DX132/DX106</f>
        <v>0.43628526666265616</v>
      </c>
      <c r="DZ133" s="351">
        <f>DZ132/DZ106</f>
        <v>0.41685408396986123</v>
      </c>
      <c r="EA133" s="351">
        <f>EA132/EA106</f>
        <v>0.44278881711947143</v>
      </c>
      <c r="EB133" s="351">
        <f>EB132/EB106</f>
        <v>0.45884159762098087</v>
      </c>
      <c r="EC133" s="351">
        <f>EC132/EC106</f>
        <v>0.40665814536822587</v>
      </c>
      <c r="ED133" s="351">
        <f>ED132/ED106</f>
        <v>0.4313559573646864</v>
      </c>
      <c r="EE133" s="386"/>
      <c r="EF133" s="351">
        <f>EF132/EF106</f>
        <v>0.38250447915295926</v>
      </c>
      <c r="EG133" s="351">
        <f>EG132/EG106</f>
        <v>0.40577460122118625</v>
      </c>
      <c r="EH133" s="351">
        <f>EH132/EH106</f>
        <v>0.42543471298581415</v>
      </c>
      <c r="EI133" s="351">
        <f>EI132/EI106</f>
        <v>0.44607362757243479</v>
      </c>
      <c r="EJ133" s="351">
        <f>EJ132/EJ106</f>
        <v>0.41567841740019185</v>
      </c>
      <c r="EK133" s="386"/>
      <c r="EL133" s="351">
        <f>EL132/EL106</f>
        <v>0.45130540006442121</v>
      </c>
      <c r="EM133" s="351">
        <f>EM132/EM106</f>
        <v>0.45205268115235958</v>
      </c>
      <c r="EN133" s="351">
        <f>EN132/EN106</f>
        <v>0.4533252843915862</v>
      </c>
      <c r="EO133" s="351">
        <f>EO132/EO106</f>
        <v>0.46533085238893396</v>
      </c>
      <c r="EP133" s="351">
        <f>EP132/EP106</f>
        <v>0.45569127343453658</v>
      </c>
      <c r="EQ133" s="386"/>
      <c r="ER133" s="351">
        <f>ER132/ER106</f>
        <v>0.46306165681792832</v>
      </c>
      <c r="ES133" s="351">
        <f>ES132/ES106</f>
        <v>0.47985684782301186</v>
      </c>
      <c r="ET133" s="351">
        <f>ET132/ET106</f>
        <v>0.48212754573578531</v>
      </c>
      <c r="EU133" s="351"/>
      <c r="EV133" s="351"/>
      <c r="EW133" s="386"/>
      <c r="EX133" s="351"/>
      <c r="EY133" s="351"/>
      <c r="EZ133" s="351"/>
      <c r="FA133" s="351"/>
      <c r="FB133" s="351"/>
      <c r="FD133" s="351"/>
      <c r="FE133" s="351"/>
      <c r="FF133" s="351"/>
      <c r="FG133" s="351"/>
      <c r="FH133" s="351"/>
      <c r="FJ133" s="351"/>
      <c r="FK133" s="351"/>
      <c r="FL133" s="351"/>
      <c r="FM133" s="351"/>
      <c r="FN133" s="351"/>
    </row>
    <row r="134" spans="1:170" s="372" customFormat="1">
      <c r="B134" s="373" t="s">
        <v>529</v>
      </c>
      <c r="C134" s="389"/>
      <c r="D134" s="373"/>
      <c r="E134" s="373"/>
      <c r="F134" s="373"/>
      <c r="G134" s="373"/>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c r="AP134" s="373"/>
      <c r="AQ134" s="373"/>
      <c r="AR134" s="373"/>
      <c r="AS134" s="373"/>
      <c r="AT134" s="373"/>
      <c r="AU134" s="373"/>
      <c r="AV134" s="373"/>
      <c r="AW134" s="373"/>
      <c r="AX134" s="373"/>
      <c r="AY134" s="373"/>
      <c r="AZ134" s="375"/>
      <c r="BA134" s="375"/>
      <c r="BB134" s="375"/>
      <c r="BC134" s="375"/>
      <c r="BD134" s="373"/>
      <c r="BE134" s="373"/>
      <c r="BF134" s="375"/>
      <c r="BG134" s="375"/>
      <c r="BH134" s="375"/>
      <c r="BI134" s="375"/>
      <c r="BJ134" s="375"/>
      <c r="BK134" s="373"/>
      <c r="BL134" s="373"/>
      <c r="BM134" s="373"/>
      <c r="BN134" s="373"/>
      <c r="BO134" s="373"/>
      <c r="BP134" s="373"/>
      <c r="BQ134" s="373"/>
      <c r="BR134" s="373"/>
      <c r="BS134" s="373"/>
      <c r="BT134" s="373"/>
      <c r="BU134" s="373"/>
      <c r="BV134" s="373"/>
      <c r="BW134" s="373"/>
      <c r="BX134" s="373"/>
      <c r="BY134" s="373"/>
      <c r="BZ134" s="373"/>
      <c r="CA134" s="376"/>
      <c r="CB134" s="373"/>
      <c r="CC134" s="377"/>
      <c r="CD134" s="373"/>
      <c r="CE134" s="373"/>
      <c r="CF134" s="373"/>
      <c r="CG134" s="373"/>
      <c r="CH134" s="373"/>
      <c r="CI134" s="373"/>
      <c r="CJ134" s="373"/>
      <c r="CK134" s="373"/>
      <c r="CL134" s="373"/>
      <c r="CM134" s="373"/>
      <c r="CN134" s="373"/>
      <c r="CO134" s="373"/>
      <c r="CP134" s="373"/>
      <c r="CQ134" s="373"/>
      <c r="CR134" s="373"/>
      <c r="CS134" s="373"/>
      <c r="CT134" s="373"/>
      <c r="CU134" s="373"/>
      <c r="CV134" s="376"/>
      <c r="CW134" s="376"/>
      <c r="CX134" s="376"/>
      <c r="CY134" s="376"/>
      <c r="CZ134" s="373"/>
      <c r="DA134" s="373"/>
      <c r="DB134" s="376"/>
      <c r="DC134" s="376"/>
      <c r="DD134" s="376"/>
      <c r="DE134" s="376"/>
      <c r="DF134" s="373"/>
      <c r="DG134" s="373"/>
      <c r="DH134" s="380">
        <f>DH78-DH128</f>
        <v>1.3739999999999997</v>
      </c>
      <c r="DI134" s="380">
        <f>DI78-DI128</f>
        <v>3.0249999999999995</v>
      </c>
      <c r="DJ134" s="380">
        <f>DJ78-DJ128</f>
        <v>4.3810000000000002</v>
      </c>
      <c r="DK134" s="380">
        <f>DK78-DK128</f>
        <v>4.9080000000000004</v>
      </c>
      <c r="DL134" s="380">
        <f>DL78-DL128</f>
        <v>13.687999999999999</v>
      </c>
      <c r="DM134" s="373"/>
      <c r="DN134" s="380">
        <f>DN78-DN128</f>
        <v>3.5560000000000009</v>
      </c>
      <c r="DO134" s="380">
        <f>DO78-DO128</f>
        <v>6.3639999999999999</v>
      </c>
      <c r="DP134" s="380">
        <f>DP78-DP128</f>
        <v>5.7929999999999993</v>
      </c>
      <c r="DQ134" s="380">
        <f>DQ78-DQ128</f>
        <v>5.5729999999999986</v>
      </c>
      <c r="DR134" s="380">
        <f>DR78-DR128</f>
        <v>21.285999999999998</v>
      </c>
      <c r="DS134" s="373"/>
      <c r="DT134" s="380">
        <f>DT78-DT128</f>
        <v>2.3100000000000005</v>
      </c>
      <c r="DU134" s="380">
        <f>DU78-DU128</f>
        <v>2.8789999999999996</v>
      </c>
      <c r="DV134" s="380">
        <f>DV78-DV128</f>
        <v>5.9389999999999983</v>
      </c>
      <c r="DW134" s="380">
        <f>DW78-DW128</f>
        <v>7.9569999999999936</v>
      </c>
      <c r="DX134" s="380">
        <f>DX78-DX128</f>
        <v>19.084999999999994</v>
      </c>
      <c r="DZ134" s="380">
        <f>DZ78-DZ128</f>
        <v>6.6519999999999992</v>
      </c>
      <c r="EA134" s="380">
        <f>EA78-EA128</f>
        <v>8.8179999999999996</v>
      </c>
      <c r="EB134" s="380">
        <f>EB78-EB128</f>
        <v>5.1579999999999995</v>
      </c>
      <c r="EC134" s="380">
        <f>EC78-EC128</f>
        <v>7.7959999999999994</v>
      </c>
      <c r="ED134" s="380">
        <f>ED78-ED128</f>
        <v>28.423999999999992</v>
      </c>
      <c r="EE134" s="41"/>
      <c r="EF134" s="380">
        <f>EF78-EF128</f>
        <v>5.2970000000000006</v>
      </c>
      <c r="EG134" s="380">
        <f>EG78-EG128</f>
        <v>5.9350000000000005</v>
      </c>
      <c r="EH134" s="380">
        <f>EH78-EH128</f>
        <v>8.5810000000000013</v>
      </c>
      <c r="EI134" s="380">
        <f>EI78-EI128</f>
        <v>13.429000000000002</v>
      </c>
      <c r="EJ134" s="380">
        <f>EJ78-EJ128</f>
        <v>33.242000000000004</v>
      </c>
      <c r="EK134" s="41"/>
      <c r="EL134" s="380">
        <f>EL78-EL128</f>
        <v>7.8259999999999987</v>
      </c>
      <c r="EM134" s="380">
        <f>EM78-EM128</f>
        <v>9.0709999999999997</v>
      </c>
      <c r="EN134" s="380">
        <f>EN78-EN128</f>
        <v>9.3409999999999993</v>
      </c>
      <c r="EO134" s="380">
        <f>EO78-EO128</f>
        <v>12.147</v>
      </c>
      <c r="EP134" s="380">
        <f>EP78-EP128</f>
        <v>38.384999999999991</v>
      </c>
      <c r="EQ134" s="41"/>
      <c r="ER134" s="380">
        <f>ER78-ER128</f>
        <v>8.4759999999999991</v>
      </c>
      <c r="ES134" s="380">
        <f>ES78-ES128</f>
        <v>9.9150000000000009</v>
      </c>
      <c r="ET134" s="380">
        <f>ET78-ET128</f>
        <v>9.8570000000000011</v>
      </c>
      <c r="EU134" s="380"/>
      <c r="EV134" s="380"/>
      <c r="EW134" s="41"/>
      <c r="EX134" s="380"/>
      <c r="EY134" s="380"/>
      <c r="EZ134" s="380"/>
      <c r="FA134" s="380"/>
      <c r="FB134" s="380"/>
      <c r="FD134" s="380"/>
      <c r="FE134" s="380"/>
      <c r="FF134" s="380"/>
      <c r="FG134" s="380"/>
      <c r="FH134" s="380"/>
      <c r="FJ134" s="380"/>
      <c r="FK134" s="380"/>
      <c r="FL134" s="380"/>
      <c r="FM134" s="380"/>
      <c r="FN134" s="380"/>
    </row>
    <row r="135" spans="1:170" s="381" customFormat="1">
      <c r="B135" s="378"/>
      <c r="C135" s="389" t="s">
        <v>404</v>
      </c>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c r="AH135" s="378"/>
      <c r="AI135" s="378"/>
      <c r="AJ135" s="378"/>
      <c r="AK135" s="378"/>
      <c r="AL135" s="378"/>
      <c r="AM135" s="378"/>
      <c r="AN135" s="378"/>
      <c r="AO135" s="378"/>
      <c r="AP135" s="378"/>
      <c r="AQ135" s="378"/>
      <c r="AR135" s="378"/>
      <c r="AS135" s="378"/>
      <c r="AT135" s="378"/>
      <c r="AU135" s="378"/>
      <c r="AV135" s="378"/>
      <c r="AW135" s="378"/>
      <c r="AX135" s="378"/>
      <c r="AY135" s="378"/>
      <c r="AZ135" s="383"/>
      <c r="BA135" s="383"/>
      <c r="BB135" s="383"/>
      <c r="BC135" s="383"/>
      <c r="BD135" s="378"/>
      <c r="BE135" s="378"/>
      <c r="BF135" s="383"/>
      <c r="BG135" s="383"/>
      <c r="BH135" s="383"/>
      <c r="BI135" s="383"/>
      <c r="BJ135" s="383"/>
      <c r="BK135" s="378"/>
      <c r="BL135" s="378"/>
      <c r="BM135" s="378"/>
      <c r="BN135" s="378"/>
      <c r="BO135" s="378"/>
      <c r="BP135" s="378"/>
      <c r="BQ135" s="378"/>
      <c r="BR135" s="378"/>
      <c r="BS135" s="378"/>
      <c r="BT135" s="378"/>
      <c r="BU135" s="378"/>
      <c r="BV135" s="378"/>
      <c r="BW135" s="378"/>
      <c r="BX135" s="378"/>
      <c r="BY135" s="378"/>
      <c r="BZ135" s="378"/>
      <c r="CA135" s="379"/>
      <c r="CB135" s="378"/>
      <c r="CC135" s="384"/>
      <c r="CD135" s="378"/>
      <c r="CE135" s="378"/>
      <c r="CF135" s="378"/>
      <c r="CG135" s="378"/>
      <c r="CH135" s="378"/>
      <c r="CI135" s="378"/>
      <c r="CJ135" s="378"/>
      <c r="CK135" s="378"/>
      <c r="CL135" s="378"/>
      <c r="CM135" s="378"/>
      <c r="CN135" s="378"/>
      <c r="CO135" s="378"/>
      <c r="CP135" s="378"/>
      <c r="CQ135" s="378"/>
      <c r="CR135" s="378"/>
      <c r="CS135" s="378"/>
      <c r="CT135" s="378"/>
      <c r="CU135" s="378"/>
      <c r="CV135" s="379"/>
      <c r="CW135" s="379"/>
      <c r="CX135" s="379"/>
      <c r="CY135" s="379"/>
      <c r="CZ135" s="378"/>
      <c r="DA135" s="378"/>
      <c r="DB135" s="379"/>
      <c r="DC135" s="379"/>
      <c r="DD135" s="379"/>
      <c r="DE135" s="379"/>
      <c r="DF135" s="378"/>
      <c r="DG135" s="378"/>
      <c r="DH135" s="351">
        <f>DH134/DH78</f>
        <v>0.21295722256664595</v>
      </c>
      <c r="DI135" s="351">
        <f>DI134/DI78</f>
        <v>0.3686327077747989</v>
      </c>
      <c r="DJ135" s="351">
        <f>DJ134/DJ78</f>
        <v>0.4541308178708407</v>
      </c>
      <c r="DK135" s="351">
        <f>DK134/DK78</f>
        <v>0.46468471880325701</v>
      </c>
      <c r="DL135" s="351">
        <f>DL134/DL78</f>
        <v>0.39257750881922737</v>
      </c>
      <c r="DM135" s="378"/>
      <c r="DN135" s="351">
        <f>DN134/DN78</f>
        <v>0.37963061812746884</v>
      </c>
      <c r="DO135" s="351">
        <f>DO134/DO78</f>
        <v>0.49988217736234386</v>
      </c>
      <c r="DP135" s="351">
        <f>DP134/DP78</f>
        <v>0.47848352192946225</v>
      </c>
      <c r="DQ135" s="351">
        <f>DQ134/DQ78</f>
        <v>0.4139493426427987</v>
      </c>
      <c r="DR135" s="351">
        <f>DR134/DR78</f>
        <v>0.44654694973567172</v>
      </c>
      <c r="DS135" s="378"/>
      <c r="DT135" s="351">
        <f>DT134/DT78</f>
        <v>0.17703862660944208</v>
      </c>
      <c r="DU135" s="351">
        <f>DU134/DU78</f>
        <v>0.21988849003284194</v>
      </c>
      <c r="DV135" s="351">
        <f>DV134/DV78</f>
        <v>0.35539465023038708</v>
      </c>
      <c r="DW135" s="351">
        <f>DW134/DW78</f>
        <v>0.41315748481229519</v>
      </c>
      <c r="DX135" s="351">
        <f>DX134/DX78</f>
        <v>0.30727246381478313</v>
      </c>
      <c r="DZ135" s="351">
        <f>DZ134/DZ78</f>
        <v>0.34925968707340121</v>
      </c>
      <c r="EA135" s="351">
        <f>EA134/EA78</f>
        <v>0.4339780501008908</v>
      </c>
      <c r="EB135" s="351">
        <f>EB134/EB78</f>
        <v>0.26986867577041801</v>
      </c>
      <c r="EC135" s="351">
        <f>EC134/EC78</f>
        <v>0.35961068314959177</v>
      </c>
      <c r="ED135" s="351">
        <f>ED134/ED78</f>
        <v>0.35460408947440641</v>
      </c>
      <c r="EE135" s="386"/>
      <c r="EF135" s="351">
        <f>EF134/EF78</f>
        <v>0.28822505169224077</v>
      </c>
      <c r="EG135" s="351">
        <f>EG134/EG78</f>
        <v>0.30534547512476207</v>
      </c>
      <c r="EH135" s="351">
        <f>EH134/EH78</f>
        <v>0.37935455349248459</v>
      </c>
      <c r="EI135" s="351">
        <f>EI134/EI78</f>
        <v>0.43973280068109633</v>
      </c>
      <c r="EJ135" s="351">
        <f>EJ134/EJ78</f>
        <v>0.36540110361202105</v>
      </c>
      <c r="EK135" s="386"/>
      <c r="EL135" s="351">
        <f>EL134/EL78</f>
        <v>0.35014093329157525</v>
      </c>
      <c r="EM135" s="351">
        <f>EM134/EM78</f>
        <v>0.3817600269348933</v>
      </c>
      <c r="EN135" s="351">
        <f>EN134/EN78</f>
        <v>0.38281217982869553</v>
      </c>
      <c r="EO135" s="351">
        <f>EO134/EO78</f>
        <v>0.47646505060014122</v>
      </c>
      <c r="EP135" s="351">
        <f>EP134/EP78</f>
        <v>0.3998145968523128</v>
      </c>
      <c r="EQ135" s="386"/>
      <c r="ER135" s="351">
        <f>ER134/ER78</f>
        <v>0.39050909928587879</v>
      </c>
      <c r="ES135" s="351">
        <f>ES134/ES78</f>
        <v>0.42896080297655104</v>
      </c>
      <c r="ET135" s="351">
        <f>ET134/ET78</f>
        <v>0.44721201397395766</v>
      </c>
      <c r="EU135" s="351"/>
      <c r="EV135" s="351"/>
      <c r="EW135" s="386"/>
      <c r="EX135" s="351"/>
      <c r="EY135" s="351"/>
      <c r="EZ135" s="351"/>
      <c r="FA135" s="351"/>
      <c r="FB135" s="351"/>
      <c r="FD135" s="351"/>
      <c r="FE135" s="351"/>
      <c r="FF135" s="351"/>
      <c r="FG135" s="351"/>
      <c r="FH135" s="351"/>
      <c r="FJ135" s="351"/>
      <c r="FK135" s="351"/>
      <c r="FL135" s="351"/>
      <c r="FM135" s="351"/>
      <c r="FN135" s="351"/>
    </row>
    <row r="136" spans="1:170" s="372" customFormat="1">
      <c r="B136" s="378" t="s">
        <v>657</v>
      </c>
      <c r="C136" s="389"/>
      <c r="D136" s="373"/>
      <c r="E136" s="373"/>
      <c r="F136" s="373"/>
      <c r="G136" s="373"/>
      <c r="H136" s="373"/>
      <c r="I136" s="373"/>
      <c r="J136" s="373"/>
      <c r="K136" s="373"/>
      <c r="L136" s="373"/>
      <c r="M136" s="373"/>
      <c r="N136" s="373"/>
      <c r="O136" s="373"/>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c r="AP136" s="373"/>
      <c r="AQ136" s="373"/>
      <c r="AR136" s="373"/>
      <c r="AS136" s="373"/>
      <c r="AT136" s="373"/>
      <c r="AU136" s="373"/>
      <c r="AV136" s="373"/>
      <c r="AW136" s="373"/>
      <c r="AX136" s="373"/>
      <c r="AY136" s="373"/>
      <c r="AZ136" s="375"/>
      <c r="BA136" s="375"/>
      <c r="BB136" s="375"/>
      <c r="BC136" s="375"/>
      <c r="BD136" s="373"/>
      <c r="BE136" s="373"/>
      <c r="BF136" s="375"/>
      <c r="BG136" s="375"/>
      <c r="BH136" s="375"/>
      <c r="BI136" s="375"/>
      <c r="BJ136" s="375"/>
      <c r="BK136" s="373"/>
      <c r="BL136" s="373"/>
      <c r="BM136" s="373"/>
      <c r="BN136" s="373"/>
      <c r="BO136" s="373"/>
      <c r="BP136" s="373"/>
      <c r="BQ136" s="373"/>
      <c r="BR136" s="373"/>
      <c r="BS136" s="373"/>
      <c r="BT136" s="373"/>
      <c r="BU136" s="373"/>
      <c r="BV136" s="373"/>
      <c r="BW136" s="373"/>
      <c r="BX136" s="373"/>
      <c r="BY136" s="373"/>
      <c r="BZ136" s="373"/>
      <c r="CA136" s="376"/>
      <c r="CB136" s="373"/>
      <c r="CC136" s="377"/>
      <c r="CD136" s="373"/>
      <c r="CE136" s="373"/>
      <c r="CF136" s="373"/>
      <c r="CG136" s="373"/>
      <c r="CH136" s="373"/>
      <c r="CI136" s="373"/>
      <c r="CJ136" s="373"/>
      <c r="CK136" s="373"/>
      <c r="CL136" s="373"/>
      <c r="CM136" s="373"/>
      <c r="CN136" s="373"/>
      <c r="CO136" s="373"/>
      <c r="CP136" s="373"/>
      <c r="CQ136" s="373"/>
      <c r="CR136" s="373"/>
      <c r="CS136" s="373"/>
      <c r="CT136" s="373"/>
      <c r="CU136" s="373"/>
      <c r="CV136" s="376"/>
      <c r="CW136" s="376"/>
      <c r="CX136" s="376"/>
      <c r="CY136" s="376"/>
      <c r="CZ136" s="373"/>
      <c r="DA136" s="373"/>
      <c r="DB136" s="376"/>
      <c r="DC136" s="376"/>
      <c r="DD136" s="376"/>
      <c r="DE136" s="376"/>
      <c r="DF136" s="373"/>
      <c r="DG136" s="373"/>
      <c r="DH136" s="387">
        <f>SUM(DH132,DH134)</f>
        <v>27.302999999999994</v>
      </c>
      <c r="DI136" s="387">
        <f>SUM(DI132,DI134)</f>
        <v>30.53</v>
      </c>
      <c r="DJ136" s="387">
        <f>SUM(DJ132,DJ134)</f>
        <v>32.320999999999998</v>
      </c>
      <c r="DK136" s="387">
        <f>SUM(DK132,DK134)</f>
        <v>37.11</v>
      </c>
      <c r="DL136" s="387">
        <f>SUM(DL132,DL134)</f>
        <v>127.264</v>
      </c>
      <c r="DM136" s="373"/>
      <c r="DN136" s="387">
        <f>SUM(DN132,DN134)</f>
        <v>47.114999999999995</v>
      </c>
      <c r="DO136" s="387">
        <f>SUM(DO132,DO134)</f>
        <v>48.965999999999994</v>
      </c>
      <c r="DP136" s="387">
        <f>SUM(DP132,DP134)</f>
        <v>50.831999999999994</v>
      </c>
      <c r="DQ136" s="387">
        <f>SUM(DQ132,DQ134)</f>
        <v>49.923000000000016</v>
      </c>
      <c r="DR136" s="387">
        <f>SUM(DR132,DR134)</f>
        <v>196.83600000000004</v>
      </c>
      <c r="DS136" s="373"/>
      <c r="DT136" s="387">
        <f>SUM(DT132,DT134)</f>
        <v>46.369</v>
      </c>
      <c r="DU136" s="387">
        <f>SUM(DU132,DU134)</f>
        <v>28.006</v>
      </c>
      <c r="DV136" s="387">
        <f>SUM(DV132,DV134)</f>
        <v>54.065000000000005</v>
      </c>
      <c r="DW136" s="387">
        <f>SUM(DW132,DW134)</f>
        <v>57.453000000000003</v>
      </c>
      <c r="DX136" s="387">
        <f>SUM(DX132,DX134)</f>
        <v>185.89299999999997</v>
      </c>
      <c r="DZ136" s="387">
        <f>SUM(DZ132,DZ134)</f>
        <v>46.872999999999998</v>
      </c>
      <c r="EA136" s="387">
        <f>SUM(EA132,EA134)</f>
        <v>53.719000000000001</v>
      </c>
      <c r="EB136" s="387">
        <f>SUM(EB132,EB134)</f>
        <v>52.064000000000007</v>
      </c>
      <c r="EC136" s="387">
        <f>SUM(EC132,EC134)</f>
        <v>50.11</v>
      </c>
      <c r="ED136" s="387">
        <f>SUM(ED132,ED134)</f>
        <v>202.76600000000002</v>
      </c>
      <c r="EE136" s="41"/>
      <c r="EF136" s="387">
        <f>SUM(EF132,EF134)</f>
        <v>43.084999999999994</v>
      </c>
      <c r="EG136" s="387">
        <f>SUM(EG132,EG134)</f>
        <v>48.799000000000007</v>
      </c>
      <c r="EH136" s="387">
        <f>SUM(EH132,EH134)</f>
        <v>53.746000000000009</v>
      </c>
      <c r="EI136" s="387">
        <f>SUM(EI132,EI134)</f>
        <v>61.679000000000002</v>
      </c>
      <c r="EJ136" s="387">
        <f>SUM(EJ132,EJ134)</f>
        <v>207.30899999999997</v>
      </c>
      <c r="EK136" s="41"/>
      <c r="EL136" s="387">
        <f>SUM(EL132,EL134)</f>
        <v>59.667000000000002</v>
      </c>
      <c r="EM136" s="387">
        <f>SUM(EM132,EM134)</f>
        <v>64.744</v>
      </c>
      <c r="EN136" s="387">
        <f>SUM(EN132,EN134)</f>
        <v>67.163999999999987</v>
      </c>
      <c r="EO136" s="387">
        <f>SUM(EO132,EO134)</f>
        <v>72.667000000000002</v>
      </c>
      <c r="EP136" s="387">
        <f>SUM(EP132,EP134)</f>
        <v>264.24199999999996</v>
      </c>
      <c r="EQ136" s="41"/>
      <c r="ER136" s="387">
        <f>SUM(ER132,ER134)</f>
        <v>70.774000000000001</v>
      </c>
      <c r="ES136" s="387">
        <f>SUM(ES132,ES134)</f>
        <v>77.76100000000001</v>
      </c>
      <c r="ET136" s="387">
        <f>SUM(ET132,ET134)</f>
        <v>80.142999999999986</v>
      </c>
      <c r="EU136" s="387"/>
      <c r="EV136" s="387"/>
      <c r="EW136" s="41"/>
      <c r="EX136" s="387"/>
      <c r="EY136" s="387"/>
      <c r="EZ136" s="387"/>
      <c r="FA136" s="387"/>
      <c r="FB136" s="387"/>
      <c r="FD136" s="387"/>
      <c r="FE136" s="387"/>
      <c r="FF136" s="387"/>
      <c r="FG136" s="387"/>
      <c r="FH136" s="387"/>
      <c r="FJ136" s="387"/>
      <c r="FK136" s="387"/>
      <c r="FL136" s="387"/>
      <c r="FM136" s="387"/>
      <c r="FN136" s="387"/>
    </row>
    <row r="137" spans="1:170" s="372" customFormat="1">
      <c r="B137" s="378"/>
      <c r="C137" s="389" t="s">
        <v>404</v>
      </c>
      <c r="D137" s="373"/>
      <c r="E137" s="373"/>
      <c r="F137" s="373"/>
      <c r="G137" s="373"/>
      <c r="H137" s="373"/>
      <c r="I137" s="373"/>
      <c r="J137" s="373"/>
      <c r="K137" s="373"/>
      <c r="L137" s="373"/>
      <c r="M137" s="373"/>
      <c r="N137" s="373"/>
      <c r="O137" s="373"/>
      <c r="P137" s="373"/>
      <c r="Q137" s="373"/>
      <c r="R137" s="373"/>
      <c r="S137" s="373"/>
      <c r="T137" s="373"/>
      <c r="U137" s="373"/>
      <c r="V137" s="373"/>
      <c r="W137" s="373"/>
      <c r="X137" s="373"/>
      <c r="Y137" s="373"/>
      <c r="Z137" s="373"/>
      <c r="AA137" s="373"/>
      <c r="AB137" s="373"/>
      <c r="AC137" s="373"/>
      <c r="AD137" s="373"/>
      <c r="AE137" s="373"/>
      <c r="AF137" s="373"/>
      <c r="AG137" s="373"/>
      <c r="AH137" s="373"/>
      <c r="AI137" s="373"/>
      <c r="AJ137" s="373"/>
      <c r="AK137" s="373"/>
      <c r="AL137" s="373"/>
      <c r="AM137" s="373"/>
      <c r="AN137" s="373"/>
      <c r="AO137" s="373"/>
      <c r="AP137" s="373"/>
      <c r="AQ137" s="373"/>
      <c r="AR137" s="373"/>
      <c r="AS137" s="373"/>
      <c r="AT137" s="373"/>
      <c r="AU137" s="373"/>
      <c r="AV137" s="373"/>
      <c r="AW137" s="373"/>
      <c r="AX137" s="373"/>
      <c r="AY137" s="373"/>
      <c r="AZ137" s="375"/>
      <c r="BA137" s="375"/>
      <c r="BB137" s="375"/>
      <c r="BC137" s="375"/>
      <c r="BD137" s="373"/>
      <c r="BE137" s="373"/>
      <c r="BF137" s="375"/>
      <c r="BG137" s="375"/>
      <c r="BH137" s="375"/>
      <c r="BI137" s="375"/>
      <c r="BJ137" s="375"/>
      <c r="BK137" s="373"/>
      <c r="BL137" s="373"/>
      <c r="BM137" s="373"/>
      <c r="BN137" s="373"/>
      <c r="BO137" s="373"/>
      <c r="BP137" s="373"/>
      <c r="BQ137" s="373"/>
      <c r="BR137" s="373"/>
      <c r="BS137" s="373"/>
      <c r="BT137" s="373"/>
      <c r="BU137" s="373"/>
      <c r="BV137" s="373"/>
      <c r="BW137" s="373"/>
      <c r="BX137" s="373"/>
      <c r="BY137" s="373"/>
      <c r="BZ137" s="373"/>
      <c r="CA137" s="376"/>
      <c r="CB137" s="373"/>
      <c r="CC137" s="377"/>
      <c r="CD137" s="373"/>
      <c r="CE137" s="373"/>
      <c r="CF137" s="373"/>
      <c r="CG137" s="373"/>
      <c r="CH137" s="373"/>
      <c r="CI137" s="373"/>
      <c r="CJ137" s="373"/>
      <c r="CK137" s="373"/>
      <c r="CL137" s="373"/>
      <c r="CM137" s="373"/>
      <c r="CN137" s="373"/>
      <c r="CO137" s="373"/>
      <c r="CP137" s="373"/>
      <c r="CQ137" s="373"/>
      <c r="CR137" s="373"/>
      <c r="CS137" s="373"/>
      <c r="CT137" s="373"/>
      <c r="CU137" s="373"/>
      <c r="CV137" s="376"/>
      <c r="CW137" s="376"/>
      <c r="CX137" s="376"/>
      <c r="CY137" s="376"/>
      <c r="CZ137" s="373"/>
      <c r="DA137" s="373"/>
      <c r="DB137" s="376"/>
      <c r="DC137" s="376"/>
      <c r="DD137" s="376"/>
      <c r="DE137" s="376"/>
      <c r="DF137" s="373"/>
      <c r="DG137" s="373"/>
      <c r="DH137" s="20">
        <f>DH136/DH90</f>
        <v>0.43049051605884292</v>
      </c>
      <c r="DI137" s="20">
        <f>DI136/DI90</f>
        <v>0.45065391314616365</v>
      </c>
      <c r="DJ137" s="20">
        <f>DJ136/DJ90</f>
        <v>0.46776948014356834</v>
      </c>
      <c r="DK137" s="20">
        <f>DK136/DK90</f>
        <v>0.48525661981039558</v>
      </c>
      <c r="DL137" s="20">
        <f>DL136/DL90</f>
        <v>0.45986846859868463</v>
      </c>
      <c r="DM137" s="373"/>
      <c r="DN137" s="20">
        <f>DN136/DN90</f>
        <v>0.49295332559088478</v>
      </c>
      <c r="DO137" s="20">
        <f>DO136/DO90</f>
        <v>0.48141338865238464</v>
      </c>
      <c r="DP137" s="20">
        <f>DP136/DP90</f>
        <v>0.48563130541118921</v>
      </c>
      <c r="DQ137" s="20">
        <f>DQ136/DQ90</f>
        <v>0.46714638619605514</v>
      </c>
      <c r="DR137" s="20">
        <f>DR136/DR90</f>
        <v>0.48146173226035277</v>
      </c>
      <c r="DS137" s="373"/>
      <c r="DT137" s="20">
        <f>DT136/DT90</f>
        <v>0.43731962652079598</v>
      </c>
      <c r="DU137" s="20">
        <f>DU136/DU90</f>
        <v>0.32199317060832172</v>
      </c>
      <c r="DV137" s="20">
        <f>DV136/DV90</f>
        <v>0.43098912662223782</v>
      </c>
      <c r="DW137" s="20">
        <f>DW136/DW90</f>
        <v>0.45598704731065026</v>
      </c>
      <c r="DX137" s="20">
        <f>DX136/DX90</f>
        <v>0.41825590395276835</v>
      </c>
      <c r="DZ137" s="20">
        <f>DZ136/DZ90</f>
        <v>0.40571092242043399</v>
      </c>
      <c r="EA137" s="20">
        <f>EA136/EA90</f>
        <v>0.4413180638165029</v>
      </c>
      <c r="EB137" s="20">
        <f>EB136/EB90</f>
        <v>0.42907532553156424</v>
      </c>
      <c r="EC137" s="20">
        <f>EC136/EC90</f>
        <v>0.39854611395666972</v>
      </c>
      <c r="ED137" s="20">
        <f>ED136/ED90</f>
        <v>0.41865343599082444</v>
      </c>
      <c r="EE137" s="41"/>
      <c r="EF137" s="20">
        <f>EF136/EF90</f>
        <v>0.36771671687903795</v>
      </c>
      <c r="EG137" s="20">
        <f>EG136/EG90</f>
        <v>0.39016726365613413</v>
      </c>
      <c r="EH137" s="20">
        <f>EH136/EH90</f>
        <v>0.41734093273904743</v>
      </c>
      <c r="EI137" s="20">
        <f>EI136/EI90</f>
        <v>0.44467755308027834</v>
      </c>
      <c r="EJ137" s="20">
        <f>EJ136/EJ90</f>
        <v>0.40670514470462676</v>
      </c>
      <c r="EK137" s="41"/>
      <c r="EL137" s="20">
        <f>EL136/EL90</f>
        <v>0.43482728465238307</v>
      </c>
      <c r="EM137" s="20">
        <f>EM136/EM90</f>
        <v>0.44068419583846663</v>
      </c>
      <c r="EN137" s="20">
        <f>EN136/EN90</f>
        <v>0.44200218487173737</v>
      </c>
      <c r="EO137" s="20">
        <f>EO136/EO90</f>
        <v>0.46715567784406503</v>
      </c>
      <c r="EP137" s="20">
        <f>EP136/EP90</f>
        <v>0.44662406214558442</v>
      </c>
      <c r="EQ137" s="41"/>
      <c r="ER137" s="20">
        <f>ER136/ER90</f>
        <v>0.45298259088581666</v>
      </c>
      <c r="ES137" s="20">
        <f>ES136/ES90</f>
        <v>0.4727054990212885</v>
      </c>
      <c r="ET137" s="20">
        <f>ET136/ET90</f>
        <v>0.47754194870817041</v>
      </c>
      <c r="EU137" s="20"/>
      <c r="EV137" s="20"/>
      <c r="EW137" s="41"/>
      <c r="EX137" s="20"/>
      <c r="EY137" s="20"/>
      <c r="EZ137" s="20"/>
      <c r="FA137" s="352"/>
      <c r="FB137" s="20"/>
      <c r="FD137" s="20"/>
      <c r="FE137" s="20"/>
      <c r="FF137" s="20"/>
      <c r="FG137" s="20"/>
      <c r="FH137" s="20"/>
      <c r="FJ137" s="20"/>
      <c r="FK137" s="20"/>
      <c r="FL137" s="20"/>
      <c r="FM137" s="20"/>
      <c r="FN137" s="20"/>
    </row>
    <row r="138" spans="1:170">
      <c r="B138" s="25"/>
      <c r="C138" s="348"/>
      <c r="D138" s="15"/>
      <c r="E138" s="15"/>
      <c r="F138" s="15"/>
      <c r="G138" s="15"/>
      <c r="H138" s="15"/>
      <c r="I138" s="15"/>
      <c r="J138" s="15"/>
      <c r="K138" s="15"/>
      <c r="L138" s="15"/>
      <c r="M138" s="15"/>
      <c r="N138" s="15"/>
      <c r="O138" s="15"/>
      <c r="P138" s="15"/>
      <c r="Q138" s="15"/>
      <c r="R138" s="17"/>
      <c r="S138" s="15"/>
      <c r="T138" s="15"/>
      <c r="U138" s="15"/>
      <c r="V138" s="15"/>
      <c r="W138" s="15"/>
      <c r="X138" s="17"/>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339"/>
      <c r="BA138" s="339"/>
      <c r="BB138" s="339"/>
      <c r="BC138" s="339"/>
      <c r="BD138" s="17"/>
      <c r="BE138" s="17"/>
      <c r="BF138" s="339"/>
      <c r="BG138" s="339"/>
      <c r="BH138" s="339"/>
      <c r="BI138" s="339"/>
      <c r="BJ138" s="339"/>
      <c r="BK138" s="15"/>
      <c r="BL138" s="15"/>
      <c r="BM138" s="15"/>
      <c r="BN138" s="17"/>
      <c r="BO138" s="15"/>
      <c r="BP138" s="15"/>
      <c r="BQ138" s="15"/>
      <c r="BR138" s="15"/>
      <c r="BS138" s="15"/>
      <c r="BT138" s="15"/>
      <c r="BU138" s="15"/>
      <c r="BV138" s="15"/>
      <c r="BW138" s="15"/>
      <c r="BX138" s="15"/>
      <c r="BY138" s="15"/>
      <c r="BZ138" s="15"/>
      <c r="CA138" s="340"/>
      <c r="CB138" s="15"/>
      <c r="CC138" s="338"/>
      <c r="CD138" s="15"/>
      <c r="CE138" s="15"/>
      <c r="CF138" s="15"/>
      <c r="CG138" s="15"/>
      <c r="CH138" s="15"/>
      <c r="CI138" s="15"/>
      <c r="CJ138" s="15"/>
      <c r="CK138" s="15"/>
      <c r="CL138" s="341"/>
      <c r="CM138" s="15"/>
      <c r="CN138" s="15"/>
      <c r="CO138" s="15"/>
      <c r="CP138" s="15"/>
      <c r="CQ138" s="15"/>
      <c r="CR138" s="342"/>
      <c r="CS138" s="342"/>
      <c r="CT138" s="67"/>
      <c r="CU138" s="15"/>
      <c r="CV138" s="350"/>
      <c r="CW138" s="350"/>
      <c r="CX138" s="350"/>
      <c r="CY138" s="350"/>
      <c r="CZ138" s="67"/>
      <c r="DA138" s="344"/>
      <c r="DB138" s="350"/>
      <c r="DC138" s="350"/>
      <c r="DD138" s="350"/>
      <c r="DE138" s="350"/>
      <c r="DF138" s="67"/>
      <c r="DG138" s="344"/>
      <c r="DH138" s="67"/>
      <c r="DI138" s="67"/>
      <c r="DJ138" s="67"/>
      <c r="DK138" s="67"/>
      <c r="DL138" s="67"/>
      <c r="DM138" s="344"/>
      <c r="DN138" s="67"/>
      <c r="DO138" s="67"/>
      <c r="DP138" s="67"/>
      <c r="DQ138" s="67"/>
      <c r="DR138" s="67"/>
      <c r="DS138" s="344"/>
      <c r="DT138" s="67"/>
      <c r="DU138" s="67"/>
      <c r="DV138" s="67"/>
      <c r="DW138" s="67"/>
      <c r="DX138" s="67"/>
      <c r="DZ138" s="356"/>
      <c r="EA138" s="356"/>
      <c r="EB138" s="356"/>
      <c r="EC138" s="356"/>
      <c r="ED138" s="356"/>
      <c r="EF138" s="387"/>
      <c r="EG138" s="25"/>
      <c r="EH138" s="25"/>
      <c r="EI138" s="25"/>
      <c r="EJ138" s="25"/>
      <c r="EL138" s="387"/>
      <c r="EM138" s="25"/>
      <c r="EN138" s="25"/>
      <c r="EO138" s="25"/>
      <c r="EP138" s="25"/>
      <c r="ER138" s="387"/>
      <c r="ES138" s="25"/>
      <c r="ET138" s="25"/>
      <c r="EU138" s="25"/>
      <c r="EV138" s="25"/>
      <c r="EX138" s="25"/>
      <c r="EY138" s="25"/>
      <c r="EZ138" s="25"/>
      <c r="FA138" s="25"/>
      <c r="FB138" s="25"/>
      <c r="FD138" s="25"/>
      <c r="FE138" s="25"/>
      <c r="FF138" s="25"/>
      <c r="FG138" s="25"/>
      <c r="FH138" s="25"/>
      <c r="FJ138" s="25"/>
      <c r="FK138" s="25"/>
      <c r="FL138" s="25"/>
      <c r="FM138" s="25"/>
      <c r="FN138" s="25"/>
    </row>
    <row r="139" spans="1:170">
      <c r="A139" s="31" t="str">
        <f>IS!A95</f>
        <v>Source: NeoGenomics and Jefferies LLC estimates.</v>
      </c>
      <c r="B139" s="25"/>
      <c r="C139" s="348"/>
      <c r="D139" s="15"/>
      <c r="E139" s="15"/>
      <c r="F139" s="15"/>
      <c r="G139" s="15"/>
      <c r="H139" s="15"/>
      <c r="I139" s="15"/>
      <c r="J139" s="15"/>
      <c r="K139" s="15"/>
      <c r="L139" s="15"/>
      <c r="M139" s="15"/>
      <c r="N139" s="15"/>
      <c r="O139" s="15"/>
      <c r="P139" s="15"/>
      <c r="Q139" s="15"/>
      <c r="R139" s="17"/>
      <c r="S139" s="15"/>
      <c r="T139" s="15"/>
      <c r="U139" s="15"/>
      <c r="V139" s="15"/>
      <c r="W139" s="15"/>
      <c r="X139" s="17"/>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339"/>
      <c r="BA139" s="339"/>
      <c r="BB139" s="339"/>
      <c r="BC139" s="339"/>
      <c r="BD139" s="17"/>
      <c r="BE139" s="17"/>
      <c r="BF139" s="339"/>
      <c r="BG139" s="339"/>
      <c r="BH139" s="339"/>
      <c r="BI139" s="339"/>
      <c r="BJ139" s="339"/>
      <c r="BK139" s="15"/>
      <c r="BL139" s="15"/>
      <c r="BM139" s="15"/>
      <c r="BN139" s="17"/>
      <c r="BO139" s="15"/>
      <c r="BP139" s="15"/>
      <c r="BQ139" s="15"/>
      <c r="BR139" s="15"/>
      <c r="BS139" s="15"/>
      <c r="BT139" s="15"/>
      <c r="BU139" s="15"/>
      <c r="BV139" s="15"/>
      <c r="BW139" s="15"/>
      <c r="BX139" s="15"/>
      <c r="BY139" s="15"/>
      <c r="BZ139" s="15"/>
      <c r="CA139" s="340"/>
      <c r="CB139" s="15"/>
      <c r="CC139" s="338"/>
      <c r="CD139" s="15"/>
      <c r="CE139" s="15"/>
      <c r="CF139" s="15"/>
      <c r="CG139" s="15"/>
      <c r="CH139" s="15"/>
      <c r="CI139" s="15"/>
      <c r="CJ139" s="15"/>
      <c r="CK139" s="15"/>
      <c r="CL139" s="341"/>
      <c r="CM139" s="15"/>
      <c r="CN139" s="15"/>
      <c r="CO139" s="15"/>
      <c r="CP139" s="15"/>
      <c r="CQ139" s="15"/>
      <c r="CR139" s="342"/>
      <c r="CS139" s="342"/>
      <c r="CT139" s="67"/>
      <c r="CU139" s="15"/>
      <c r="CV139" s="350"/>
      <c r="CW139" s="350"/>
      <c r="CX139" s="350"/>
      <c r="CY139" s="350"/>
      <c r="CZ139" s="67"/>
      <c r="DA139" s="344"/>
      <c r="DB139" s="350"/>
      <c r="DC139" s="350"/>
      <c r="DD139" s="350"/>
      <c r="DE139" s="350"/>
      <c r="DF139" s="67"/>
      <c r="DG139" s="344"/>
      <c r="DH139" s="67"/>
      <c r="DI139" s="67"/>
      <c r="DJ139" s="67"/>
      <c r="DK139" s="67"/>
      <c r="DL139" s="67"/>
      <c r="DM139" s="344"/>
      <c r="DN139" s="67"/>
      <c r="DO139" s="67"/>
      <c r="DP139" s="67"/>
      <c r="DQ139" s="67"/>
      <c r="DR139" s="67"/>
      <c r="DS139" s="344"/>
      <c r="DT139" s="67"/>
      <c r="DU139" s="67"/>
      <c r="DV139" s="67"/>
      <c r="DW139" s="67"/>
      <c r="DX139" s="67"/>
      <c r="DZ139" s="356"/>
      <c r="EA139" s="356"/>
      <c r="EB139" s="356"/>
      <c r="EC139" s="356"/>
      <c r="ED139" s="356"/>
      <c r="EF139" s="25"/>
      <c r="EG139" s="25"/>
      <c r="EH139" s="25"/>
      <c r="EI139" s="25"/>
      <c r="EJ139" s="25"/>
      <c r="EL139" s="25"/>
      <c r="EM139" s="25"/>
      <c r="EN139" s="25"/>
      <c r="EO139" s="25"/>
      <c r="EP139" s="25"/>
      <c r="ER139" s="25"/>
      <c r="ES139" s="25"/>
      <c r="ET139" s="25"/>
      <c r="EU139" s="25"/>
      <c r="EV139" s="25"/>
      <c r="EX139" s="25"/>
      <c r="EY139" s="25"/>
      <c r="EZ139" s="25"/>
      <c r="FA139" s="25"/>
      <c r="FB139" s="25"/>
      <c r="FD139" s="25"/>
      <c r="FE139" s="25"/>
      <c r="FF139" s="25"/>
      <c r="FG139" s="25"/>
      <c r="FH139" s="25"/>
      <c r="FJ139" s="25"/>
      <c r="FK139" s="25"/>
      <c r="FL139" s="25"/>
      <c r="FM139" s="25"/>
      <c r="FN139" s="25"/>
    </row>
    <row r="140" spans="1:170">
      <c r="B140" s="25"/>
      <c r="C140" s="348"/>
      <c r="D140" s="15"/>
      <c r="E140" s="15"/>
      <c r="F140" s="15"/>
      <c r="G140" s="15"/>
      <c r="H140" s="15"/>
      <c r="I140" s="15"/>
      <c r="J140" s="15"/>
      <c r="K140" s="15"/>
      <c r="L140" s="15"/>
      <c r="M140" s="15"/>
      <c r="N140" s="15"/>
      <c r="O140" s="15"/>
      <c r="P140" s="15"/>
      <c r="Q140" s="15"/>
      <c r="R140" s="17"/>
      <c r="S140" s="15"/>
      <c r="T140" s="15"/>
      <c r="U140" s="15"/>
      <c r="V140" s="15"/>
      <c r="W140" s="15"/>
      <c r="X140" s="17"/>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339"/>
      <c r="BA140" s="339"/>
      <c r="BB140" s="339"/>
      <c r="BC140" s="339"/>
      <c r="BD140" s="17"/>
      <c r="BE140" s="17"/>
      <c r="BF140" s="339"/>
      <c r="BG140" s="339"/>
      <c r="BH140" s="339"/>
      <c r="BI140" s="339"/>
      <c r="BJ140" s="339"/>
      <c r="BK140" s="15"/>
      <c r="BL140" s="15"/>
      <c r="BM140" s="15"/>
      <c r="BN140" s="17"/>
      <c r="BO140" s="15"/>
      <c r="BP140" s="15"/>
      <c r="BQ140" s="15"/>
      <c r="BR140" s="15"/>
      <c r="BS140" s="15"/>
      <c r="BT140" s="15"/>
      <c r="BU140" s="15"/>
      <c r="BV140" s="15"/>
      <c r="BW140" s="15"/>
      <c r="BX140" s="15"/>
      <c r="BY140" s="15"/>
      <c r="BZ140" s="15"/>
      <c r="CA140" s="340"/>
      <c r="CB140" s="15"/>
      <c r="CC140" s="338"/>
      <c r="CD140" s="15"/>
      <c r="CE140" s="15"/>
      <c r="CF140" s="15"/>
      <c r="CG140" s="15"/>
      <c r="CH140" s="15"/>
      <c r="CI140" s="15"/>
      <c r="CJ140" s="15"/>
      <c r="CK140" s="15"/>
      <c r="CL140" s="341"/>
      <c r="CM140" s="15"/>
      <c r="CN140" s="15"/>
      <c r="CO140" s="15"/>
      <c r="CP140" s="15"/>
      <c r="CQ140" s="15"/>
      <c r="CR140" s="342"/>
      <c r="CS140" s="342"/>
      <c r="CT140" s="67"/>
      <c r="CU140" s="15"/>
      <c r="CV140" s="350"/>
      <c r="CW140" s="350"/>
      <c r="CX140" s="350"/>
      <c r="CY140" s="350"/>
      <c r="CZ140" s="67"/>
      <c r="DA140" s="344"/>
      <c r="DB140" s="350"/>
      <c r="DC140" s="350"/>
      <c r="DD140" s="350"/>
      <c r="DE140" s="350"/>
      <c r="DF140" s="67"/>
      <c r="DG140" s="344"/>
      <c r="DH140" s="67"/>
      <c r="DI140" s="67"/>
      <c r="DJ140" s="67"/>
      <c r="DK140" s="67"/>
      <c r="DL140" s="67"/>
      <c r="DM140" s="344"/>
      <c r="DN140" s="67"/>
      <c r="DO140" s="67"/>
      <c r="DP140" s="67"/>
      <c r="DQ140" s="67"/>
      <c r="DR140" s="67"/>
      <c r="DS140" s="344"/>
      <c r="DT140" s="67"/>
      <c r="DU140" s="67"/>
      <c r="DV140" s="67"/>
      <c r="DW140" s="67"/>
      <c r="DX140" s="67"/>
      <c r="DZ140" s="356"/>
      <c r="EA140" s="356"/>
      <c r="EB140" s="356"/>
      <c r="EC140" s="356"/>
      <c r="ED140" s="356"/>
      <c r="EF140" s="25"/>
      <c r="EG140" s="25"/>
      <c r="EH140" s="25"/>
      <c r="EI140" s="25"/>
      <c r="EJ140" s="25"/>
      <c r="EL140" s="25"/>
      <c r="EM140" s="25"/>
      <c r="EN140" s="25"/>
      <c r="EO140" s="25"/>
      <c r="EP140" s="25"/>
      <c r="ER140" s="25"/>
      <c r="ES140" s="25"/>
      <c r="ET140" s="25"/>
      <c r="EU140" s="25"/>
      <c r="EV140" s="25"/>
      <c r="EX140" s="25"/>
      <c r="EY140" s="25"/>
      <c r="EZ140" s="25"/>
      <c r="FA140" s="25"/>
      <c r="FB140" s="25"/>
      <c r="FD140" s="25"/>
      <c r="FE140" s="25"/>
      <c r="FF140" s="25"/>
      <c r="FG140" s="25"/>
      <c r="FH140" s="25"/>
      <c r="FJ140" s="25"/>
      <c r="FK140" s="25"/>
      <c r="FL140" s="25"/>
      <c r="FM140" s="25"/>
      <c r="FN140" s="25"/>
    </row>
    <row r="142" spans="1:170">
      <c r="C142" s="66" t="s">
        <v>711</v>
      </c>
      <c r="EL142" s="884">
        <v>65</v>
      </c>
      <c r="EP142" s="884">
        <v>65</v>
      </c>
      <c r="ER142" s="73">
        <v>90</v>
      </c>
      <c r="EV142" s="884">
        <v>90</v>
      </c>
      <c r="EX142" s="884">
        <v>140</v>
      </c>
      <c r="EY142" s="73"/>
      <c r="FB142" s="884">
        <v>140</v>
      </c>
      <c r="FD142" s="884">
        <v>165</v>
      </c>
      <c r="FH142" s="884">
        <v>165</v>
      </c>
    </row>
    <row r="149" spans="3:164">
      <c r="C149" s="66" t="s">
        <v>712</v>
      </c>
      <c r="EL149" s="73"/>
      <c r="EX149" s="73">
        <f>EX19*EX151</f>
        <v>75017.490000000005</v>
      </c>
      <c r="EY149" s="73">
        <f>EY19*EY151</f>
        <v>80606.174999999988</v>
      </c>
      <c r="EZ149" s="73">
        <f>EY19*EZ151</f>
        <v>85751.25</v>
      </c>
      <c r="FA149" s="73">
        <f>EZ149+FA150</f>
        <v>90751.25</v>
      </c>
      <c r="FD149" s="73">
        <f>FA149+FD150</f>
        <v>95751.25</v>
      </c>
      <c r="FH149" s="73"/>
    </row>
    <row r="150" spans="3:164">
      <c r="C150" s="31" t="s">
        <v>715</v>
      </c>
      <c r="EL150" s="73"/>
      <c r="EX150" s="73"/>
      <c r="EY150" s="73">
        <f>EY149-EX149</f>
        <v>5588.6849999999831</v>
      </c>
      <c r="EZ150" s="73">
        <f>EZ149-EY149</f>
        <v>5145.0750000000116</v>
      </c>
      <c r="FA150" s="73">
        <v>5000</v>
      </c>
      <c r="FB150" s="73">
        <f>SUM(EY150:EZ150)*2</f>
        <v>21467.51999999999</v>
      </c>
      <c r="FD150" s="73">
        <v>5000</v>
      </c>
      <c r="FH150" s="73"/>
    </row>
    <row r="151" spans="3:164">
      <c r="C151" s="31" t="s">
        <v>713</v>
      </c>
      <c r="EX151" s="684">
        <v>0.23</v>
      </c>
      <c r="EY151" s="684">
        <v>0.23499999999999999</v>
      </c>
      <c r="EZ151" s="684">
        <v>0.25</v>
      </c>
      <c r="FB151" s="73">
        <f>FB150/4</f>
        <v>5366.8799999999974</v>
      </c>
    </row>
    <row r="152" spans="3:164">
      <c r="EX152" s="684"/>
      <c r="EY152" s="684"/>
      <c r="EZ152" s="684"/>
    </row>
    <row r="153" spans="3:164">
      <c r="EX153" s="684"/>
      <c r="EY153" s="684"/>
      <c r="EZ153" s="684"/>
    </row>
    <row r="154" spans="3:164">
      <c r="C154" s="31" t="s">
        <v>716</v>
      </c>
      <c r="EX154" s="348">
        <f>(EX33*1000000)/EX149</f>
        <v>623.64130434782601</v>
      </c>
      <c r="EY154" s="348">
        <f>(EY33*1000000)/EY149</f>
        <v>642.09574468085111</v>
      </c>
      <c r="EZ154" s="348">
        <f>(EZ33*1000000)/EZ149</f>
        <v>613.49870380898244</v>
      </c>
      <c r="FB154" s="348">
        <v>600</v>
      </c>
    </row>
    <row r="155" spans="3:164">
      <c r="EX155" s="684"/>
      <c r="EY155" s="684"/>
      <c r="EZ155" s="684"/>
    </row>
    <row r="156" spans="3:164">
      <c r="EX156" s="684"/>
      <c r="EY156" s="684"/>
      <c r="EZ156" s="684"/>
      <c r="FB156" s="348">
        <f>(FB151*FB154)/1000000</f>
        <v>3.2201279999999985</v>
      </c>
    </row>
    <row r="157" spans="3:164">
      <c r="EX157" s="684"/>
      <c r="EY157" s="684"/>
      <c r="EZ157" s="684"/>
    </row>
    <row r="160" spans="3:164">
      <c r="C160" s="66" t="s">
        <v>714</v>
      </c>
    </row>
  </sheetData>
  <mergeCells count="15">
    <mergeCell ref="ER4:EV5"/>
    <mergeCell ref="EX5:FB5"/>
    <mergeCell ref="FP6:FT6"/>
    <mergeCell ref="CV6:CZ6"/>
    <mergeCell ref="DB6:DF6"/>
    <mergeCell ref="DH6:DL6"/>
    <mergeCell ref="DN6:DR6"/>
    <mergeCell ref="DT6:DX6"/>
    <mergeCell ref="FJ6:FN6"/>
    <mergeCell ref="DZ6:ED6"/>
    <mergeCell ref="FD6:FH6"/>
    <mergeCell ref="EX6:FB6"/>
    <mergeCell ref="EF6:EJ6"/>
    <mergeCell ref="EL6:EP6"/>
    <mergeCell ref="ER6:EV6"/>
  </mergeCells>
  <printOptions horizontalCentered="1"/>
  <pageMargins left="0.25" right="0.25" top="0.25" bottom="0.25" header="0.25" footer="0.25"/>
  <pageSetup scale="65" orientation="landscape" r:id="rId1"/>
  <headerFooter alignWithMargins="0">
    <oddFooter>&amp;L_x000D_&amp;1#&amp;"Calibri"&amp;10&amp;K000000 Sensitivity: Public</oddFooter>
  </headerFooter>
  <ignoredErrors>
    <ignoredError sqref="EU90 FB92 FH42 FN42 FH50:FI50 FH92:FN92 FN50 FT92 FT42" formula="1"/>
    <ignoredError sqref="EL9:EN9"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J126"/>
  <sheetViews>
    <sheetView zoomScaleNormal="100" workbookViewId="0">
      <pane xSplit="111" ySplit="8" topLeftCell="ER9" activePane="bottomRight" state="frozen"/>
      <selection pane="topRight" activeCell="DH1" sqref="DH1"/>
      <selection pane="bottomLeft" activeCell="A9" sqref="A9"/>
      <selection pane="bottomRight" activeCell="FF12" sqref="FF12"/>
    </sheetView>
  </sheetViews>
  <sheetFormatPr defaultColWidth="8" defaultRowHeight="12.75" outlineLevelRow="1" outlineLevelCol="1"/>
  <cols>
    <col min="1" max="2" width="1.69140625" style="31" customWidth="1"/>
    <col min="3" max="3" width="24.69140625" style="31" customWidth="1"/>
    <col min="4" max="8" width="8" style="31" hidden="1" customWidth="1"/>
    <col min="9" max="9" width="1.69140625" style="31" hidden="1" customWidth="1"/>
    <col min="10" max="14" width="8" style="31" hidden="1" customWidth="1"/>
    <col min="15" max="15" width="1.69140625" style="31" hidden="1" customWidth="1"/>
    <col min="16" max="20" width="8" style="31" hidden="1" customWidth="1"/>
    <col min="21" max="21" width="1.69140625" style="31" hidden="1" customWidth="1"/>
    <col min="22" max="26" width="8" style="31" hidden="1" customWidth="1"/>
    <col min="27" max="27" width="1.69140625" style="31" hidden="1" customWidth="1"/>
    <col min="28" max="32" width="8" style="31" hidden="1" customWidth="1"/>
    <col min="33" max="33" width="1.69140625" style="31" hidden="1" customWidth="1"/>
    <col min="34" max="38" width="8" style="31" hidden="1" customWidth="1"/>
    <col min="39" max="39" width="1.69140625" style="31" hidden="1" customWidth="1"/>
    <col min="40" max="43" width="8.69140625" style="31" hidden="1" customWidth="1"/>
    <col min="44" max="44" width="8.3828125" style="31" hidden="1" customWidth="1"/>
    <col min="45" max="45" width="1.69140625" style="31" hidden="1" customWidth="1"/>
    <col min="46" max="49" width="8.69140625" style="31" hidden="1" customWidth="1"/>
    <col min="50" max="50" width="8.3828125" style="31" hidden="1" customWidth="1"/>
    <col min="51" max="51" width="1.69140625" style="31" hidden="1" customWidth="1"/>
    <col min="52" max="55" width="8.69140625" style="31" hidden="1" customWidth="1"/>
    <col min="56" max="56" width="8.3828125" style="31" hidden="1" customWidth="1"/>
    <col min="57" max="57" width="1.69140625" style="31" hidden="1" customWidth="1"/>
    <col min="58" max="61" width="8.3046875" style="31" hidden="1" customWidth="1"/>
    <col min="62" max="62" width="8" style="31" hidden="1" customWidth="1"/>
    <col min="63" max="63" width="1.69140625" style="31" hidden="1" customWidth="1"/>
    <col min="64" max="67" width="8.69140625" style="31" hidden="1" customWidth="1"/>
    <col min="68" max="68" width="8" style="31" hidden="1" customWidth="1"/>
    <col min="69" max="69" width="1.69140625" style="31" hidden="1" customWidth="1"/>
    <col min="70" max="70" width="8.69140625" style="31" hidden="1" customWidth="1" collapsed="1"/>
    <col min="71" max="72" width="8.69140625" style="31" hidden="1" customWidth="1"/>
    <col min="73" max="73" width="8.3828125" style="31" hidden="1" customWidth="1"/>
    <col min="74" max="74" width="8" style="31" hidden="1" customWidth="1"/>
    <col min="75" max="75" width="1.69140625" style="31" hidden="1" customWidth="1"/>
    <col min="76" max="80" width="8" style="31" hidden="1" customWidth="1"/>
    <col min="81" max="81" width="1.69140625" style="31" hidden="1" customWidth="1"/>
    <col min="82" max="86" width="8" style="31" hidden="1" customWidth="1"/>
    <col min="87" max="87" width="1.69140625" style="31" hidden="1" customWidth="1"/>
    <col min="88" max="88" width="8" style="31" hidden="1" customWidth="1" collapsed="1"/>
    <col min="89" max="92" width="8" style="31" hidden="1" customWidth="1"/>
    <col min="93" max="93" width="1.69140625" style="31" hidden="1" customWidth="1"/>
    <col min="94" max="94" width="8" style="31" hidden="1" customWidth="1" collapsed="1"/>
    <col min="95" max="98" width="8" style="31" hidden="1" customWidth="1"/>
    <col min="99" max="99" width="1.69140625" style="31" hidden="1" customWidth="1"/>
    <col min="100" max="100" width="8" style="31" hidden="1" customWidth="1" collapsed="1"/>
    <col min="101" max="103" width="8" style="31" hidden="1" customWidth="1"/>
    <col min="104" max="104" width="8.3828125" style="31" hidden="1" customWidth="1"/>
    <col min="105" max="105" width="1.69140625" style="31" hidden="1" customWidth="1"/>
    <col min="106" max="109" width="8" style="31" hidden="1" customWidth="1"/>
    <col min="110" max="110" width="8.3828125" style="31" hidden="1" customWidth="1"/>
    <col min="111" max="111" width="1.69140625" style="31" hidden="1" customWidth="1"/>
    <col min="112" max="116" width="7.69140625" style="31" hidden="1" customWidth="1" outlineLevel="1"/>
    <col min="117" max="117" width="1.69140625" style="31" hidden="1" customWidth="1" outlineLevel="1"/>
    <col min="118" max="118" width="7.69140625" style="31" hidden="1" customWidth="1" outlineLevel="1" collapsed="1"/>
    <col min="119" max="122" width="7.69140625" style="31" hidden="1" customWidth="1" outlineLevel="1"/>
    <col min="123" max="123" width="1.69140625" style="31" hidden="1" customWidth="1" outlineLevel="1"/>
    <col min="124" max="128" width="7.69140625" style="31" hidden="1" customWidth="1" outlineLevel="1"/>
    <col min="129" max="129" width="1.69140625" style="31" hidden="1" customWidth="1" outlineLevel="1"/>
    <col min="130" max="134" width="7.69140625" style="31" hidden="1" customWidth="1" outlineLevel="1"/>
    <col min="135" max="135" width="1.69140625" style="31" hidden="1" customWidth="1" outlineLevel="1"/>
    <col min="136" max="139" width="8" style="31" hidden="1" customWidth="1" outlineLevel="1"/>
    <col min="140" max="140" width="7.69140625" style="31" hidden="1" customWidth="1" outlineLevel="1"/>
    <col min="141" max="141" width="1.69140625" style="31" hidden="1" customWidth="1" outlineLevel="1"/>
    <col min="142" max="142" width="7.69140625" style="31" hidden="1" customWidth="1" outlineLevel="1" collapsed="1"/>
    <col min="143" max="146" width="7.69140625" style="31" hidden="1" customWidth="1" outlineLevel="1"/>
    <col min="147" max="147" width="1.69140625" style="31" hidden="1" customWidth="1" outlineLevel="1"/>
    <col min="148" max="148" width="7.69140625" style="31" customWidth="1" collapsed="1"/>
    <col min="149" max="152" width="7.69140625" style="31" customWidth="1"/>
    <col min="153" max="153" width="1.69140625" style="31" customWidth="1"/>
    <col min="154" max="157" width="7.69140625" style="31" customWidth="1"/>
    <col min="158" max="158" width="7.69140625" style="640" customWidth="1"/>
    <col min="159" max="159" width="1.69140625" style="31" customWidth="1"/>
    <col min="160" max="163" width="7.69140625" style="31" customWidth="1" outlineLevel="1"/>
    <col min="164" max="164" width="7.69140625" style="31" customWidth="1"/>
    <col min="165" max="165" width="1.69140625" style="31" customWidth="1"/>
    <col min="166" max="169" width="7.69140625" style="31" customWidth="1" outlineLevel="1"/>
    <col min="170" max="170" width="7.69140625" style="31" customWidth="1"/>
    <col min="171" max="171" width="1.69140625" style="31" customWidth="1"/>
    <col min="172" max="175" width="7.69140625" style="31" hidden="1" customWidth="1" outlineLevel="1"/>
    <col min="176" max="176" width="7.69140625" style="31" customWidth="1" collapsed="1"/>
    <col min="177" max="177" width="1.69140625" style="31" customWidth="1"/>
    <col min="178" max="181" width="7.69140625" style="31" hidden="1" customWidth="1" outlineLevel="1"/>
    <col min="182" max="182" width="7.69140625" style="31" customWidth="1" collapsed="1"/>
    <col min="183" max="183" width="1.69140625" style="31" customWidth="1"/>
    <col min="184" max="187" width="7.69140625" style="31" hidden="1" customWidth="1" outlineLevel="1"/>
    <col min="188" max="188" width="7.69140625" style="31" customWidth="1" collapsed="1"/>
    <col min="189" max="189" width="1.69140625" style="31" customWidth="1"/>
    <col min="190" max="193" width="7.69140625" style="31" hidden="1" customWidth="1" outlineLevel="1"/>
    <col min="194" max="194" width="7.69140625" style="31" customWidth="1" collapsed="1"/>
    <col min="195" max="195" width="1.69140625" style="31" customWidth="1"/>
    <col min="196" max="198" width="7.69140625" style="31" hidden="1" customWidth="1" outlineLevel="1"/>
    <col min="199" max="199" width="6.69140625" style="31" hidden="1" customWidth="1" outlineLevel="1"/>
    <col min="200" max="200" width="7.69140625" style="31" customWidth="1" collapsed="1"/>
    <col min="201" max="201" width="1.69140625" style="31" customWidth="1"/>
    <col min="202" max="205" width="7.69140625" style="31" hidden="1" customWidth="1" outlineLevel="1"/>
    <col min="206" max="206" width="7.69140625" style="31" customWidth="1" collapsed="1"/>
    <col min="207" max="207" width="1.69140625" style="31" customWidth="1"/>
    <col min="208" max="211" width="7.69140625" style="31" hidden="1" customWidth="1" outlineLevel="1"/>
    <col min="212" max="212" width="7.69140625" style="31" customWidth="1" collapsed="1"/>
    <col min="213" max="213" width="1.69140625" customWidth="1"/>
    <col min="214" max="217" width="8.3046875" customWidth="1" outlineLevel="1"/>
    <col min="218" max="218" width="8.3046875" customWidth="1"/>
  </cols>
  <sheetData>
    <row r="1" spans="1:218" ht="12" hidden="1" customHeight="1" outlineLevel="1">
      <c r="A1" s="8"/>
      <c r="B1" s="9" t="str">
        <f>Intro!C5</f>
        <v>NeoGenomics</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932"/>
      <c r="FC1" s="10"/>
      <c r="FD1" s="10"/>
      <c r="FE1" s="10"/>
      <c r="FF1" s="10"/>
      <c r="FG1" s="10"/>
      <c r="FH1" s="10"/>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row>
    <row r="2" spans="1:218" ht="12" hidden="1" customHeight="1" outlineLevel="1">
      <c r="A2" s="8"/>
      <c r="B2" s="9" t="s">
        <v>42</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932"/>
      <c r="FC2" s="10"/>
      <c r="FD2" s="10"/>
      <c r="FE2" s="10"/>
      <c r="FF2" s="10"/>
      <c r="FG2" s="10"/>
      <c r="FH2" s="10"/>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row>
    <row r="3" spans="1:218" ht="12" hidden="1" customHeight="1" outlineLevel="1">
      <c r="A3" s="8"/>
      <c r="B3" s="10" t="str">
        <f>IS!EY4</f>
        <v>Dollars in millions, except per share amounts</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932"/>
      <c r="FC3" s="10"/>
      <c r="FD3" s="10"/>
      <c r="FE3" s="10"/>
      <c r="FF3" s="10"/>
      <c r="FG3" s="10"/>
      <c r="FH3" s="10"/>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row>
    <row r="4" spans="1:218" ht="12" hidden="1" customHeight="1" outlineLevel="1">
      <c r="A4" s="8"/>
      <c r="B4" s="12"/>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54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row>
    <row r="5" spans="1:218" collapsed="1">
      <c r="A5" s="8"/>
      <c r="B5" s="8"/>
      <c r="C5" s="8"/>
      <c r="D5" s="11" t="s">
        <v>13</v>
      </c>
      <c r="E5" s="11"/>
      <c r="F5" s="11"/>
      <c r="G5" s="11"/>
      <c r="H5" s="11"/>
      <c r="I5" s="8"/>
      <c r="J5" s="11" t="s">
        <v>13</v>
      </c>
      <c r="K5" s="11"/>
      <c r="L5" s="11"/>
      <c r="M5" s="11"/>
      <c r="N5" s="11"/>
      <c r="O5" s="8"/>
      <c r="P5" s="11" t="s">
        <v>13</v>
      </c>
      <c r="Q5" s="11"/>
      <c r="R5" s="11"/>
      <c r="S5" s="11"/>
      <c r="T5" s="11"/>
      <c r="U5" s="10" t="s">
        <v>14</v>
      </c>
      <c r="V5" s="11" t="s">
        <v>13</v>
      </c>
      <c r="W5" s="11"/>
      <c r="X5" s="11"/>
      <c r="Y5" s="11"/>
      <c r="Z5" s="11"/>
      <c r="AA5" s="10" t="s">
        <v>14</v>
      </c>
      <c r="AB5" s="11" t="s">
        <v>13</v>
      </c>
      <c r="AC5" s="11"/>
      <c r="AD5" s="11"/>
      <c r="AE5" s="11"/>
      <c r="AF5" s="11"/>
      <c r="AG5" s="10" t="s">
        <v>14</v>
      </c>
      <c r="AH5" s="11" t="s">
        <v>13</v>
      </c>
      <c r="AI5" s="11"/>
      <c r="AJ5" s="11"/>
      <c r="AK5" s="11"/>
      <c r="AL5" s="11"/>
      <c r="AM5" s="12"/>
      <c r="AN5" s="11" t="s">
        <v>13</v>
      </c>
      <c r="AO5" s="11"/>
      <c r="AP5" s="11"/>
      <c r="AQ5" s="11"/>
      <c r="AR5" s="11"/>
      <c r="AS5" s="12"/>
      <c r="AT5" s="11" t="s">
        <v>13</v>
      </c>
      <c r="AU5" s="11"/>
      <c r="AV5" s="11"/>
      <c r="AW5" s="11"/>
      <c r="AX5" s="11"/>
      <c r="AY5" s="12"/>
      <c r="AZ5" s="11" t="s">
        <v>13</v>
      </c>
      <c r="BA5" s="11"/>
      <c r="BB5" s="11"/>
      <c r="BC5" s="11"/>
      <c r="BD5" s="11"/>
      <c r="BE5" s="8"/>
      <c r="BF5" s="11" t="s">
        <v>13</v>
      </c>
      <c r="BG5" s="11"/>
      <c r="BH5" s="11"/>
      <c r="BI5" s="11"/>
      <c r="BJ5" s="11"/>
      <c r="BK5" s="12"/>
      <c r="BL5" s="11" t="s">
        <v>13</v>
      </c>
      <c r="BM5" s="11"/>
      <c r="BN5" s="11"/>
      <c r="BO5" s="11"/>
      <c r="BP5" s="11"/>
      <c r="BQ5" s="12"/>
      <c r="BR5" s="11" t="s">
        <v>13</v>
      </c>
      <c r="BS5" s="11"/>
      <c r="BT5" s="11"/>
      <c r="BU5" s="11"/>
      <c r="BV5" s="11"/>
      <c r="BW5" s="12"/>
      <c r="BX5" s="11" t="s">
        <v>13</v>
      </c>
      <c r="BY5" s="11"/>
      <c r="BZ5" s="11"/>
      <c r="CA5" s="11"/>
      <c r="CB5" s="11"/>
      <c r="CC5" s="12"/>
      <c r="CD5" s="11" t="s">
        <v>13</v>
      </c>
      <c r="CE5" s="11"/>
      <c r="CF5" s="11"/>
      <c r="CG5" s="11"/>
      <c r="CH5" s="11"/>
      <c r="CI5" s="12"/>
      <c r="CJ5" s="11" t="s">
        <v>13</v>
      </c>
      <c r="CK5" s="11"/>
      <c r="CL5" s="11"/>
      <c r="CM5" s="11"/>
      <c r="CN5" s="11"/>
      <c r="CO5" s="12"/>
      <c r="CP5" s="11" t="s">
        <v>13</v>
      </c>
      <c r="CQ5" s="11"/>
      <c r="CR5" s="11"/>
      <c r="CS5" s="11"/>
      <c r="CT5" s="11"/>
      <c r="CU5" s="12"/>
      <c r="CV5" s="11" t="s">
        <v>13</v>
      </c>
      <c r="CW5" s="11"/>
      <c r="CX5" s="11"/>
      <c r="CY5" s="11"/>
      <c r="CZ5" s="11"/>
      <c r="DA5" s="12"/>
      <c r="DB5" s="11" t="s">
        <v>13</v>
      </c>
      <c r="DC5" s="11"/>
      <c r="DD5" s="11"/>
      <c r="DE5" s="11"/>
      <c r="DF5" s="11"/>
      <c r="DG5" s="12"/>
      <c r="DH5" s="487" t="s">
        <v>13</v>
      </c>
      <c r="DI5" s="487"/>
      <c r="DJ5" s="487"/>
      <c r="DK5" s="487"/>
      <c r="DL5" s="487"/>
      <c r="DM5" s="12"/>
      <c r="DN5" s="11" t="s">
        <v>13</v>
      </c>
      <c r="DO5" s="11"/>
      <c r="DP5" s="11"/>
      <c r="DQ5" s="11"/>
      <c r="DR5" s="487"/>
      <c r="DS5" s="12"/>
      <c r="DT5" s="11" t="s">
        <v>13</v>
      </c>
      <c r="DU5" s="11"/>
      <c r="DV5" s="11"/>
      <c r="DW5" s="11"/>
      <c r="DX5" s="487"/>
      <c r="DY5" s="12"/>
      <c r="DZ5" s="487" t="s">
        <v>13</v>
      </c>
      <c r="EA5" s="487"/>
      <c r="EB5" s="487"/>
      <c r="EC5" s="487"/>
      <c r="ED5" s="487"/>
      <c r="EE5" s="488"/>
      <c r="EF5" s="487" t="s">
        <v>13</v>
      </c>
      <c r="EG5" s="487"/>
      <c r="EH5" s="487"/>
      <c r="EI5" s="487"/>
      <c r="EJ5" s="487"/>
      <c r="EK5" s="10"/>
      <c r="EL5" s="937" t="s">
        <v>13</v>
      </c>
      <c r="EM5" s="937"/>
      <c r="EN5" s="937"/>
      <c r="EO5" s="937"/>
      <c r="EP5" s="937"/>
      <c r="EQ5" s="833"/>
      <c r="ER5" s="937" t="s">
        <v>13</v>
      </c>
      <c r="ES5" s="937"/>
      <c r="ET5" s="937"/>
      <c r="EU5" s="937"/>
      <c r="EV5" s="937"/>
      <c r="EW5" s="23"/>
      <c r="EX5" s="937" t="s">
        <v>13</v>
      </c>
      <c r="EY5" s="937"/>
      <c r="EZ5" s="937"/>
      <c r="FA5" s="937"/>
      <c r="FB5" s="937"/>
      <c r="FC5" s="8"/>
      <c r="FD5" s="10" t="s">
        <v>15</v>
      </c>
      <c r="FE5" s="10"/>
      <c r="FF5" s="10"/>
      <c r="FG5" s="10"/>
      <c r="FH5" s="10"/>
      <c r="FI5" s="8"/>
      <c r="FJ5" s="10" t="s">
        <v>15</v>
      </c>
      <c r="FK5" s="10"/>
      <c r="FL5" s="10"/>
      <c r="FM5" s="10"/>
      <c r="FN5" s="10"/>
      <c r="FO5" s="8"/>
      <c r="FP5" s="10" t="s">
        <v>15</v>
      </c>
      <c r="FQ5" s="10"/>
      <c r="FR5" s="10"/>
      <c r="FS5" s="10"/>
      <c r="FT5" s="10"/>
      <c r="FU5" s="8"/>
      <c r="FV5" s="10" t="s">
        <v>15</v>
      </c>
      <c r="FW5" s="10"/>
      <c r="FX5" s="10"/>
      <c r="FY5" s="10"/>
      <c r="FZ5" s="10"/>
      <c r="GA5" s="8"/>
      <c r="GB5" s="10" t="s">
        <v>15</v>
      </c>
      <c r="GC5" s="10"/>
      <c r="GD5" s="10"/>
      <c r="GE5" s="10"/>
      <c r="GF5" s="10"/>
      <c r="GG5" s="8"/>
      <c r="GH5" s="10" t="s">
        <v>15</v>
      </c>
      <c r="GI5" s="10"/>
      <c r="GJ5" s="10"/>
      <c r="GK5" s="10"/>
      <c r="GL5" s="10"/>
      <c r="GM5" s="8"/>
      <c r="GN5" s="10" t="s">
        <v>15</v>
      </c>
      <c r="GO5" s="10"/>
      <c r="GP5" s="10"/>
      <c r="GQ5" s="10"/>
      <c r="GR5" s="10"/>
      <c r="GS5" s="8"/>
      <c r="GT5" s="10" t="s">
        <v>15</v>
      </c>
      <c r="GU5" s="10"/>
      <c r="GV5" s="10"/>
      <c r="GW5" s="10"/>
      <c r="GX5" s="10"/>
      <c r="GY5" s="8"/>
      <c r="GZ5" s="10" t="s">
        <v>15</v>
      </c>
      <c r="HA5" s="10"/>
      <c r="HB5" s="10"/>
      <c r="HC5" s="10"/>
      <c r="HD5" s="10"/>
      <c r="HF5" s="10" t="s">
        <v>15</v>
      </c>
      <c r="HG5" s="10"/>
      <c r="HH5" s="10"/>
      <c r="HI5" s="10"/>
      <c r="HJ5" s="10"/>
    </row>
    <row r="6" spans="1:218">
      <c r="A6" s="13"/>
      <c r="B6" s="13"/>
      <c r="C6" s="13"/>
      <c r="D6" s="449">
        <v>2000</v>
      </c>
      <c r="E6" s="449"/>
      <c r="F6" s="449"/>
      <c r="G6" s="449"/>
      <c r="H6" s="449"/>
      <c r="I6" s="13"/>
      <c r="J6" s="449">
        <v>2001</v>
      </c>
      <c r="K6" s="449"/>
      <c r="L6" s="449"/>
      <c r="M6" s="449"/>
      <c r="N6" s="449"/>
      <c r="O6" s="13"/>
      <c r="P6" s="449">
        <v>2002</v>
      </c>
      <c r="Q6" s="449"/>
      <c r="R6" s="449"/>
      <c r="S6" s="449"/>
      <c r="T6" s="449"/>
      <c r="U6" s="13"/>
      <c r="V6" s="449">
        <v>2003</v>
      </c>
      <c r="W6" s="449"/>
      <c r="X6" s="449"/>
      <c r="Y6" s="449"/>
      <c r="Z6" s="449"/>
      <c r="AA6" s="13"/>
      <c r="AB6" s="449">
        <v>2004</v>
      </c>
      <c r="AC6" s="449"/>
      <c r="AD6" s="449"/>
      <c r="AE6" s="449"/>
      <c r="AF6" s="449"/>
      <c r="AG6" s="13"/>
      <c r="AH6" s="449">
        <v>2005</v>
      </c>
      <c r="AI6" s="449"/>
      <c r="AJ6" s="449"/>
      <c r="AK6" s="449"/>
      <c r="AL6" s="449"/>
      <c r="AM6" s="13"/>
      <c r="AN6" s="449">
        <v>2006</v>
      </c>
      <c r="AO6" s="449"/>
      <c r="AP6" s="449"/>
      <c r="AQ6" s="449"/>
      <c r="AR6" s="449"/>
      <c r="AS6" s="13"/>
      <c r="AT6" s="449">
        <v>2007</v>
      </c>
      <c r="AU6" s="449"/>
      <c r="AV6" s="449"/>
      <c r="AW6" s="449"/>
      <c r="AX6" s="449"/>
      <c r="AY6" s="13"/>
      <c r="AZ6" s="449">
        <v>2008</v>
      </c>
      <c r="BA6" s="449"/>
      <c r="BB6" s="449"/>
      <c r="BC6" s="449"/>
      <c r="BD6" s="449"/>
      <c r="BE6" s="13"/>
      <c r="BF6" s="14">
        <v>2009</v>
      </c>
      <c r="BG6" s="14"/>
      <c r="BH6" s="14"/>
      <c r="BI6" s="14"/>
      <c r="BJ6" s="35"/>
      <c r="BK6" s="13"/>
      <c r="BL6" s="14">
        <v>2010</v>
      </c>
      <c r="BM6" s="14"/>
      <c r="BN6" s="14"/>
      <c r="BO6" s="14"/>
      <c r="BP6" s="14"/>
      <c r="BQ6" s="13"/>
      <c r="BR6" s="14">
        <v>2011</v>
      </c>
      <c r="BS6" s="14"/>
      <c r="BT6" s="14"/>
      <c r="BU6" s="14"/>
      <c r="BV6" s="14"/>
      <c r="BW6" s="13"/>
      <c r="BX6" s="14">
        <v>2012</v>
      </c>
      <c r="BY6" s="14"/>
      <c r="BZ6" s="14"/>
      <c r="CA6" s="14"/>
      <c r="CB6" s="14"/>
      <c r="CC6" s="13"/>
      <c r="CD6" s="14">
        <v>2013</v>
      </c>
      <c r="CE6" s="14"/>
      <c r="CF6" s="14"/>
      <c r="CG6" s="14"/>
      <c r="CH6" s="14"/>
      <c r="CI6" s="13"/>
      <c r="CJ6" s="14">
        <v>2014</v>
      </c>
      <c r="CK6" s="14"/>
      <c r="CL6" s="14"/>
      <c r="CM6" s="14"/>
      <c r="CN6" s="14"/>
      <c r="CO6" s="13"/>
      <c r="CP6" s="14">
        <v>2015</v>
      </c>
      <c r="CQ6" s="14"/>
      <c r="CR6" s="14"/>
      <c r="CS6" s="14"/>
      <c r="CT6" s="14"/>
      <c r="CU6" s="13"/>
      <c r="CV6" s="14">
        <v>2016</v>
      </c>
      <c r="CW6" s="14"/>
      <c r="CX6" s="14"/>
      <c r="CY6" s="14"/>
      <c r="CZ6" s="14"/>
      <c r="DA6" s="13"/>
      <c r="DB6" s="14">
        <v>2017</v>
      </c>
      <c r="DC6" s="14"/>
      <c r="DD6" s="14"/>
      <c r="DE6" s="14"/>
      <c r="DF6" s="14"/>
      <c r="DG6" s="13"/>
      <c r="DH6" s="939">
        <v>2018</v>
      </c>
      <c r="DI6" s="939"/>
      <c r="DJ6" s="939"/>
      <c r="DK6" s="939"/>
      <c r="DL6" s="939"/>
      <c r="DM6" s="13"/>
      <c r="DN6" s="941">
        <v>2019</v>
      </c>
      <c r="DO6" s="941"/>
      <c r="DP6" s="941"/>
      <c r="DQ6" s="941"/>
      <c r="DR6" s="941"/>
      <c r="DS6" s="13"/>
      <c r="DT6" s="941">
        <v>2020</v>
      </c>
      <c r="DU6" s="941"/>
      <c r="DV6" s="941"/>
      <c r="DW6" s="941"/>
      <c r="DX6" s="941"/>
      <c r="DY6" s="13"/>
      <c r="DZ6" s="941">
        <v>2021</v>
      </c>
      <c r="EA6" s="941"/>
      <c r="EB6" s="941"/>
      <c r="EC6" s="941"/>
      <c r="ED6" s="941"/>
      <c r="EE6" s="427"/>
      <c r="EF6" s="941">
        <v>2022</v>
      </c>
      <c r="EG6" s="941"/>
      <c r="EH6" s="941"/>
      <c r="EI6" s="941"/>
      <c r="EJ6" s="941"/>
      <c r="EK6" s="13"/>
      <c r="EL6" s="941">
        <v>2023</v>
      </c>
      <c r="EM6" s="941"/>
      <c r="EN6" s="941"/>
      <c r="EO6" s="941"/>
      <c r="EP6" s="941"/>
      <c r="EQ6" s="13"/>
      <c r="ER6" s="940">
        <f>EL6+1</f>
        <v>2024</v>
      </c>
      <c r="ES6" s="940"/>
      <c r="ET6" s="940"/>
      <c r="EU6" s="940"/>
      <c r="EV6" s="940"/>
      <c r="EW6" s="13"/>
      <c r="EX6" s="940">
        <f>ER6+1</f>
        <v>2025</v>
      </c>
      <c r="EY6" s="940"/>
      <c r="EZ6" s="940"/>
      <c r="FA6" s="940"/>
      <c r="FB6" s="940"/>
      <c r="FC6" s="13"/>
      <c r="FD6" s="939">
        <f>EX6+1</f>
        <v>2026</v>
      </c>
      <c r="FE6" s="939"/>
      <c r="FF6" s="939"/>
      <c r="FG6" s="939"/>
      <c r="FH6" s="939"/>
      <c r="FI6" s="13"/>
      <c r="FJ6" s="939">
        <f>FD6+1</f>
        <v>2027</v>
      </c>
      <c r="FK6" s="939"/>
      <c r="FL6" s="939"/>
      <c r="FM6" s="939"/>
      <c r="FN6" s="939"/>
      <c r="FO6" s="13"/>
      <c r="FP6" s="939">
        <f>FJ6+1</f>
        <v>2028</v>
      </c>
      <c r="FQ6" s="939"/>
      <c r="FR6" s="939"/>
      <c r="FS6" s="939"/>
      <c r="FT6" s="939"/>
      <c r="FU6" s="13"/>
      <c r="FV6" s="939">
        <f>FP6+1</f>
        <v>2029</v>
      </c>
      <c r="FW6" s="939"/>
      <c r="FX6" s="939"/>
      <c r="FY6" s="939"/>
      <c r="FZ6" s="939"/>
      <c r="GA6" s="13"/>
      <c r="GB6" s="939">
        <f>FV6+1</f>
        <v>2030</v>
      </c>
      <c r="GC6" s="939"/>
      <c r="GD6" s="939"/>
      <c r="GE6" s="939"/>
      <c r="GF6" s="939"/>
      <c r="GG6" s="13"/>
      <c r="GH6" s="939">
        <f>GB6+1</f>
        <v>2031</v>
      </c>
      <c r="GI6" s="939"/>
      <c r="GJ6" s="939"/>
      <c r="GK6" s="939"/>
      <c r="GL6" s="939"/>
      <c r="GM6" s="13"/>
      <c r="GN6" s="939">
        <f>GH6+1</f>
        <v>2032</v>
      </c>
      <c r="GO6" s="939"/>
      <c r="GP6" s="939"/>
      <c r="GQ6" s="939"/>
      <c r="GR6" s="939"/>
      <c r="GS6" s="13"/>
      <c r="GT6" s="939">
        <f>GN6+1</f>
        <v>2033</v>
      </c>
      <c r="GU6" s="939"/>
      <c r="GV6" s="939"/>
      <c r="GW6" s="939"/>
      <c r="GX6" s="939"/>
      <c r="GY6" s="13"/>
      <c r="GZ6" s="939">
        <f>GT6+1</f>
        <v>2034</v>
      </c>
      <c r="HA6" s="939"/>
      <c r="HB6" s="939"/>
      <c r="HC6" s="939"/>
      <c r="HD6" s="939"/>
      <c r="HF6" s="939">
        <f>GZ6+1</f>
        <v>2035</v>
      </c>
      <c r="HG6" s="939"/>
      <c r="HH6" s="939"/>
      <c r="HI6" s="939"/>
      <c r="HJ6" s="939"/>
    </row>
    <row r="7" spans="1:218">
      <c r="A7" s="15"/>
      <c r="B7" s="15"/>
      <c r="C7" s="15"/>
      <c r="D7" s="15">
        <f>IS!D7</f>
        <v>36616</v>
      </c>
      <c r="E7" s="15">
        <f>IS!E7</f>
        <v>36707</v>
      </c>
      <c r="F7" s="15">
        <f>IS!F7</f>
        <v>36799</v>
      </c>
      <c r="G7" s="15">
        <f>IS!G7</f>
        <v>36891</v>
      </c>
      <c r="H7" s="16" t="str">
        <f>IS!H7</f>
        <v>Total</v>
      </c>
      <c r="I7" s="15"/>
      <c r="J7" s="15">
        <f>IS!J7</f>
        <v>36981</v>
      </c>
      <c r="K7" s="15">
        <f>IS!K7</f>
        <v>37072</v>
      </c>
      <c r="L7" s="15">
        <f>IS!L7</f>
        <v>37164</v>
      </c>
      <c r="M7" s="15">
        <f>IS!M7</f>
        <v>37256</v>
      </c>
      <c r="N7" s="16" t="str">
        <f>IS!N7</f>
        <v>Total</v>
      </c>
      <c r="O7" s="15"/>
      <c r="P7" s="15">
        <f>IS!P7</f>
        <v>37346</v>
      </c>
      <c r="Q7" s="15">
        <f>IS!Q7</f>
        <v>37437</v>
      </c>
      <c r="R7" s="15">
        <f>IS!R7</f>
        <v>37529</v>
      </c>
      <c r="S7" s="15">
        <f>IS!S7</f>
        <v>37621</v>
      </c>
      <c r="T7" s="16" t="str">
        <f>IS!T7</f>
        <v xml:space="preserve">Total </v>
      </c>
      <c r="U7" s="15"/>
      <c r="V7" s="15">
        <f>IS!V7</f>
        <v>37711</v>
      </c>
      <c r="W7" s="15">
        <f>IS!W7</f>
        <v>37802</v>
      </c>
      <c r="X7" s="15">
        <f>IS!X7</f>
        <v>37894</v>
      </c>
      <c r="Y7" s="15">
        <f>IS!Y7</f>
        <v>37986</v>
      </c>
      <c r="Z7" s="16" t="str">
        <f>IS!Z7</f>
        <v xml:space="preserve">Total </v>
      </c>
      <c r="AA7" s="15"/>
      <c r="AB7" s="15">
        <f>IS!AB7</f>
        <v>38077</v>
      </c>
      <c r="AC7" s="15">
        <f>IS!AC7</f>
        <v>38168</v>
      </c>
      <c r="AD7" s="15">
        <f>IS!AD7</f>
        <v>38260</v>
      </c>
      <c r="AE7" s="15">
        <f>IS!AE7</f>
        <v>38352</v>
      </c>
      <c r="AF7" s="16" t="str">
        <f>IS!AF7</f>
        <v xml:space="preserve">Total </v>
      </c>
      <c r="AG7" s="15"/>
      <c r="AH7" s="15">
        <f>IS!AH7</f>
        <v>38442</v>
      </c>
      <c r="AI7" s="15">
        <f>IS!AI7</f>
        <v>38533</v>
      </c>
      <c r="AJ7" s="15">
        <f>IS!AJ7</f>
        <v>38625</v>
      </c>
      <c r="AK7" s="15">
        <f>IS!AK7</f>
        <v>38717</v>
      </c>
      <c r="AL7" s="16" t="str">
        <f>IS!AL7</f>
        <v xml:space="preserve">Total </v>
      </c>
      <c r="AM7" s="15"/>
      <c r="AN7" s="15">
        <f>IS!AN7</f>
        <v>38807</v>
      </c>
      <c r="AO7" s="15">
        <f>IS!AO7</f>
        <v>38898</v>
      </c>
      <c r="AP7" s="15">
        <f>IS!AP7</f>
        <v>38990</v>
      </c>
      <c r="AQ7" s="15">
        <f>IS!AQ7</f>
        <v>39082</v>
      </c>
      <c r="AR7" s="16" t="str">
        <f>IS!AR7</f>
        <v xml:space="preserve">Total </v>
      </c>
      <c r="AS7" s="15"/>
      <c r="AT7" s="15">
        <f>IS!AT7</f>
        <v>39172</v>
      </c>
      <c r="AU7" s="15">
        <f>IS!AU7</f>
        <v>39263</v>
      </c>
      <c r="AV7" s="15">
        <f>IS!AV7</f>
        <v>39355</v>
      </c>
      <c r="AW7" s="15">
        <f>IS!AW7</f>
        <v>39447</v>
      </c>
      <c r="AX7" s="16" t="str">
        <f>IS!AX7</f>
        <v xml:space="preserve">Total </v>
      </c>
      <c r="AY7" s="15"/>
      <c r="AZ7" s="15">
        <f>IS!AZ7</f>
        <v>39537</v>
      </c>
      <c r="BA7" s="15">
        <f>IS!BA7</f>
        <v>39628</v>
      </c>
      <c r="BB7" s="15">
        <f>IS!BB7</f>
        <v>39720</v>
      </c>
      <c r="BC7" s="15">
        <f>IS!BC7</f>
        <v>39812</v>
      </c>
      <c r="BD7" s="16" t="str">
        <f>IS!BD7</f>
        <v xml:space="preserve">Total </v>
      </c>
      <c r="BE7" s="15"/>
      <c r="BF7" s="15">
        <f>IS!BF7</f>
        <v>39902</v>
      </c>
      <c r="BG7" s="15">
        <f>IS!BG7</f>
        <v>39993</v>
      </c>
      <c r="BH7" s="15">
        <f>IS!BH7</f>
        <v>40085</v>
      </c>
      <c r="BI7" s="15">
        <f>IS!BI7</f>
        <v>40177</v>
      </c>
      <c r="BJ7" s="15" t="str">
        <f>IS!BJ7</f>
        <v xml:space="preserve">Total </v>
      </c>
      <c r="BK7" s="15"/>
      <c r="BL7" s="15">
        <f>IS!BL7</f>
        <v>40267</v>
      </c>
      <c r="BM7" s="15">
        <f>IS!BM7</f>
        <v>40358</v>
      </c>
      <c r="BN7" s="15">
        <f>IS!BN7</f>
        <v>40450</v>
      </c>
      <c r="BO7" s="15">
        <f>IS!BO7</f>
        <v>40542</v>
      </c>
      <c r="BP7" s="16" t="str">
        <f>IS!BP7</f>
        <v xml:space="preserve">Total </v>
      </c>
      <c r="BQ7" s="15"/>
      <c r="BR7" s="15">
        <f>IS!BR7</f>
        <v>40632</v>
      </c>
      <c r="BS7" s="15">
        <f>IS!BS7</f>
        <v>40723</v>
      </c>
      <c r="BT7" s="15">
        <f>IS!BT7</f>
        <v>40815</v>
      </c>
      <c r="BU7" s="15">
        <f>IS!BU7</f>
        <v>40907</v>
      </c>
      <c r="BV7" s="16" t="str">
        <f>IS!BV7</f>
        <v xml:space="preserve">Total </v>
      </c>
      <c r="BW7" s="15"/>
      <c r="BX7" s="15">
        <f>IS!BX7</f>
        <v>40997</v>
      </c>
      <c r="BY7" s="15">
        <f>IS!BY7</f>
        <v>41088</v>
      </c>
      <c r="BZ7" s="15">
        <f>IS!BZ7</f>
        <v>41180</v>
      </c>
      <c r="CA7" s="15">
        <f>IS!CA7</f>
        <v>41272</v>
      </c>
      <c r="CB7" s="16" t="str">
        <f>IS!CB7</f>
        <v xml:space="preserve">Total </v>
      </c>
      <c r="CC7" s="15"/>
      <c r="CD7" s="15">
        <f>IS!CD7</f>
        <v>41362</v>
      </c>
      <c r="CE7" s="15">
        <f>IS!CE7</f>
        <v>41453</v>
      </c>
      <c r="CF7" s="15">
        <f>IS!CF7</f>
        <v>41545</v>
      </c>
      <c r="CG7" s="15">
        <f>IS!CG7</f>
        <v>41637</v>
      </c>
      <c r="CH7" s="16" t="str">
        <f>IS!CH7</f>
        <v xml:space="preserve">Total </v>
      </c>
      <c r="CI7" s="15"/>
      <c r="CJ7" s="15">
        <f>IS!CJ7</f>
        <v>41727</v>
      </c>
      <c r="CK7" s="15">
        <f>IS!CK7</f>
        <v>41818</v>
      </c>
      <c r="CL7" s="15">
        <f>IS!CL7</f>
        <v>41910</v>
      </c>
      <c r="CM7" s="15">
        <f>IS!CM7</f>
        <v>42002</v>
      </c>
      <c r="CN7" s="16" t="str">
        <f>IS!CN7</f>
        <v xml:space="preserve">Total </v>
      </c>
      <c r="CO7" s="15"/>
      <c r="CP7" s="15">
        <f>IS!CP7</f>
        <v>42092</v>
      </c>
      <c r="CQ7" s="15">
        <f>IS!CQ7</f>
        <v>42183</v>
      </c>
      <c r="CR7" s="15">
        <f>IS!CR7</f>
        <v>42275</v>
      </c>
      <c r="CS7" s="15">
        <f>IS!CS7</f>
        <v>42367</v>
      </c>
      <c r="CT7" s="16" t="str">
        <f>IS!CT7</f>
        <v xml:space="preserve">Total </v>
      </c>
      <c r="CU7" s="15"/>
      <c r="CV7" s="15">
        <f>IS!CV7</f>
        <v>42457</v>
      </c>
      <c r="CW7" s="15">
        <f>IS!CW7</f>
        <v>42548</v>
      </c>
      <c r="CX7" s="15">
        <f>IS!CX7</f>
        <v>42640</v>
      </c>
      <c r="CY7" s="15">
        <f>IS!CY7</f>
        <v>42732</v>
      </c>
      <c r="CZ7" s="16" t="str">
        <f>IS!CZ7</f>
        <v xml:space="preserve">Total </v>
      </c>
      <c r="DA7" s="15"/>
      <c r="DB7" s="15">
        <f>IS!DB7</f>
        <v>42822</v>
      </c>
      <c r="DC7" s="15">
        <f>IS!DC7</f>
        <v>42913</v>
      </c>
      <c r="DD7" s="15">
        <f>IS!DD7</f>
        <v>43005</v>
      </c>
      <c r="DE7" s="15">
        <f>IS!DE7</f>
        <v>43097</v>
      </c>
      <c r="DF7" s="16" t="str">
        <f>IS!DF7</f>
        <v xml:space="preserve">Total </v>
      </c>
      <c r="DG7" s="15"/>
      <c r="DH7" s="15">
        <f>IS!DH7</f>
        <v>43190</v>
      </c>
      <c r="DI7" s="15">
        <f>IS!DI7</f>
        <v>43281</v>
      </c>
      <c r="DJ7" s="15">
        <f>IS!DJ7</f>
        <v>43373</v>
      </c>
      <c r="DK7" s="15">
        <f>IS!DK7</f>
        <v>43465</v>
      </c>
      <c r="DL7" s="16" t="str">
        <f>IS!DL7</f>
        <v xml:space="preserve">Total </v>
      </c>
      <c r="DM7" s="15"/>
      <c r="DN7" s="15">
        <f>IS!DN7</f>
        <v>43555</v>
      </c>
      <c r="DO7" s="15">
        <f>IS!DO7</f>
        <v>43646</v>
      </c>
      <c r="DP7" s="15">
        <f>IS!DP7</f>
        <v>43738</v>
      </c>
      <c r="DQ7" s="15">
        <f>IS!DQ7</f>
        <v>43830</v>
      </c>
      <c r="DR7" s="16" t="str">
        <f>IS!DR7</f>
        <v xml:space="preserve">Total </v>
      </c>
      <c r="DS7" s="15"/>
      <c r="DT7" s="15">
        <f>IS!DT7</f>
        <v>43920</v>
      </c>
      <c r="DU7" s="15">
        <f>IS!DU7</f>
        <v>44011</v>
      </c>
      <c r="DV7" s="15">
        <f>IS!DV7</f>
        <v>44103</v>
      </c>
      <c r="DW7" s="15">
        <f>IS!DW7</f>
        <v>44195</v>
      </c>
      <c r="DX7" s="16" t="str">
        <f>IS!DX7</f>
        <v xml:space="preserve">Total </v>
      </c>
      <c r="DY7" s="15"/>
      <c r="DZ7" s="15">
        <f>IS!DZ7</f>
        <v>44285</v>
      </c>
      <c r="EA7" s="15">
        <f>IS!EA7</f>
        <v>44376</v>
      </c>
      <c r="EB7" s="15">
        <f>IS!EB7</f>
        <v>44468</v>
      </c>
      <c r="EC7" s="15">
        <f>IS!EC7</f>
        <v>44560</v>
      </c>
      <c r="ED7" s="16" t="str">
        <f>IS!ED7</f>
        <v xml:space="preserve">Total </v>
      </c>
      <c r="EE7" s="429"/>
      <c r="EF7" s="15">
        <f>IS!EF7</f>
        <v>44650</v>
      </c>
      <c r="EG7" s="15">
        <f>IS!EG7</f>
        <v>44741</v>
      </c>
      <c r="EH7" s="15">
        <f>IS!EH7</f>
        <v>44833</v>
      </c>
      <c r="EI7" s="15">
        <f>IS!EI7</f>
        <v>44925</v>
      </c>
      <c r="EJ7" s="16" t="str">
        <f>IS!EJ7</f>
        <v xml:space="preserve">Total </v>
      </c>
      <c r="EK7" s="15"/>
      <c r="EL7" s="15">
        <f>IS!EL7</f>
        <v>45015</v>
      </c>
      <c r="EM7" s="15">
        <f>IS!EM7</f>
        <v>45106</v>
      </c>
      <c r="EN7" s="15">
        <f>IS!EN7</f>
        <v>45198</v>
      </c>
      <c r="EO7" s="15">
        <f>IS!EO7</f>
        <v>45290</v>
      </c>
      <c r="EP7" s="16" t="str">
        <f>IS!EP7</f>
        <v xml:space="preserve">Total </v>
      </c>
      <c r="EQ7" s="15"/>
      <c r="ER7" s="15">
        <f>IS!ER7</f>
        <v>45382</v>
      </c>
      <c r="ES7" s="15">
        <f>IS!ES7</f>
        <v>45473</v>
      </c>
      <c r="ET7" s="15">
        <f>IS!ET7</f>
        <v>45565</v>
      </c>
      <c r="EU7" s="15">
        <f>IS!EU7</f>
        <v>45657</v>
      </c>
      <c r="EV7" s="16" t="str">
        <f>IS!EV7</f>
        <v xml:space="preserve">Total </v>
      </c>
      <c r="EW7" s="15"/>
      <c r="EX7" s="15">
        <f>IS!EX7</f>
        <v>45747</v>
      </c>
      <c r="EY7" s="15">
        <f>IS!EY7</f>
        <v>45838</v>
      </c>
      <c r="EZ7" s="15">
        <f>IS!EZ7</f>
        <v>45930</v>
      </c>
      <c r="FA7" s="15">
        <f>IS!FA7</f>
        <v>46022</v>
      </c>
      <c r="FB7" s="546" t="str">
        <f>IS!FB7</f>
        <v xml:space="preserve">Total </v>
      </c>
      <c r="FC7" s="15"/>
      <c r="FD7" s="542">
        <f>IS!FD7</f>
        <v>46112</v>
      </c>
      <c r="FE7" s="15">
        <f>IS!FE7</f>
        <v>46203</v>
      </c>
      <c r="FF7" s="15">
        <f>IS!FF7</f>
        <v>46295</v>
      </c>
      <c r="FG7" s="15">
        <f>IS!FG7</f>
        <v>46387</v>
      </c>
      <c r="FH7" s="16" t="str">
        <f>IS!FH7</f>
        <v xml:space="preserve">Total </v>
      </c>
      <c r="FI7" s="15"/>
      <c r="FJ7" s="15">
        <f>IS!FJ7</f>
        <v>46477</v>
      </c>
      <c r="FK7" s="15">
        <f>IS!FK7</f>
        <v>46568</v>
      </c>
      <c r="FL7" s="15">
        <f>IS!FL7</f>
        <v>46660</v>
      </c>
      <c r="FM7" s="15">
        <f>IS!FM7</f>
        <v>46752</v>
      </c>
      <c r="FN7" s="16" t="str">
        <f>IS!FN7</f>
        <v xml:space="preserve">Total </v>
      </c>
      <c r="FO7" s="15"/>
      <c r="FP7" s="15">
        <f>IS!FP7</f>
        <v>46843</v>
      </c>
      <c r="FQ7" s="15">
        <f>IS!FQ7</f>
        <v>46934</v>
      </c>
      <c r="FR7" s="15">
        <f>IS!FR7</f>
        <v>47026</v>
      </c>
      <c r="FS7" s="15">
        <f>IS!FS7</f>
        <v>47118</v>
      </c>
      <c r="FT7" s="16" t="str">
        <f>IS!FT7</f>
        <v xml:space="preserve">Total </v>
      </c>
      <c r="FU7" s="15"/>
      <c r="FV7" s="15">
        <f>IS!FV7</f>
        <v>47208</v>
      </c>
      <c r="FW7" s="15">
        <f>IS!FW7</f>
        <v>47299</v>
      </c>
      <c r="FX7" s="15">
        <f>IS!FX7</f>
        <v>47391</v>
      </c>
      <c r="FY7" s="15">
        <f>IS!FY7</f>
        <v>47483</v>
      </c>
      <c r="FZ7" s="16" t="str">
        <f>IS!FZ7</f>
        <v xml:space="preserve">Total </v>
      </c>
      <c r="GA7" s="15"/>
      <c r="GB7" s="15">
        <f>IS!GB7</f>
        <v>47573</v>
      </c>
      <c r="GC7" s="15">
        <f>IS!GC7</f>
        <v>47664</v>
      </c>
      <c r="GD7" s="15">
        <f>IS!GD7</f>
        <v>47756</v>
      </c>
      <c r="GE7" s="15">
        <f>IS!GE7</f>
        <v>47848</v>
      </c>
      <c r="GF7" s="16" t="str">
        <f>IS!GF7</f>
        <v xml:space="preserve">Total </v>
      </c>
      <c r="GG7" s="15"/>
      <c r="GH7" s="15">
        <f>IS!GH7</f>
        <v>47938</v>
      </c>
      <c r="GI7" s="15">
        <f>IS!GI7</f>
        <v>48029</v>
      </c>
      <c r="GJ7" s="15">
        <f>IS!GJ7</f>
        <v>48121</v>
      </c>
      <c r="GK7" s="15">
        <f>IS!GK7</f>
        <v>48213</v>
      </c>
      <c r="GL7" s="16" t="str">
        <f>IS!GL7</f>
        <v xml:space="preserve">Total </v>
      </c>
      <c r="GM7" s="15"/>
      <c r="GN7" s="15">
        <f>IS!GN7</f>
        <v>48304</v>
      </c>
      <c r="GO7" s="15">
        <f>IS!GO7</f>
        <v>48395</v>
      </c>
      <c r="GP7" s="15">
        <f>IS!GP7</f>
        <v>48487</v>
      </c>
      <c r="GQ7" s="15">
        <f>IS!GQ7</f>
        <v>48579</v>
      </c>
      <c r="GR7" s="16" t="str">
        <f>IS!GR7</f>
        <v xml:space="preserve">Total </v>
      </c>
      <c r="GS7" s="15"/>
      <c r="GT7" s="15">
        <f>IS!GT7</f>
        <v>48669</v>
      </c>
      <c r="GU7" s="15">
        <f>IS!GU7</f>
        <v>48760</v>
      </c>
      <c r="GV7" s="15">
        <f>IS!GV7</f>
        <v>48852</v>
      </c>
      <c r="GW7" s="15">
        <f>IS!GW7</f>
        <v>48944</v>
      </c>
      <c r="GX7" s="16" t="str">
        <f>IS!GX7</f>
        <v xml:space="preserve">Total </v>
      </c>
      <c r="GY7" s="15"/>
      <c r="GZ7" s="15">
        <f>IS!GZ7</f>
        <v>49034</v>
      </c>
      <c r="HA7" s="15">
        <f>IS!HA7</f>
        <v>49125</v>
      </c>
      <c r="HB7" s="15">
        <f>IS!HB7</f>
        <v>49217</v>
      </c>
      <c r="HC7" s="15">
        <f>IS!HC7</f>
        <v>49309</v>
      </c>
      <c r="HD7" s="16" t="str">
        <f>IS!HD7</f>
        <v xml:space="preserve">Total </v>
      </c>
      <c r="HF7" s="15">
        <f>IS!HF7</f>
        <v>49399</v>
      </c>
      <c r="HG7" s="15">
        <f>IS!HG7</f>
        <v>49490</v>
      </c>
      <c r="HH7" s="15">
        <f>IS!HH7</f>
        <v>49582</v>
      </c>
      <c r="HI7" s="15">
        <f>IS!HI7</f>
        <v>49674</v>
      </c>
      <c r="HJ7" s="16" t="str">
        <f>IS!HJ7</f>
        <v xml:space="preserve">Total </v>
      </c>
    </row>
    <row r="8" spans="1:218" ht="7.5" customHeight="1">
      <c r="A8" s="15"/>
      <c r="B8" s="15"/>
      <c r="C8" s="15"/>
      <c r="D8" s="15"/>
      <c r="E8" s="15"/>
      <c r="F8" s="15"/>
      <c r="G8" s="15"/>
      <c r="H8" s="16"/>
      <c r="I8" s="15"/>
      <c r="J8" s="15"/>
      <c r="K8" s="15"/>
      <c r="L8" s="15"/>
      <c r="M8" s="15"/>
      <c r="N8" s="16"/>
      <c r="O8" s="15"/>
      <c r="P8" s="15"/>
      <c r="Q8" s="15"/>
      <c r="R8" s="15"/>
      <c r="S8" s="15"/>
      <c r="T8" s="16"/>
      <c r="U8" s="15"/>
      <c r="V8" s="15"/>
      <c r="W8" s="15"/>
      <c r="X8" s="15"/>
      <c r="Y8" s="15"/>
      <c r="Z8" s="16"/>
      <c r="AA8" s="15"/>
      <c r="AB8" s="15"/>
      <c r="AC8" s="15"/>
      <c r="AD8" s="15"/>
      <c r="AE8" s="15"/>
      <c r="AF8" s="16"/>
      <c r="AG8" s="15"/>
      <c r="AH8" s="15"/>
      <c r="AI8" s="15"/>
      <c r="AJ8" s="15"/>
      <c r="AK8" s="15"/>
      <c r="AL8" s="16"/>
      <c r="AM8" s="15"/>
      <c r="AN8" s="15"/>
      <c r="AO8" s="15"/>
      <c r="AP8" s="15"/>
      <c r="AQ8" s="15"/>
      <c r="AR8" s="16"/>
      <c r="AS8" s="15"/>
      <c r="AT8" s="15"/>
      <c r="AU8" s="15"/>
      <c r="AV8" s="15"/>
      <c r="AW8" s="15"/>
      <c r="AX8" s="16"/>
      <c r="AY8" s="15"/>
      <c r="AZ8" s="15"/>
      <c r="BA8" s="15"/>
      <c r="BB8" s="15"/>
      <c r="BC8" s="15"/>
      <c r="BD8" s="16"/>
      <c r="BE8" s="15"/>
      <c r="BF8" s="15"/>
      <c r="BG8" s="15"/>
      <c r="BH8" s="15"/>
      <c r="BI8" s="15"/>
      <c r="BJ8" s="15"/>
      <c r="BK8" s="15"/>
      <c r="BL8" s="15"/>
      <c r="BM8" s="15"/>
      <c r="BN8" s="15"/>
      <c r="BO8" s="15"/>
      <c r="BP8" s="16"/>
      <c r="BQ8" s="15"/>
      <c r="BR8" s="15"/>
      <c r="BS8" s="15"/>
      <c r="BT8" s="15"/>
      <c r="BU8" s="15"/>
      <c r="BV8" s="16"/>
      <c r="BW8" s="15"/>
      <c r="BX8" s="15"/>
      <c r="BY8" s="15"/>
      <c r="BZ8" s="15"/>
      <c r="CA8" s="15"/>
      <c r="CB8" s="16"/>
      <c r="CC8" s="15"/>
      <c r="CD8" s="15"/>
      <c r="CE8" s="15"/>
      <c r="CF8" s="15"/>
      <c r="CG8" s="15"/>
      <c r="CH8" s="16"/>
      <c r="CI8" s="15"/>
      <c r="CJ8" s="15"/>
      <c r="CK8" s="15"/>
      <c r="CL8" s="15"/>
      <c r="CM8" s="15"/>
      <c r="CN8" s="16"/>
      <c r="CO8" s="15"/>
      <c r="CP8" s="15"/>
      <c r="CQ8" s="15"/>
      <c r="CR8" s="15"/>
      <c r="CS8" s="15"/>
      <c r="CT8" s="16"/>
      <c r="CU8" s="15"/>
      <c r="CV8" s="15"/>
      <c r="CW8" s="15"/>
      <c r="CX8" s="15"/>
      <c r="CY8" s="15"/>
      <c r="CZ8" s="16"/>
      <c r="DA8" s="15"/>
      <c r="DB8" s="15"/>
      <c r="DC8" s="15"/>
      <c r="DD8" s="15"/>
      <c r="DE8" s="15"/>
      <c r="DF8" s="16"/>
      <c r="DG8" s="15"/>
      <c r="DH8" s="15"/>
      <c r="DI8" s="15"/>
      <c r="DJ8" s="15"/>
      <c r="DK8" s="15"/>
      <c r="DL8" s="16"/>
      <c r="DM8" s="15"/>
      <c r="DN8" s="15"/>
      <c r="DO8" s="15"/>
      <c r="DP8" s="15"/>
      <c r="DQ8" s="15"/>
      <c r="DR8" s="16"/>
      <c r="DS8" s="15"/>
      <c r="DT8" s="15"/>
      <c r="DU8" s="15"/>
      <c r="DV8" s="15"/>
      <c r="DW8" s="15"/>
      <c r="DX8" s="16"/>
      <c r="DY8" s="15"/>
      <c r="DZ8" s="15"/>
      <c r="EA8" s="15"/>
      <c r="EB8" s="15"/>
      <c r="EC8" s="15"/>
      <c r="ED8" s="16"/>
      <c r="EE8" s="15"/>
      <c r="EF8" s="15"/>
      <c r="EG8" s="15"/>
      <c r="EH8" s="15"/>
      <c r="EI8" s="15"/>
      <c r="EJ8" s="16"/>
      <c r="EK8" s="15"/>
      <c r="EL8" s="15"/>
      <c r="EM8" s="15"/>
      <c r="EN8" s="15"/>
      <c r="EO8" s="15"/>
      <c r="EP8" s="16"/>
      <c r="EQ8" s="15"/>
      <c r="ER8" s="15"/>
      <c r="ES8" s="15"/>
      <c r="ET8" s="15"/>
      <c r="EU8" s="15"/>
      <c r="EV8" s="16"/>
      <c r="EW8" s="15"/>
      <c r="EX8" s="15"/>
      <c r="EY8" s="15"/>
      <c r="EZ8" s="15"/>
      <c r="FA8" s="15"/>
      <c r="FB8" s="546"/>
      <c r="FC8" s="15"/>
      <c r="FD8" s="542"/>
      <c r="FE8" s="15"/>
      <c r="FF8" s="15"/>
      <c r="FG8" s="15"/>
      <c r="FH8" s="16"/>
      <c r="FI8" s="15"/>
      <c r="FJ8" s="15"/>
      <c r="FK8" s="15"/>
      <c r="FL8" s="15"/>
      <c r="FM8" s="15"/>
      <c r="FN8" s="16"/>
      <c r="FO8" s="15"/>
      <c r="FP8" s="15"/>
      <c r="FQ8" s="15"/>
      <c r="FR8" s="15"/>
      <c r="FS8" s="15"/>
      <c r="FT8" s="16"/>
      <c r="FU8" s="15"/>
      <c r="FV8" s="15"/>
      <c r="FW8" s="15"/>
      <c r="FX8" s="15"/>
      <c r="FY8" s="15"/>
      <c r="FZ8" s="16"/>
      <c r="GA8" s="15"/>
      <c r="GB8" s="15"/>
      <c r="GC8" s="15"/>
      <c r="GD8" s="15"/>
      <c r="GE8" s="15"/>
      <c r="GF8" s="16"/>
      <c r="GG8" s="15"/>
      <c r="GH8" s="15"/>
      <c r="GI8" s="15"/>
      <c r="GJ8" s="15"/>
      <c r="GK8" s="15"/>
      <c r="GL8" s="16"/>
      <c r="GM8" s="15"/>
      <c r="GN8" s="15"/>
      <c r="GO8" s="15"/>
      <c r="GP8" s="15"/>
      <c r="GQ8" s="15"/>
      <c r="GR8" s="16"/>
      <c r="GS8" s="15"/>
      <c r="GT8" s="15"/>
      <c r="GU8" s="15"/>
      <c r="GV8" s="15"/>
      <c r="GW8" s="15"/>
      <c r="GX8" s="16"/>
      <c r="GY8" s="15"/>
      <c r="GZ8" s="15"/>
      <c r="HA8" s="15"/>
      <c r="HB8" s="15"/>
      <c r="HC8" s="15"/>
      <c r="HD8" s="16"/>
    </row>
    <row r="9" spans="1:218">
      <c r="A9" s="29" t="s">
        <v>415</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108"/>
      <c r="FC9" s="30"/>
      <c r="FD9" s="108"/>
      <c r="FE9" s="30"/>
      <c r="FF9" s="30"/>
      <c r="FG9" s="30"/>
      <c r="FH9" s="30"/>
      <c r="FI9" s="30"/>
      <c r="FJ9" s="30"/>
      <c r="FK9" s="30"/>
      <c r="FL9" s="30"/>
      <c r="FM9" s="30"/>
      <c r="FN9" s="30"/>
      <c r="FO9" s="30"/>
      <c r="FP9" s="30"/>
      <c r="FQ9" s="30"/>
      <c r="FR9" s="30"/>
      <c r="FS9" s="30"/>
      <c r="FT9" s="30"/>
      <c r="FU9" s="30"/>
      <c r="FV9" s="30"/>
      <c r="FW9" s="30"/>
      <c r="FX9" s="30"/>
      <c r="FY9" s="30"/>
      <c r="FZ9" s="30"/>
      <c r="GA9" s="30"/>
      <c r="GB9" s="30"/>
      <c r="GC9" s="30"/>
      <c r="GD9" s="30"/>
      <c r="GE9" s="30"/>
      <c r="GF9" s="30"/>
      <c r="GG9" s="30"/>
      <c r="GH9" s="30"/>
      <c r="GI9" s="30"/>
      <c r="GJ9" s="30"/>
      <c r="GK9" s="30"/>
      <c r="GL9" s="30"/>
      <c r="GM9" s="30"/>
      <c r="GN9" s="30"/>
      <c r="GO9" s="30"/>
      <c r="GP9" s="30"/>
      <c r="GQ9" s="30"/>
      <c r="GR9" s="30"/>
      <c r="GS9" s="30"/>
      <c r="GT9" s="30"/>
      <c r="GU9" s="30"/>
      <c r="GV9" s="30"/>
      <c r="GW9" s="30"/>
      <c r="GX9" s="30"/>
      <c r="GY9" s="30"/>
      <c r="GZ9" s="30"/>
      <c r="HA9" s="30"/>
      <c r="HB9" s="30"/>
      <c r="HC9" s="30"/>
      <c r="HD9" s="30"/>
    </row>
    <row r="10" spans="1:218">
      <c r="A10" s="30" t="s">
        <v>43</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108"/>
      <c r="FC10" s="30"/>
      <c r="FD10" s="108"/>
      <c r="FE10" s="30"/>
      <c r="FF10" s="30"/>
      <c r="FG10" s="30"/>
      <c r="FH10" s="30"/>
      <c r="FI10" s="30"/>
      <c r="FJ10" s="30"/>
      <c r="FK10" s="30"/>
      <c r="FL10" s="30"/>
      <c r="FM10" s="30"/>
      <c r="FN10" s="30"/>
      <c r="FO10" s="30"/>
      <c r="FP10" s="30"/>
      <c r="FQ10" s="30"/>
      <c r="FR10" s="30"/>
      <c r="FS10" s="30"/>
      <c r="FT10" s="30"/>
      <c r="FU10" s="30"/>
      <c r="FV10" s="30"/>
      <c r="FW10" s="30"/>
      <c r="FX10" s="30"/>
      <c r="FY10" s="30"/>
      <c r="FZ10" s="30"/>
      <c r="GA10" s="30"/>
      <c r="GB10" s="30"/>
      <c r="GC10" s="30"/>
      <c r="GD10" s="30"/>
      <c r="GE10" s="30"/>
      <c r="GF10" s="30"/>
      <c r="GG10" s="30"/>
      <c r="GH10" s="30"/>
      <c r="GI10" s="30"/>
      <c r="GJ10" s="30"/>
      <c r="GK10" s="30"/>
      <c r="GL10" s="30"/>
      <c r="GM10" s="30"/>
      <c r="GN10" s="30"/>
      <c r="GO10" s="30"/>
      <c r="GP10" s="30"/>
      <c r="GQ10" s="30"/>
      <c r="GR10" s="30"/>
      <c r="GS10" s="30"/>
      <c r="GT10" s="30"/>
      <c r="GU10" s="30"/>
      <c r="GV10" s="30"/>
      <c r="GW10" s="30"/>
      <c r="GX10" s="30"/>
      <c r="GY10" s="30"/>
      <c r="GZ10" s="30"/>
      <c r="HA10" s="30"/>
      <c r="HB10" s="30"/>
      <c r="HC10" s="30"/>
      <c r="HD10" s="30"/>
    </row>
    <row r="11" spans="1:218">
      <c r="A11" s="30"/>
      <c r="B11" s="30" t="s">
        <v>489</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102">
        <v>15.173</v>
      </c>
      <c r="DI11" s="102">
        <v>9.4350000000000005</v>
      </c>
      <c r="DJ11" s="102">
        <v>118.44</v>
      </c>
      <c r="DK11" s="102">
        <v>9.8109999999999999</v>
      </c>
      <c r="DL11" s="102">
        <f>DK11</f>
        <v>9.8109999999999999</v>
      </c>
      <c r="DM11" s="102"/>
      <c r="DN11" s="102">
        <v>13.195</v>
      </c>
      <c r="DO11" s="102">
        <v>167.43600000000001</v>
      </c>
      <c r="DP11" s="102">
        <v>178.89099999999999</v>
      </c>
      <c r="DQ11" s="102">
        <v>173.01599999999999</v>
      </c>
      <c r="DR11" s="102">
        <f>DQ11</f>
        <v>173.01599999999999</v>
      </c>
      <c r="DS11" s="102"/>
      <c r="DT11" s="102">
        <v>86.254000000000005</v>
      </c>
      <c r="DU11" s="102">
        <v>295.28100000000001</v>
      </c>
      <c r="DV11" s="102">
        <v>233.233</v>
      </c>
      <c r="DW11" s="102">
        <v>228.71299999999999</v>
      </c>
      <c r="DX11" s="102">
        <f>DW11</f>
        <v>228.71299999999999</v>
      </c>
      <c r="DY11" s="102"/>
      <c r="DZ11" s="102">
        <v>611.97</v>
      </c>
      <c r="EA11" s="102">
        <v>368.79599999999999</v>
      </c>
      <c r="EB11" s="102">
        <v>340.565</v>
      </c>
      <c r="EC11" s="102">
        <v>316.827</v>
      </c>
      <c r="ED11" s="102">
        <f>EC11</f>
        <v>316.827</v>
      </c>
      <c r="EE11" s="102"/>
      <c r="EF11" s="102">
        <v>305.89600000000002</v>
      </c>
      <c r="EG11" s="102">
        <v>283.637</v>
      </c>
      <c r="EH11" s="102">
        <v>266.12599999999998</v>
      </c>
      <c r="EI11" s="102">
        <v>263.18</v>
      </c>
      <c r="EJ11" s="102">
        <f>EI11</f>
        <v>263.18</v>
      </c>
      <c r="EK11" s="102"/>
      <c r="EL11" s="102">
        <v>275.60899999999998</v>
      </c>
      <c r="EM11" s="102">
        <v>289.07400000000001</v>
      </c>
      <c r="EN11" s="102">
        <v>306.23899999999998</v>
      </c>
      <c r="EO11" s="102">
        <v>342.488</v>
      </c>
      <c r="EP11" s="102">
        <f>EO11</f>
        <v>342.488</v>
      </c>
      <c r="EQ11" s="102"/>
      <c r="ER11" s="102">
        <v>331.91399999999999</v>
      </c>
      <c r="ES11" s="102">
        <v>355.08499999999998</v>
      </c>
      <c r="ET11" s="102">
        <v>361.99200000000002</v>
      </c>
      <c r="EU11" s="102">
        <v>367.012</v>
      </c>
      <c r="EV11" s="102">
        <f t="shared" ref="EV11:EV18" si="0">EU11</f>
        <v>367.012</v>
      </c>
      <c r="EW11" s="30"/>
      <c r="EX11" s="102">
        <v>346.19400000000002</v>
      </c>
      <c r="EY11" s="102">
        <v>154.72300000000001</v>
      </c>
      <c r="EZ11" s="102">
        <v>164.11699999999999</v>
      </c>
      <c r="FA11" s="102">
        <f>CF!FA70</f>
        <v>170.48055307199783</v>
      </c>
      <c r="FB11" s="543">
        <f t="shared" ref="FB11:FB18" si="1">FA11</f>
        <v>170.48055307199783</v>
      </c>
      <c r="FC11" s="30"/>
      <c r="FD11" s="543">
        <f>CF!FD70</f>
        <v>171.57358573587354</v>
      </c>
      <c r="FE11" s="102">
        <f>CF!FE70</f>
        <v>171.349555312668</v>
      </c>
      <c r="FF11" s="102">
        <f>CF!FF70</f>
        <v>176.55256751239384</v>
      </c>
      <c r="FG11" s="102">
        <f>CF!FG70</f>
        <v>184.89137458511718</v>
      </c>
      <c r="FH11" s="102">
        <f t="shared" ref="FH11:FH18" si="2">FG11</f>
        <v>184.89137458511718</v>
      </c>
      <c r="FI11" s="30"/>
      <c r="FJ11" s="102">
        <f>CF!FJ70</f>
        <v>199.07862125188333</v>
      </c>
      <c r="FK11" s="102">
        <f>CF!FK70</f>
        <v>205.32606193596533</v>
      </c>
      <c r="FL11" s="102">
        <f>CF!FL70</f>
        <v>212.27825337228288</v>
      </c>
      <c r="FM11" s="102">
        <f>CF!FM70</f>
        <v>563.1196620316108</v>
      </c>
      <c r="FN11" s="102">
        <f t="shared" ref="FN11:FN18" si="3">FM11</f>
        <v>563.1196620316108</v>
      </c>
      <c r="FO11" s="30"/>
      <c r="FP11" s="102">
        <f>CF!FP70</f>
        <v>580.8979387676394</v>
      </c>
      <c r="FQ11" s="102">
        <f>CF!FQ70</f>
        <v>590.50305011649255</v>
      </c>
      <c r="FR11" s="102">
        <f>CF!FR70</f>
        <v>601.19391224107937</v>
      </c>
      <c r="FS11" s="102">
        <f>CF!FS70</f>
        <v>267.78368595191949</v>
      </c>
      <c r="FT11" s="102">
        <f t="shared" ref="FT11:FT18" si="4">FS11</f>
        <v>267.78368595191949</v>
      </c>
      <c r="FU11" s="30"/>
      <c r="FV11" s="102">
        <f>CF!FV70</f>
        <v>287.61550851658222</v>
      </c>
      <c r="FW11" s="102">
        <f>CF!FW70</f>
        <v>297.54496199278339</v>
      </c>
      <c r="FX11" s="102">
        <f>CF!FX70</f>
        <v>308.75374532613404</v>
      </c>
      <c r="FY11" s="102">
        <f>CF!FY70</f>
        <v>321.2937519803271</v>
      </c>
      <c r="FZ11" s="102">
        <f t="shared" ref="FZ11:FZ18" si="5">FY11</f>
        <v>321.2937519803271</v>
      </c>
      <c r="GA11" s="30"/>
      <c r="GB11" s="102">
        <f>CF!GB70</f>
        <v>348.25862797253359</v>
      </c>
      <c r="GC11" s="102">
        <f>CF!GC70</f>
        <v>364.4908058345581</v>
      </c>
      <c r="GD11" s="102">
        <f>CF!GD70</f>
        <v>382.3570884770092</v>
      </c>
      <c r="GE11" s="102">
        <f>CF!GE70</f>
        <v>401.81003556797015</v>
      </c>
      <c r="GF11" s="102">
        <f t="shared" ref="GF11:GF18" si="6">GE11</f>
        <v>401.81003556797015</v>
      </c>
      <c r="GG11" s="30"/>
      <c r="GH11" s="102">
        <f>CF!GH70</f>
        <v>436.23283468970698</v>
      </c>
      <c r="GI11" s="102">
        <f>CF!GI70</f>
        <v>459.26517305998573</v>
      </c>
      <c r="GJ11" s="102">
        <f>CF!GJ70</f>
        <v>484.36882609150962</v>
      </c>
      <c r="GK11" s="102">
        <f>CF!GK70</f>
        <v>168.1010311029226</v>
      </c>
      <c r="GL11" s="102">
        <f t="shared" ref="GL11:GL18" si="7">GK11</f>
        <v>168.1010311029226</v>
      </c>
      <c r="GM11" s="30"/>
      <c r="GN11" s="102">
        <f>CF!GN70</f>
        <v>212.81470164128132</v>
      </c>
      <c r="GO11" s="102">
        <f>CF!GO70</f>
        <v>245.55158335201898</v>
      </c>
      <c r="GP11" s="102">
        <f>CF!GP70</f>
        <v>280.79626472116183</v>
      </c>
      <c r="GQ11" s="102">
        <f>CF!GQ70</f>
        <v>318.24916544814482</v>
      </c>
      <c r="GR11" s="102">
        <f t="shared" ref="GR11:GR18" si="8">GQ11</f>
        <v>318.24916544814482</v>
      </c>
      <c r="GS11" s="30"/>
      <c r="GT11" s="102">
        <f>CF!GT70</f>
        <v>371.52769290786046</v>
      </c>
      <c r="GU11" s="102">
        <f>CF!GU70</f>
        <v>412.29477378332433</v>
      </c>
      <c r="GV11" s="102">
        <f>CF!GV70</f>
        <v>456.05480298194209</v>
      </c>
      <c r="GW11" s="102">
        <f>CF!GW70</f>
        <v>502.36840632637393</v>
      </c>
      <c r="GX11" s="102">
        <f t="shared" ref="GX11:GX18" si="9">GW11</f>
        <v>502.36840632637393</v>
      </c>
      <c r="GY11" s="30"/>
      <c r="GZ11" s="102">
        <f>CF!GZ70</f>
        <v>565.39784923585717</v>
      </c>
      <c r="HA11" s="102">
        <f>CF!HA70</f>
        <v>615.44087767620056</v>
      </c>
      <c r="HB11" s="102">
        <f>CF!HB70</f>
        <v>669.00453343483957</v>
      </c>
      <c r="HC11" s="102">
        <f>CF!HC70</f>
        <v>725.48995233167102</v>
      </c>
      <c r="HD11" s="102">
        <f t="shared" ref="HD11:HD18" si="10">HC11</f>
        <v>725.48995233167102</v>
      </c>
      <c r="HF11" s="102">
        <f>CF!HF70</f>
        <v>799.14521462713049</v>
      </c>
      <c r="HG11" s="102">
        <f>CF!HG70</f>
        <v>859.39622741815413</v>
      </c>
      <c r="HH11" s="102">
        <f>CF!HH70</f>
        <v>923.72509037523332</v>
      </c>
      <c r="HI11" s="102">
        <f>CF!HI70</f>
        <v>991.35918660568325</v>
      </c>
      <c r="HJ11" s="102">
        <f t="shared" ref="HJ11:HJ18" si="11">HI11</f>
        <v>991.35918660568325</v>
      </c>
    </row>
    <row r="12" spans="1:218">
      <c r="A12" s="30"/>
      <c r="B12" s="30" t="s">
        <v>490</v>
      </c>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102">
        <v>0</v>
      </c>
      <c r="DI12" s="102">
        <v>0</v>
      </c>
      <c r="DJ12" s="102">
        <v>0</v>
      </c>
      <c r="DK12" s="102">
        <v>0</v>
      </c>
      <c r="DL12" s="102">
        <f t="shared" ref="DL12:DL18" si="12">DK12</f>
        <v>0</v>
      </c>
      <c r="DM12" s="102"/>
      <c r="DN12" s="102">
        <v>0</v>
      </c>
      <c r="DO12" s="102">
        <v>0</v>
      </c>
      <c r="DP12" s="102">
        <v>0</v>
      </c>
      <c r="DQ12" s="102">
        <v>0</v>
      </c>
      <c r="DR12" s="102">
        <f t="shared" ref="DR12:DR18" si="13">DQ12</f>
        <v>0</v>
      </c>
      <c r="DS12" s="102"/>
      <c r="DT12" s="102">
        <v>38.738</v>
      </c>
      <c r="DU12" s="102">
        <v>36.03</v>
      </c>
      <c r="DV12" s="102">
        <v>32.003</v>
      </c>
      <c r="DW12" s="102">
        <v>21.919</v>
      </c>
      <c r="DX12" s="102">
        <f t="shared" ref="DX12:DX18" si="14">DW12</f>
        <v>21.919</v>
      </c>
      <c r="DY12" s="102"/>
      <c r="DZ12" s="102">
        <v>11.119</v>
      </c>
      <c r="EA12" s="102">
        <v>4.1029999999999998</v>
      </c>
      <c r="EB12" s="102">
        <v>3.161</v>
      </c>
      <c r="EC12" s="102">
        <v>0</v>
      </c>
      <c r="ED12" s="102">
        <f t="shared" ref="ED12:ED18" si="15">EC12</f>
        <v>0</v>
      </c>
      <c r="EE12" s="102"/>
      <c r="EF12" s="102">
        <v>0</v>
      </c>
      <c r="EG12" s="102">
        <v>0</v>
      </c>
      <c r="EH12" s="102">
        <v>0</v>
      </c>
      <c r="EI12" s="102">
        <v>0</v>
      </c>
      <c r="EJ12" s="102">
        <f t="shared" ref="EJ12:EJ18" si="16">EI12</f>
        <v>0</v>
      </c>
      <c r="EK12" s="102"/>
      <c r="EL12" s="102">
        <v>0</v>
      </c>
      <c r="EM12" s="102">
        <v>0</v>
      </c>
      <c r="EN12" s="102">
        <v>0</v>
      </c>
      <c r="EO12" s="102">
        <v>0</v>
      </c>
      <c r="EP12" s="102">
        <f t="shared" ref="EP12:EP18" si="17">EO12</f>
        <v>0</v>
      </c>
      <c r="EQ12" s="102"/>
      <c r="ER12" s="102">
        <v>0</v>
      </c>
      <c r="ES12" s="421">
        <v>0</v>
      </c>
      <c r="ET12" s="421">
        <v>0</v>
      </c>
      <c r="EU12" s="421">
        <v>0</v>
      </c>
      <c r="EV12" s="102">
        <f t="shared" si="0"/>
        <v>0</v>
      </c>
      <c r="EW12" s="30"/>
      <c r="EX12" s="102">
        <v>0</v>
      </c>
      <c r="EY12" s="421">
        <v>0</v>
      </c>
      <c r="EZ12" s="421">
        <v>0</v>
      </c>
      <c r="FA12" s="421">
        <f>EZ12</f>
        <v>0</v>
      </c>
      <c r="FB12" s="543">
        <f t="shared" si="1"/>
        <v>0</v>
      </c>
      <c r="FC12" s="30"/>
      <c r="FD12" s="543">
        <f>FA12</f>
        <v>0</v>
      </c>
      <c r="FE12" s="421">
        <f t="shared" ref="FE12:FG13" si="18">FD12</f>
        <v>0</v>
      </c>
      <c r="FF12" s="421">
        <f t="shared" si="18"/>
        <v>0</v>
      </c>
      <c r="FG12" s="421">
        <f t="shared" si="18"/>
        <v>0</v>
      </c>
      <c r="FH12" s="102">
        <f t="shared" si="2"/>
        <v>0</v>
      </c>
      <c r="FI12" s="30"/>
      <c r="FJ12" s="102">
        <f>FG12</f>
        <v>0</v>
      </c>
      <c r="FK12" s="421">
        <f t="shared" ref="FK12:FM13" si="19">FJ12</f>
        <v>0</v>
      </c>
      <c r="FL12" s="421">
        <f t="shared" si="19"/>
        <v>0</v>
      </c>
      <c r="FM12" s="421">
        <f t="shared" si="19"/>
        <v>0</v>
      </c>
      <c r="FN12" s="102">
        <f t="shared" si="3"/>
        <v>0</v>
      </c>
      <c r="FO12" s="30"/>
      <c r="FP12" s="102">
        <f>FM12</f>
        <v>0</v>
      </c>
      <c r="FQ12" s="421">
        <f t="shared" ref="FQ12:FS13" si="20">FP12</f>
        <v>0</v>
      </c>
      <c r="FR12" s="421">
        <f t="shared" si="20"/>
        <v>0</v>
      </c>
      <c r="FS12" s="421">
        <f t="shared" si="20"/>
        <v>0</v>
      </c>
      <c r="FT12" s="102">
        <f t="shared" si="4"/>
        <v>0</v>
      </c>
      <c r="FU12" s="30"/>
      <c r="FV12" s="102">
        <f>FS12</f>
        <v>0</v>
      </c>
      <c r="FW12" s="421">
        <f t="shared" ref="FW12:FY13" si="21">FV12</f>
        <v>0</v>
      </c>
      <c r="FX12" s="421">
        <f t="shared" si="21"/>
        <v>0</v>
      </c>
      <c r="FY12" s="421">
        <f t="shared" si="21"/>
        <v>0</v>
      </c>
      <c r="FZ12" s="102">
        <f t="shared" si="5"/>
        <v>0</v>
      </c>
      <c r="GA12" s="30"/>
      <c r="GB12" s="102">
        <f>FY12</f>
        <v>0</v>
      </c>
      <c r="GC12" s="421">
        <f t="shared" ref="GC12:GE13" si="22">GB12</f>
        <v>0</v>
      </c>
      <c r="GD12" s="421">
        <f t="shared" si="22"/>
        <v>0</v>
      </c>
      <c r="GE12" s="421">
        <f t="shared" si="22"/>
        <v>0</v>
      </c>
      <c r="GF12" s="102">
        <f t="shared" si="6"/>
        <v>0</v>
      </c>
      <c r="GG12" s="30"/>
      <c r="GH12" s="102">
        <f>GE12</f>
        <v>0</v>
      </c>
      <c r="GI12" s="421">
        <f t="shared" ref="GI12:GK13" si="23">GH12</f>
        <v>0</v>
      </c>
      <c r="GJ12" s="421">
        <f t="shared" si="23"/>
        <v>0</v>
      </c>
      <c r="GK12" s="421">
        <f t="shared" si="23"/>
        <v>0</v>
      </c>
      <c r="GL12" s="102">
        <f t="shared" si="7"/>
        <v>0</v>
      </c>
      <c r="GM12" s="30"/>
      <c r="GN12" s="102">
        <f>GK12</f>
        <v>0</v>
      </c>
      <c r="GO12" s="421">
        <f t="shared" ref="GO12:GQ13" si="24">GN12</f>
        <v>0</v>
      </c>
      <c r="GP12" s="421">
        <f t="shared" si="24"/>
        <v>0</v>
      </c>
      <c r="GQ12" s="421">
        <f t="shared" si="24"/>
        <v>0</v>
      </c>
      <c r="GR12" s="102">
        <f t="shared" si="8"/>
        <v>0</v>
      </c>
      <c r="GS12" s="30"/>
      <c r="GT12" s="102">
        <f>GQ12</f>
        <v>0</v>
      </c>
      <c r="GU12" s="421">
        <f t="shared" ref="GU12:GW13" si="25">GT12</f>
        <v>0</v>
      </c>
      <c r="GV12" s="421">
        <f t="shared" si="25"/>
        <v>0</v>
      </c>
      <c r="GW12" s="421">
        <f t="shared" si="25"/>
        <v>0</v>
      </c>
      <c r="GX12" s="102">
        <f t="shared" si="9"/>
        <v>0</v>
      </c>
      <c r="GY12" s="30"/>
      <c r="GZ12" s="102">
        <f>GW12</f>
        <v>0</v>
      </c>
      <c r="HA12" s="421">
        <f t="shared" ref="HA12:HC13" si="26">GZ12</f>
        <v>0</v>
      </c>
      <c r="HB12" s="421">
        <f t="shared" si="26"/>
        <v>0</v>
      </c>
      <c r="HC12" s="421">
        <f t="shared" si="26"/>
        <v>0</v>
      </c>
      <c r="HD12" s="102">
        <f t="shared" si="10"/>
        <v>0</v>
      </c>
      <c r="HF12" s="102">
        <f>HC12</f>
        <v>0</v>
      </c>
      <c r="HG12" s="421">
        <f t="shared" ref="HG12:HG13" si="27">HF12</f>
        <v>0</v>
      </c>
      <c r="HH12" s="421">
        <f t="shared" ref="HH12:HH13" si="28">HG12</f>
        <v>0</v>
      </c>
      <c r="HI12" s="421">
        <f t="shared" ref="HI12:HI13" si="29">HH12</f>
        <v>0</v>
      </c>
      <c r="HJ12" s="102">
        <f t="shared" si="11"/>
        <v>0</v>
      </c>
    </row>
    <row r="13" spans="1:218">
      <c r="A13" s="30"/>
      <c r="B13" s="30" t="s">
        <v>488</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102">
        <v>0</v>
      </c>
      <c r="DI13" s="102">
        <v>0</v>
      </c>
      <c r="DJ13" s="102">
        <v>0</v>
      </c>
      <c r="DK13" s="102">
        <v>0</v>
      </c>
      <c r="DL13" s="102">
        <f t="shared" si="12"/>
        <v>0</v>
      </c>
      <c r="DM13" s="102"/>
      <c r="DN13" s="102">
        <v>0</v>
      </c>
      <c r="DO13" s="102">
        <v>0</v>
      </c>
      <c r="DP13" s="102">
        <v>0</v>
      </c>
      <c r="DQ13" s="102">
        <v>0</v>
      </c>
      <c r="DR13" s="102">
        <f t="shared" si="13"/>
        <v>0</v>
      </c>
      <c r="DS13" s="102"/>
      <c r="DT13" s="102">
        <v>0</v>
      </c>
      <c r="DU13" s="102">
        <v>0</v>
      </c>
      <c r="DV13" s="102">
        <v>50.375</v>
      </c>
      <c r="DW13" s="102">
        <v>67.546000000000006</v>
      </c>
      <c r="DX13" s="102">
        <f t="shared" si="14"/>
        <v>67.546000000000006</v>
      </c>
      <c r="DY13" s="102"/>
      <c r="DZ13" s="102">
        <v>190.71</v>
      </c>
      <c r="EA13" s="102">
        <v>202.95</v>
      </c>
      <c r="EB13" s="102">
        <v>202.14400000000001</v>
      </c>
      <c r="EC13" s="102">
        <v>198.56299999999999</v>
      </c>
      <c r="ED13" s="102">
        <f t="shared" si="15"/>
        <v>198.56299999999999</v>
      </c>
      <c r="EE13" s="102"/>
      <c r="EF13" s="102">
        <v>175.53399999999999</v>
      </c>
      <c r="EG13" s="102">
        <v>182.316</v>
      </c>
      <c r="EH13" s="102">
        <v>177.41399999999999</v>
      </c>
      <c r="EI13" s="102">
        <v>174.809</v>
      </c>
      <c r="EJ13" s="102">
        <f t="shared" si="16"/>
        <v>174.809</v>
      </c>
      <c r="EK13" s="102"/>
      <c r="EL13" s="102">
        <v>142.30600000000001</v>
      </c>
      <c r="EM13" s="102">
        <v>120.27200000000001</v>
      </c>
      <c r="EN13" s="102">
        <v>96.025000000000006</v>
      </c>
      <c r="EO13" s="102">
        <v>72.715000000000003</v>
      </c>
      <c r="EP13" s="102">
        <f t="shared" si="17"/>
        <v>72.715000000000003</v>
      </c>
      <c r="EQ13" s="102"/>
      <c r="ER13" s="102">
        <v>52.915999999999997</v>
      </c>
      <c r="ES13" s="102">
        <v>32.770000000000003</v>
      </c>
      <c r="ET13" s="102">
        <v>25.821000000000002</v>
      </c>
      <c r="EU13" s="102">
        <v>19.832000000000001</v>
      </c>
      <c r="EV13" s="102">
        <f t="shared" si="0"/>
        <v>19.832000000000001</v>
      </c>
      <c r="EW13" s="30"/>
      <c r="EX13" s="102">
        <v>11.885999999999999</v>
      </c>
      <c r="EY13" s="102">
        <v>8.9619999999999997</v>
      </c>
      <c r="EZ13" s="102">
        <v>0</v>
      </c>
      <c r="FA13" s="102">
        <f>EZ13</f>
        <v>0</v>
      </c>
      <c r="FB13" s="543">
        <f t="shared" si="1"/>
        <v>0</v>
      </c>
      <c r="FC13" s="30"/>
      <c r="FD13" s="543">
        <f>FA13</f>
        <v>0</v>
      </c>
      <c r="FE13" s="102">
        <f t="shared" si="18"/>
        <v>0</v>
      </c>
      <c r="FF13" s="102">
        <f t="shared" si="18"/>
        <v>0</v>
      </c>
      <c r="FG13" s="102">
        <f t="shared" si="18"/>
        <v>0</v>
      </c>
      <c r="FH13" s="102">
        <f t="shared" si="2"/>
        <v>0</v>
      </c>
      <c r="FI13" s="30"/>
      <c r="FJ13" s="102">
        <f>FG13</f>
        <v>0</v>
      </c>
      <c r="FK13" s="102">
        <f t="shared" si="19"/>
        <v>0</v>
      </c>
      <c r="FL13" s="102">
        <f t="shared" si="19"/>
        <v>0</v>
      </c>
      <c r="FM13" s="102">
        <f t="shared" si="19"/>
        <v>0</v>
      </c>
      <c r="FN13" s="102">
        <f t="shared" si="3"/>
        <v>0</v>
      </c>
      <c r="FO13" s="30"/>
      <c r="FP13" s="102">
        <f>FM13</f>
        <v>0</v>
      </c>
      <c r="FQ13" s="102">
        <f t="shared" si="20"/>
        <v>0</v>
      </c>
      <c r="FR13" s="102">
        <f t="shared" si="20"/>
        <v>0</v>
      </c>
      <c r="FS13" s="102">
        <f t="shared" si="20"/>
        <v>0</v>
      </c>
      <c r="FT13" s="102">
        <f t="shared" si="4"/>
        <v>0</v>
      </c>
      <c r="FU13" s="30"/>
      <c r="FV13" s="102">
        <f>FS13</f>
        <v>0</v>
      </c>
      <c r="FW13" s="102">
        <f t="shared" si="21"/>
        <v>0</v>
      </c>
      <c r="FX13" s="102">
        <f t="shared" si="21"/>
        <v>0</v>
      </c>
      <c r="FY13" s="102">
        <f t="shared" si="21"/>
        <v>0</v>
      </c>
      <c r="FZ13" s="102">
        <f t="shared" si="5"/>
        <v>0</v>
      </c>
      <c r="GA13" s="30"/>
      <c r="GB13" s="102">
        <f>FY13</f>
        <v>0</v>
      </c>
      <c r="GC13" s="102">
        <f t="shared" si="22"/>
        <v>0</v>
      </c>
      <c r="GD13" s="102">
        <f t="shared" si="22"/>
        <v>0</v>
      </c>
      <c r="GE13" s="102">
        <f t="shared" si="22"/>
        <v>0</v>
      </c>
      <c r="GF13" s="102">
        <f t="shared" si="6"/>
        <v>0</v>
      </c>
      <c r="GG13" s="30"/>
      <c r="GH13" s="102">
        <f>GE13</f>
        <v>0</v>
      </c>
      <c r="GI13" s="102">
        <f t="shared" si="23"/>
        <v>0</v>
      </c>
      <c r="GJ13" s="102">
        <f t="shared" si="23"/>
        <v>0</v>
      </c>
      <c r="GK13" s="102">
        <f t="shared" si="23"/>
        <v>0</v>
      </c>
      <c r="GL13" s="102">
        <f t="shared" si="7"/>
        <v>0</v>
      </c>
      <c r="GM13" s="30"/>
      <c r="GN13" s="102">
        <f>GK13</f>
        <v>0</v>
      </c>
      <c r="GO13" s="102">
        <f t="shared" si="24"/>
        <v>0</v>
      </c>
      <c r="GP13" s="102">
        <f t="shared" si="24"/>
        <v>0</v>
      </c>
      <c r="GQ13" s="102">
        <f t="shared" si="24"/>
        <v>0</v>
      </c>
      <c r="GR13" s="102">
        <f t="shared" si="8"/>
        <v>0</v>
      </c>
      <c r="GS13" s="30"/>
      <c r="GT13" s="102">
        <f>GQ13</f>
        <v>0</v>
      </c>
      <c r="GU13" s="102">
        <f t="shared" si="25"/>
        <v>0</v>
      </c>
      <c r="GV13" s="102">
        <f t="shared" si="25"/>
        <v>0</v>
      </c>
      <c r="GW13" s="102">
        <f t="shared" si="25"/>
        <v>0</v>
      </c>
      <c r="GX13" s="102">
        <f t="shared" si="9"/>
        <v>0</v>
      </c>
      <c r="GY13" s="30"/>
      <c r="GZ13" s="102">
        <f>GW13</f>
        <v>0</v>
      </c>
      <c r="HA13" s="102">
        <f t="shared" si="26"/>
        <v>0</v>
      </c>
      <c r="HB13" s="102">
        <f t="shared" si="26"/>
        <v>0</v>
      </c>
      <c r="HC13" s="102">
        <f t="shared" si="26"/>
        <v>0</v>
      </c>
      <c r="HD13" s="102">
        <f t="shared" si="10"/>
        <v>0</v>
      </c>
      <c r="HF13" s="102">
        <f>HC13</f>
        <v>0</v>
      </c>
      <c r="HG13" s="102">
        <f t="shared" si="27"/>
        <v>0</v>
      </c>
      <c r="HH13" s="102">
        <f t="shared" si="28"/>
        <v>0</v>
      </c>
      <c r="HI13" s="102">
        <f t="shared" si="29"/>
        <v>0</v>
      </c>
      <c r="HJ13" s="102">
        <f t="shared" si="11"/>
        <v>0</v>
      </c>
    </row>
    <row r="14" spans="1:218">
      <c r="A14" s="30"/>
      <c r="B14" s="30" t="s">
        <v>495</v>
      </c>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102">
        <v>58.128999999999998</v>
      </c>
      <c r="DI14" s="102">
        <v>60.765000000000001</v>
      </c>
      <c r="DJ14" s="102">
        <v>62.694000000000003</v>
      </c>
      <c r="DK14" s="102">
        <v>76.918999999999997</v>
      </c>
      <c r="DL14" s="102">
        <f t="shared" si="12"/>
        <v>76.918999999999997</v>
      </c>
      <c r="DM14" s="102"/>
      <c r="DN14" s="102">
        <v>82.584999999999994</v>
      </c>
      <c r="DO14" s="102">
        <v>89.991</v>
      </c>
      <c r="DP14" s="102">
        <v>91.132999999999996</v>
      </c>
      <c r="DQ14" s="102">
        <v>94.242000000000004</v>
      </c>
      <c r="DR14" s="102">
        <f t="shared" si="13"/>
        <v>94.242000000000004</v>
      </c>
      <c r="DS14" s="102"/>
      <c r="DT14" s="102">
        <v>99.971999999999994</v>
      </c>
      <c r="DU14" s="102">
        <v>87.766000000000005</v>
      </c>
      <c r="DV14" s="102">
        <v>103.697</v>
      </c>
      <c r="DW14" s="102">
        <v>106.843</v>
      </c>
      <c r="DX14" s="102">
        <f t="shared" si="14"/>
        <v>106.843</v>
      </c>
      <c r="DY14" s="102"/>
      <c r="DZ14" s="102">
        <v>102.922</v>
      </c>
      <c r="EA14" s="102">
        <v>106.28400000000001</v>
      </c>
      <c r="EB14" s="102">
        <v>104.964</v>
      </c>
      <c r="EC14" s="102">
        <v>112.13</v>
      </c>
      <c r="ED14" s="102">
        <f t="shared" si="15"/>
        <v>112.13</v>
      </c>
      <c r="EE14" s="102"/>
      <c r="EF14" s="102">
        <v>110.79600000000001</v>
      </c>
      <c r="EG14" s="102">
        <v>111.276</v>
      </c>
      <c r="EH14" s="102">
        <v>111.994</v>
      </c>
      <c r="EI14" s="102">
        <v>119.711</v>
      </c>
      <c r="EJ14" s="102">
        <f t="shared" si="16"/>
        <v>119.711</v>
      </c>
      <c r="EK14" s="102"/>
      <c r="EL14" s="102">
        <v>118.842</v>
      </c>
      <c r="EM14" s="102">
        <v>125.425</v>
      </c>
      <c r="EN14" s="102">
        <v>132.63999999999999</v>
      </c>
      <c r="EO14" s="102">
        <v>131.227</v>
      </c>
      <c r="EP14" s="102">
        <f t="shared" si="17"/>
        <v>131.227</v>
      </c>
      <c r="EQ14" s="102"/>
      <c r="ER14" s="102">
        <v>140.279</v>
      </c>
      <c r="ES14" s="102">
        <v>146.58099999999999</v>
      </c>
      <c r="ET14" s="102">
        <v>151.428</v>
      </c>
      <c r="EU14" s="102">
        <v>150.54</v>
      </c>
      <c r="EV14" s="102">
        <f t="shared" si="0"/>
        <v>150.54</v>
      </c>
      <c r="EW14" s="30"/>
      <c r="EX14" s="102">
        <v>151.208</v>
      </c>
      <c r="EY14" s="102">
        <v>153.125</v>
      </c>
      <c r="EZ14" s="102">
        <v>155.29599999999999</v>
      </c>
      <c r="FA14" s="102">
        <f>FA81/365*FA77</f>
        <v>149.3131298503171</v>
      </c>
      <c r="FB14" s="543">
        <f t="shared" si="1"/>
        <v>149.3131298503171</v>
      </c>
      <c r="FC14" s="30"/>
      <c r="FD14" s="543">
        <f>FD81/365*FD77</f>
        <v>152.71822804423385</v>
      </c>
      <c r="FE14" s="102">
        <f>FE81/365*FE77</f>
        <v>155.744276692808</v>
      </c>
      <c r="FF14" s="102">
        <f>FF81/365*FF77</f>
        <v>159.39510349193657</v>
      </c>
      <c r="FG14" s="102">
        <f>FG81/365*FG77</f>
        <v>163.68973349907682</v>
      </c>
      <c r="FH14" s="102">
        <f t="shared" si="2"/>
        <v>163.68973349907682</v>
      </c>
      <c r="FI14" s="30"/>
      <c r="FJ14" s="102">
        <f>FJ81/365*FJ77</f>
        <v>165.1530591505103</v>
      </c>
      <c r="FK14" s="102">
        <f>FK81/365*FK77</f>
        <v>169.03771058926878</v>
      </c>
      <c r="FL14" s="102">
        <f>FL81/365*FL77</f>
        <v>173.11114137092065</v>
      </c>
      <c r="FM14" s="102">
        <f>FM81/365*FM77</f>
        <v>177.2963835906321</v>
      </c>
      <c r="FN14" s="102">
        <f t="shared" si="3"/>
        <v>177.2963835906321</v>
      </c>
      <c r="FO14" s="30"/>
      <c r="FP14" s="102">
        <f>FP81/365*FP77</f>
        <v>178.85569683520143</v>
      </c>
      <c r="FQ14" s="102">
        <f>FQ81/365*FQ77</f>
        <v>183.07057150173637</v>
      </c>
      <c r="FR14" s="102">
        <f>FR81/365*FR77</f>
        <v>187.49029108371184</v>
      </c>
      <c r="FS14" s="102">
        <f>FS81/365*FS77</f>
        <v>192.03146322072533</v>
      </c>
      <c r="FT14" s="102">
        <f t="shared" si="4"/>
        <v>192.03146322072533</v>
      </c>
      <c r="FU14" s="30"/>
      <c r="FV14" s="102">
        <f>FV81/365*FV77</f>
        <v>193.47340857658088</v>
      </c>
      <c r="FW14" s="102">
        <f>FW81/365*FW77</f>
        <v>197.8031834332204</v>
      </c>
      <c r="FX14" s="102">
        <f>FX81/365*FX77</f>
        <v>202.34304321074708</v>
      </c>
      <c r="FY14" s="102">
        <f>FY81/365*FY77</f>
        <v>207.00507692926195</v>
      </c>
      <c r="FZ14" s="102">
        <f t="shared" si="5"/>
        <v>207.00507692926195</v>
      </c>
      <c r="GA14" s="30"/>
      <c r="GB14" s="102">
        <f>GB81/365*GB77</f>
        <v>208.28292484474028</v>
      </c>
      <c r="GC14" s="102">
        <f>GC81/365*GC77</f>
        <v>212.69841971262579</v>
      </c>
      <c r="GD14" s="102">
        <f>GD81/365*GD77</f>
        <v>217.32815872038276</v>
      </c>
      <c r="GE14" s="102">
        <f>GE81/365*GE77</f>
        <v>222.08249044422411</v>
      </c>
      <c r="GF14" s="102">
        <f t="shared" si="6"/>
        <v>222.08249044422411</v>
      </c>
      <c r="GG14" s="30"/>
      <c r="GH14" s="102">
        <f>GH81/365*GH77</f>
        <v>223.05426713453639</v>
      </c>
      <c r="GI14" s="102">
        <f>GI81/365*GI77</f>
        <v>227.41352083900401</v>
      </c>
      <c r="GJ14" s="102">
        <f>GJ81/365*GJ77</f>
        <v>231.98428980695601</v>
      </c>
      <c r="GK14" s="102">
        <f>GK81/365*GK77</f>
        <v>236.67806452520131</v>
      </c>
      <c r="GL14" s="102">
        <f t="shared" si="7"/>
        <v>236.67806452520131</v>
      </c>
      <c r="GM14" s="30"/>
      <c r="GN14" s="102">
        <f>GN81/365*GN77</f>
        <v>237.39512218350632</v>
      </c>
      <c r="GO14" s="102">
        <f>GO81/365*GO77</f>
        <v>241.75306854297133</v>
      </c>
      <c r="GP14" s="102">
        <f>GP81/365*GP77</f>
        <v>246.32246673225956</v>
      </c>
      <c r="GQ14" s="102">
        <f>GQ81/365*GQ77</f>
        <v>251.0148337822807</v>
      </c>
      <c r="GR14" s="102">
        <f t="shared" si="8"/>
        <v>251.0148337822807</v>
      </c>
      <c r="GS14" s="30"/>
      <c r="GT14" s="102">
        <f>GT81/365*GT77</f>
        <v>251.43606800895969</v>
      </c>
      <c r="GU14" s="102">
        <f>GU81/365*GU77</f>
        <v>255.75285837296656</v>
      </c>
      <c r="GV14" s="102">
        <f>GV81/365*GV77</f>
        <v>260.27910363754825</v>
      </c>
      <c r="GW14" s="102">
        <f>GW81/365*GW77</f>
        <v>264.92715645763866</v>
      </c>
      <c r="GX14" s="102">
        <f t="shared" si="9"/>
        <v>264.92715645763866</v>
      </c>
      <c r="GY14" s="30"/>
      <c r="GZ14" s="102">
        <f>GZ81/365*GZ77</f>
        <v>265.01215927295942</v>
      </c>
      <c r="HA14" s="102">
        <f>HA81/365*HA77</f>
        <v>269.24626304772562</v>
      </c>
      <c r="HB14" s="102">
        <f>HB81/365*HB77</f>
        <v>273.68580968869202</v>
      </c>
      <c r="HC14" s="102">
        <f>HC81/365*HC77</f>
        <v>278.24483070461889</v>
      </c>
      <c r="HD14" s="102">
        <f t="shared" si="10"/>
        <v>278.24483070461889</v>
      </c>
      <c r="HF14" s="102">
        <f>HF81/365*HF77</f>
        <v>277.95478964525563</v>
      </c>
      <c r="HG14" s="102">
        <f>HG81/365*HG77</f>
        <v>282.0637324651525</v>
      </c>
      <c r="HH14" s="102">
        <f>HH81/365*HH77</f>
        <v>286.37204521901356</v>
      </c>
      <c r="HI14" s="102">
        <f>HI81/365*HI77</f>
        <v>290.79630066140305</v>
      </c>
      <c r="HJ14" s="102">
        <f t="shared" si="11"/>
        <v>290.79630066140305</v>
      </c>
    </row>
    <row r="15" spans="1:218">
      <c r="A15" s="30"/>
      <c r="B15" s="30" t="s">
        <v>75</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102">
        <v>7.5149999999999997</v>
      </c>
      <c r="DI15" s="102">
        <v>6.8979999999999997</v>
      </c>
      <c r="DJ15" s="102">
        <v>6.8289999999999997</v>
      </c>
      <c r="DK15" s="102">
        <v>8.65</v>
      </c>
      <c r="DL15" s="102">
        <f t="shared" si="12"/>
        <v>8.65</v>
      </c>
      <c r="DM15" s="102"/>
      <c r="DN15" s="102">
        <v>9.67</v>
      </c>
      <c r="DO15" s="102">
        <v>8.7330000000000005</v>
      </c>
      <c r="DP15" s="102">
        <v>12.632</v>
      </c>
      <c r="DQ15" s="102">
        <v>14.404999999999999</v>
      </c>
      <c r="DR15" s="102">
        <f t="shared" si="13"/>
        <v>14.404999999999999</v>
      </c>
      <c r="DS15" s="102"/>
      <c r="DT15" s="102">
        <v>20.286000000000001</v>
      </c>
      <c r="DU15" s="102">
        <v>21.626999999999999</v>
      </c>
      <c r="DV15" s="102">
        <v>20.643000000000001</v>
      </c>
      <c r="DW15" s="102">
        <v>29.526</v>
      </c>
      <c r="DX15" s="102">
        <f t="shared" si="14"/>
        <v>29.526</v>
      </c>
      <c r="DY15" s="102"/>
      <c r="DZ15" s="102">
        <v>21.382000000000001</v>
      </c>
      <c r="EA15" s="102">
        <v>21.384</v>
      </c>
      <c r="EB15" s="102">
        <v>21.834</v>
      </c>
      <c r="EC15" s="102">
        <v>23.395</v>
      </c>
      <c r="ED15" s="102">
        <f t="shared" si="15"/>
        <v>23.395</v>
      </c>
      <c r="EE15" s="102"/>
      <c r="EF15" s="102">
        <v>23.84</v>
      </c>
      <c r="EG15" s="102">
        <v>21.863</v>
      </c>
      <c r="EH15" s="102">
        <v>23.798999999999999</v>
      </c>
      <c r="EI15" s="102">
        <v>24.277000000000001</v>
      </c>
      <c r="EJ15" s="102">
        <f t="shared" si="16"/>
        <v>24.277000000000001</v>
      </c>
      <c r="EK15" s="102"/>
      <c r="EL15" s="102">
        <v>24.431999999999999</v>
      </c>
      <c r="EM15" s="102">
        <v>24.945</v>
      </c>
      <c r="EN15" s="102">
        <v>24.053000000000001</v>
      </c>
      <c r="EO15" s="102">
        <v>24.155999999999999</v>
      </c>
      <c r="EP15" s="102">
        <f t="shared" si="17"/>
        <v>24.155999999999999</v>
      </c>
      <c r="EQ15" s="102"/>
      <c r="ER15" s="102">
        <v>20.32</v>
      </c>
      <c r="ES15" s="102">
        <v>23.213999999999999</v>
      </c>
      <c r="ET15" s="102">
        <v>24.457000000000001</v>
      </c>
      <c r="EU15" s="102">
        <v>26.748000000000001</v>
      </c>
      <c r="EV15" s="102">
        <f t="shared" si="0"/>
        <v>26.748000000000001</v>
      </c>
      <c r="EW15" s="30"/>
      <c r="EX15" s="102">
        <v>29.771999999999998</v>
      </c>
      <c r="EY15" s="102">
        <v>34.170999999999999</v>
      </c>
      <c r="EZ15" s="102">
        <v>28.46</v>
      </c>
      <c r="FA15" s="102">
        <f>(FA82/91.25)*IS!FA50</f>
        <v>31.15097290553803</v>
      </c>
      <c r="FB15" s="543">
        <f t="shared" si="1"/>
        <v>31.15097290553803</v>
      </c>
      <c r="FC15" s="30"/>
      <c r="FD15" s="543">
        <f>(FD82/91.25)*IS!FD50</f>
        <v>29.501976196253636</v>
      </c>
      <c r="FE15" s="102">
        <f>(FE82/91.25)*IS!FE50</f>
        <v>32.063086536681809</v>
      </c>
      <c r="FF15" s="102">
        <f>(FF82/91.25)*IS!FF50</f>
        <v>33.652299270326054</v>
      </c>
      <c r="FG15" s="102">
        <f>(FG82/91.25)*IS!FG50</f>
        <v>33.932243865006157</v>
      </c>
      <c r="FH15" s="102">
        <f t="shared" si="2"/>
        <v>33.932243865006157</v>
      </c>
      <c r="FI15" s="30"/>
      <c r="FJ15" s="102">
        <f>(FJ82/91.25)*IS!FJ50</f>
        <v>30.897473996888266</v>
      </c>
      <c r="FK15" s="102">
        <f>(FK82/91.25)*IS!FK50</f>
        <v>32.821406198035838</v>
      </c>
      <c r="FL15" s="102">
        <f>(FL82/91.25)*IS!FL50</f>
        <v>34.413677305968911</v>
      </c>
      <c r="FM15" s="102">
        <f>(FM82/91.25)*IS!FM50</f>
        <v>35.337880427657353</v>
      </c>
      <c r="FN15" s="102">
        <f t="shared" si="3"/>
        <v>35.337880427657353</v>
      </c>
      <c r="FO15" s="30"/>
      <c r="FP15" s="102">
        <f>(FP82/91.25)*IS!FP50</f>
        <v>31.86755785189909</v>
      </c>
      <c r="FQ15" s="102">
        <f>(FQ82/91.25)*IS!FQ50</f>
        <v>33.859771783070066</v>
      </c>
      <c r="FR15" s="102">
        <f>(FR82/91.25)*IS!FR50</f>
        <v>35.502681105571178</v>
      </c>
      <c r="FS15" s="102">
        <f>(FS82/91.25)*IS!FS50</f>
        <v>36.458107633893803</v>
      </c>
      <c r="FT15" s="102">
        <f t="shared" si="4"/>
        <v>36.458107633893803</v>
      </c>
      <c r="FU15" s="30"/>
      <c r="FV15" s="102">
        <f>(FV82/91.25)*IS!FV50</f>
        <v>33.967260943345572</v>
      </c>
      <c r="FW15" s="102">
        <f>(FW82/91.25)*IS!FW50</f>
        <v>36.090738706202139</v>
      </c>
      <c r="FX15" s="102">
        <f>(FX82/91.25)*IS!FX50</f>
        <v>37.841896731018423</v>
      </c>
      <c r="FY15" s="102">
        <f>(FY82/91.25)*IS!FY50</f>
        <v>38.86027480537706</v>
      </c>
      <c r="FZ15" s="102">
        <f t="shared" si="5"/>
        <v>38.86027480537706</v>
      </c>
      <c r="GA15" s="30"/>
      <c r="GB15" s="102">
        <f>(GB82/91.25)*IS!GB50</f>
        <v>36.016430791638911</v>
      </c>
      <c r="GC15" s="102">
        <f>(GC82/91.25)*IS!GC50</f>
        <v>38.268013278995475</v>
      </c>
      <c r="GD15" s="102">
        <f>(GD82/91.25)*IS!GD50</f>
        <v>40.124814800649368</v>
      </c>
      <c r="GE15" s="102">
        <f>(GE82/91.25)*IS!GE50</f>
        <v>41.204629375514166</v>
      </c>
      <c r="GF15" s="102">
        <f t="shared" si="6"/>
        <v>41.204629375514166</v>
      </c>
      <c r="GG15" s="30"/>
      <c r="GH15" s="102">
        <f>(GH82/91.25)*IS!GH50</f>
        <v>37.917740440866268</v>
      </c>
      <c r="GI15" s="102">
        <f>(GI82/91.25)*IS!GI50</f>
        <v>40.288184109498907</v>
      </c>
      <c r="GJ15" s="102">
        <f>(GJ82/91.25)*IS!GJ50</f>
        <v>42.243006300392466</v>
      </c>
      <c r="GK15" s="102">
        <f>(GK82/91.25)*IS!GK50</f>
        <v>43.379824354653771</v>
      </c>
      <c r="GL15" s="102">
        <f t="shared" si="7"/>
        <v>43.379824354653771</v>
      </c>
      <c r="GM15" s="30"/>
      <c r="GN15" s="102">
        <f>(GN82/91.25)*IS!GN50</f>
        <v>39.706321752249245</v>
      </c>
      <c r="GO15" s="102">
        <f>(GO82/91.25)*IS!GO50</f>
        <v>42.188579342178564</v>
      </c>
      <c r="GP15" s="102">
        <f>(GP82/91.25)*IS!GP50</f>
        <v>44.235610572879274</v>
      </c>
      <c r="GQ15" s="102">
        <f>(GQ82/91.25)*IS!GQ50</f>
        <v>45.426052379575552</v>
      </c>
      <c r="GR15" s="102">
        <f t="shared" si="8"/>
        <v>45.426052379575552</v>
      </c>
      <c r="GS15" s="30"/>
      <c r="GT15" s="102">
        <f>(GT82/91.25)*IS!GT50</f>
        <v>41.354766299874484</v>
      </c>
      <c r="GU15" s="102">
        <f>(GU82/91.25)*IS!GU50</f>
        <v>43.940077101719318</v>
      </c>
      <c r="GV15" s="102">
        <f>(GV82/91.25)*IS!GV50</f>
        <v>46.072092720853746</v>
      </c>
      <c r="GW15" s="102">
        <f>(GW82/91.25)*IS!GW50</f>
        <v>47.31195681646809</v>
      </c>
      <c r="GX15" s="102">
        <f t="shared" si="9"/>
        <v>47.31195681646809</v>
      </c>
      <c r="GY15" s="30"/>
      <c r="GZ15" s="102">
        <f>(GZ82/91.25)*IS!GZ50</f>
        <v>42.836293289706148</v>
      </c>
      <c r="HA15" s="102">
        <f>(HA82/91.25)*IS!HA50</f>
        <v>45.514222381357349</v>
      </c>
      <c r="HB15" s="102">
        <f>(HB82/91.25)*IS!HB50</f>
        <v>47.722617072727033</v>
      </c>
      <c r="HC15" s="102">
        <f>(HC82/91.25)*IS!HC50</f>
        <v>49.006899074322419</v>
      </c>
      <c r="HD15" s="102">
        <f t="shared" si="10"/>
        <v>49.006899074322419</v>
      </c>
      <c r="HF15" s="102">
        <f>(HF82/91.25)*IS!HF50</f>
        <v>44.125387320773626</v>
      </c>
      <c r="HG15" s="102">
        <f>(HG82/91.25)*IS!HG50</f>
        <v>46.883904673979629</v>
      </c>
      <c r="HH15" s="102">
        <f>(HH82/91.25)*IS!HH50</f>
        <v>49.158757693002286</v>
      </c>
      <c r="HI15" s="102">
        <f>(HI82/91.25)*IS!HI50</f>
        <v>50.48168823618056</v>
      </c>
      <c r="HJ15" s="102">
        <f t="shared" si="11"/>
        <v>50.48168823618056</v>
      </c>
    </row>
    <row r="16" spans="1:218">
      <c r="A16" s="30"/>
      <c r="B16" s="30" t="s">
        <v>486</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102">
        <v>0</v>
      </c>
      <c r="DI16" s="102">
        <v>0</v>
      </c>
      <c r="DJ16" s="102">
        <v>0</v>
      </c>
      <c r="DK16" s="102">
        <v>7.7270000000000003</v>
      </c>
      <c r="DL16" s="102">
        <f t="shared" si="12"/>
        <v>7.7270000000000003</v>
      </c>
      <c r="DM16" s="102"/>
      <c r="DN16" s="102">
        <v>7.5039999999999996</v>
      </c>
      <c r="DO16" s="102">
        <v>9.5530000000000008</v>
      </c>
      <c r="DP16" s="102">
        <v>8.7420000000000009</v>
      </c>
      <c r="DQ16" s="102">
        <v>6.327</v>
      </c>
      <c r="DR16" s="102">
        <f t="shared" si="13"/>
        <v>6.327</v>
      </c>
      <c r="DS16" s="102"/>
      <c r="DT16" s="102">
        <v>6.8840000000000003</v>
      </c>
      <c r="DU16" s="102">
        <v>8.3000000000000007</v>
      </c>
      <c r="DV16" s="102">
        <v>10.459</v>
      </c>
      <c r="DW16" s="102">
        <v>11.547000000000001</v>
      </c>
      <c r="DX16" s="102">
        <f t="shared" si="14"/>
        <v>11.547000000000001</v>
      </c>
      <c r="DY16" s="102"/>
      <c r="DZ16" s="102">
        <v>11.073</v>
      </c>
      <c r="EA16" s="102">
        <v>13.959</v>
      </c>
      <c r="EB16" s="102">
        <v>14.618</v>
      </c>
      <c r="EC16" s="102">
        <v>12.353999999999999</v>
      </c>
      <c r="ED16" s="102">
        <f t="shared" si="15"/>
        <v>12.353999999999999</v>
      </c>
      <c r="EE16" s="102"/>
      <c r="EF16" s="102">
        <v>14.340999999999999</v>
      </c>
      <c r="EG16" s="102">
        <v>16.661999999999999</v>
      </c>
      <c r="EH16" s="102">
        <v>16.510999999999999</v>
      </c>
      <c r="EI16" s="102">
        <v>15.237</v>
      </c>
      <c r="EJ16" s="102">
        <f t="shared" si="16"/>
        <v>15.237</v>
      </c>
      <c r="EK16" s="102"/>
      <c r="EL16" s="102">
        <v>16.184999999999999</v>
      </c>
      <c r="EM16" s="102">
        <v>16.571000000000002</v>
      </c>
      <c r="EN16" s="102">
        <v>18.675999999999998</v>
      </c>
      <c r="EO16" s="102">
        <v>17.986999999999998</v>
      </c>
      <c r="EP16" s="102">
        <f t="shared" si="17"/>
        <v>17.986999999999998</v>
      </c>
      <c r="EQ16" s="102"/>
      <c r="ER16" s="102">
        <v>19.155000000000001</v>
      </c>
      <c r="ES16" s="421">
        <v>17.396000000000001</v>
      </c>
      <c r="ET16" s="421">
        <v>18.234999999999999</v>
      </c>
      <c r="EU16" s="421">
        <v>20.164999999999999</v>
      </c>
      <c r="EV16" s="102">
        <f t="shared" si="0"/>
        <v>20.164999999999999</v>
      </c>
      <c r="EW16" s="30"/>
      <c r="EX16" s="102">
        <v>22.98</v>
      </c>
      <c r="EY16" s="102">
        <v>22.831</v>
      </c>
      <c r="EZ16" s="102">
        <v>21.986000000000001</v>
      </c>
      <c r="FA16" s="102">
        <f>EZ16</f>
        <v>21.986000000000001</v>
      </c>
      <c r="FB16" s="543">
        <f t="shared" si="1"/>
        <v>21.986000000000001</v>
      </c>
      <c r="FC16" s="30"/>
      <c r="FD16" s="543">
        <f>FA16</f>
        <v>21.986000000000001</v>
      </c>
      <c r="FE16" s="102">
        <f t="shared" ref="FE16:FG17" si="30">FD16</f>
        <v>21.986000000000001</v>
      </c>
      <c r="FF16" s="102">
        <f t="shared" si="30"/>
        <v>21.986000000000001</v>
      </c>
      <c r="FG16" s="102">
        <f t="shared" si="30"/>
        <v>21.986000000000001</v>
      </c>
      <c r="FH16" s="102">
        <f t="shared" si="2"/>
        <v>21.986000000000001</v>
      </c>
      <c r="FI16" s="30"/>
      <c r="FJ16" s="102">
        <f>FG16</f>
        <v>21.986000000000001</v>
      </c>
      <c r="FK16" s="102">
        <f t="shared" ref="FK16:FM17" si="31">FJ16</f>
        <v>21.986000000000001</v>
      </c>
      <c r="FL16" s="102">
        <f t="shared" si="31"/>
        <v>21.986000000000001</v>
      </c>
      <c r="FM16" s="102">
        <f t="shared" si="31"/>
        <v>21.986000000000001</v>
      </c>
      <c r="FN16" s="102">
        <f t="shared" si="3"/>
        <v>21.986000000000001</v>
      </c>
      <c r="FO16" s="30"/>
      <c r="FP16" s="102">
        <f>FM16</f>
        <v>21.986000000000001</v>
      </c>
      <c r="FQ16" s="102">
        <f t="shared" ref="FQ16:FS17" si="32">FP16</f>
        <v>21.986000000000001</v>
      </c>
      <c r="FR16" s="102">
        <f t="shared" si="32"/>
        <v>21.986000000000001</v>
      </c>
      <c r="FS16" s="102">
        <f t="shared" si="32"/>
        <v>21.986000000000001</v>
      </c>
      <c r="FT16" s="102">
        <f t="shared" si="4"/>
        <v>21.986000000000001</v>
      </c>
      <c r="FU16" s="30"/>
      <c r="FV16" s="102">
        <f>FS16</f>
        <v>21.986000000000001</v>
      </c>
      <c r="FW16" s="102">
        <f t="shared" ref="FW16:FY17" si="33">FV16</f>
        <v>21.986000000000001</v>
      </c>
      <c r="FX16" s="102">
        <f t="shared" si="33"/>
        <v>21.986000000000001</v>
      </c>
      <c r="FY16" s="102">
        <f t="shared" si="33"/>
        <v>21.986000000000001</v>
      </c>
      <c r="FZ16" s="102">
        <f t="shared" si="5"/>
        <v>21.986000000000001</v>
      </c>
      <c r="GA16" s="30"/>
      <c r="GB16" s="102">
        <f>FY16</f>
        <v>21.986000000000001</v>
      </c>
      <c r="GC16" s="102">
        <f t="shared" ref="GC16:GE17" si="34">GB16</f>
        <v>21.986000000000001</v>
      </c>
      <c r="GD16" s="102">
        <f t="shared" si="34"/>
        <v>21.986000000000001</v>
      </c>
      <c r="GE16" s="102">
        <f t="shared" si="34"/>
        <v>21.986000000000001</v>
      </c>
      <c r="GF16" s="102">
        <f t="shared" si="6"/>
        <v>21.986000000000001</v>
      </c>
      <c r="GG16" s="30"/>
      <c r="GH16" s="102">
        <f>GE16</f>
        <v>21.986000000000001</v>
      </c>
      <c r="GI16" s="102">
        <f t="shared" ref="GI16:GK17" si="35">GH16</f>
        <v>21.986000000000001</v>
      </c>
      <c r="GJ16" s="102">
        <f t="shared" si="35"/>
        <v>21.986000000000001</v>
      </c>
      <c r="GK16" s="102">
        <f t="shared" si="35"/>
        <v>21.986000000000001</v>
      </c>
      <c r="GL16" s="102">
        <f t="shared" si="7"/>
        <v>21.986000000000001</v>
      </c>
      <c r="GM16" s="30"/>
      <c r="GN16" s="102">
        <f>GK16</f>
        <v>21.986000000000001</v>
      </c>
      <c r="GO16" s="102">
        <f t="shared" ref="GO16:GQ17" si="36">GN16</f>
        <v>21.986000000000001</v>
      </c>
      <c r="GP16" s="102">
        <f t="shared" si="36"/>
        <v>21.986000000000001</v>
      </c>
      <c r="GQ16" s="102">
        <f t="shared" si="36"/>
        <v>21.986000000000001</v>
      </c>
      <c r="GR16" s="102">
        <f t="shared" si="8"/>
        <v>21.986000000000001</v>
      </c>
      <c r="GS16" s="30"/>
      <c r="GT16" s="102">
        <f>GQ16</f>
        <v>21.986000000000001</v>
      </c>
      <c r="GU16" s="102">
        <f t="shared" ref="GU16:GW17" si="37">GT16</f>
        <v>21.986000000000001</v>
      </c>
      <c r="GV16" s="102">
        <f t="shared" si="37"/>
        <v>21.986000000000001</v>
      </c>
      <c r="GW16" s="102">
        <f t="shared" si="37"/>
        <v>21.986000000000001</v>
      </c>
      <c r="GX16" s="102">
        <f t="shared" si="9"/>
        <v>21.986000000000001</v>
      </c>
      <c r="GY16" s="30"/>
      <c r="GZ16" s="102">
        <f>GW16</f>
        <v>21.986000000000001</v>
      </c>
      <c r="HA16" s="102">
        <f t="shared" ref="HA16:HC17" si="38">GZ16</f>
        <v>21.986000000000001</v>
      </c>
      <c r="HB16" s="102">
        <f t="shared" si="38"/>
        <v>21.986000000000001</v>
      </c>
      <c r="HC16" s="102">
        <f t="shared" si="38"/>
        <v>21.986000000000001</v>
      </c>
      <c r="HD16" s="102">
        <f t="shared" si="10"/>
        <v>21.986000000000001</v>
      </c>
      <c r="HF16" s="102">
        <f>HC16</f>
        <v>21.986000000000001</v>
      </c>
      <c r="HG16" s="102">
        <f t="shared" ref="HG16:HG17" si="39">HF16</f>
        <v>21.986000000000001</v>
      </c>
      <c r="HH16" s="102">
        <f t="shared" ref="HH16:HH17" si="40">HG16</f>
        <v>21.986000000000001</v>
      </c>
      <c r="HI16" s="102">
        <f t="shared" ref="HI16:HI17" si="41">HH16</f>
        <v>21.986000000000001</v>
      </c>
      <c r="HJ16" s="102">
        <f t="shared" si="11"/>
        <v>21.986000000000001</v>
      </c>
    </row>
    <row r="17" spans="1:218">
      <c r="A17" s="30"/>
      <c r="B17" s="30" t="s">
        <v>491</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102">
        <v>0</v>
      </c>
      <c r="DI17" s="102">
        <v>0</v>
      </c>
      <c r="DJ17" s="102">
        <v>0</v>
      </c>
      <c r="DK17" s="102">
        <v>0</v>
      </c>
      <c r="DL17" s="102">
        <f t="shared" si="12"/>
        <v>0</v>
      </c>
      <c r="DM17" s="102"/>
      <c r="DN17" s="102">
        <v>0</v>
      </c>
      <c r="DO17" s="102">
        <v>0</v>
      </c>
      <c r="DP17" s="102">
        <v>0</v>
      </c>
      <c r="DQ17" s="102">
        <v>0</v>
      </c>
      <c r="DR17" s="102">
        <f t="shared" si="13"/>
        <v>0</v>
      </c>
      <c r="DS17" s="102"/>
      <c r="DT17" s="102">
        <v>0</v>
      </c>
      <c r="DU17" s="102">
        <v>0</v>
      </c>
      <c r="DV17" s="102">
        <v>0</v>
      </c>
      <c r="DW17" s="102">
        <v>0</v>
      </c>
      <c r="DX17" s="102">
        <f t="shared" si="14"/>
        <v>0</v>
      </c>
      <c r="DY17" s="102"/>
      <c r="DZ17" s="102">
        <v>0</v>
      </c>
      <c r="EA17" s="102">
        <v>0</v>
      </c>
      <c r="EB17" s="102">
        <v>10.050000000000001</v>
      </c>
      <c r="EC17" s="102">
        <v>10.050000000000001</v>
      </c>
      <c r="ED17" s="102">
        <f t="shared" si="15"/>
        <v>10.050000000000001</v>
      </c>
      <c r="EE17" s="102"/>
      <c r="EF17" s="102">
        <v>0</v>
      </c>
      <c r="EG17" s="102">
        <v>0</v>
      </c>
      <c r="EH17" s="102">
        <v>0</v>
      </c>
      <c r="EI17" s="102">
        <v>0</v>
      </c>
      <c r="EJ17" s="102">
        <f t="shared" si="16"/>
        <v>0</v>
      </c>
      <c r="EK17" s="102"/>
      <c r="EL17" s="102">
        <v>0</v>
      </c>
      <c r="EM17" s="102">
        <v>0</v>
      </c>
      <c r="EN17" s="102">
        <v>0</v>
      </c>
      <c r="EO17" s="102">
        <v>0</v>
      </c>
      <c r="EP17" s="102">
        <f t="shared" si="17"/>
        <v>0</v>
      </c>
      <c r="EQ17" s="102"/>
      <c r="ER17" s="102">
        <v>0</v>
      </c>
      <c r="ES17" s="102">
        <v>0</v>
      </c>
      <c r="ET17" s="102">
        <v>0</v>
      </c>
      <c r="EU17" s="102">
        <v>0</v>
      </c>
      <c r="EV17" s="102">
        <f t="shared" si="0"/>
        <v>0</v>
      </c>
      <c r="EW17" s="30"/>
      <c r="EX17" s="102">
        <v>0</v>
      </c>
      <c r="EY17" s="102">
        <v>8.9559999999999995</v>
      </c>
      <c r="EZ17" s="102">
        <v>2.0779999999999998</v>
      </c>
      <c r="FA17" s="102">
        <f>EZ17</f>
        <v>2.0779999999999998</v>
      </c>
      <c r="FB17" s="543">
        <f t="shared" si="1"/>
        <v>2.0779999999999998</v>
      </c>
      <c r="FC17" s="30"/>
      <c r="FD17" s="543">
        <f>FA17</f>
        <v>2.0779999999999998</v>
      </c>
      <c r="FE17" s="102">
        <f t="shared" si="30"/>
        <v>2.0779999999999998</v>
      </c>
      <c r="FF17" s="102">
        <f t="shared" si="30"/>
        <v>2.0779999999999998</v>
      </c>
      <c r="FG17" s="102">
        <f t="shared" si="30"/>
        <v>2.0779999999999998</v>
      </c>
      <c r="FH17" s="102">
        <f t="shared" si="2"/>
        <v>2.0779999999999998</v>
      </c>
      <c r="FI17" s="30"/>
      <c r="FJ17" s="102">
        <f>FG17</f>
        <v>2.0779999999999998</v>
      </c>
      <c r="FK17" s="102">
        <f t="shared" si="31"/>
        <v>2.0779999999999998</v>
      </c>
      <c r="FL17" s="102">
        <f t="shared" si="31"/>
        <v>2.0779999999999998</v>
      </c>
      <c r="FM17" s="102">
        <f t="shared" si="31"/>
        <v>2.0779999999999998</v>
      </c>
      <c r="FN17" s="102">
        <f t="shared" si="3"/>
        <v>2.0779999999999998</v>
      </c>
      <c r="FO17" s="30"/>
      <c r="FP17" s="102">
        <f>FM17</f>
        <v>2.0779999999999998</v>
      </c>
      <c r="FQ17" s="102">
        <f t="shared" si="32"/>
        <v>2.0779999999999998</v>
      </c>
      <c r="FR17" s="102">
        <f t="shared" si="32"/>
        <v>2.0779999999999998</v>
      </c>
      <c r="FS17" s="102">
        <f t="shared" si="32"/>
        <v>2.0779999999999998</v>
      </c>
      <c r="FT17" s="102">
        <f t="shared" si="4"/>
        <v>2.0779999999999998</v>
      </c>
      <c r="FU17" s="30"/>
      <c r="FV17" s="102">
        <f>FS17</f>
        <v>2.0779999999999998</v>
      </c>
      <c r="FW17" s="102">
        <f t="shared" si="33"/>
        <v>2.0779999999999998</v>
      </c>
      <c r="FX17" s="102">
        <f t="shared" si="33"/>
        <v>2.0779999999999998</v>
      </c>
      <c r="FY17" s="102">
        <f t="shared" si="33"/>
        <v>2.0779999999999998</v>
      </c>
      <c r="FZ17" s="102">
        <f t="shared" si="5"/>
        <v>2.0779999999999998</v>
      </c>
      <c r="GA17" s="30"/>
      <c r="GB17" s="102">
        <f>FY17</f>
        <v>2.0779999999999998</v>
      </c>
      <c r="GC17" s="102">
        <f t="shared" si="34"/>
        <v>2.0779999999999998</v>
      </c>
      <c r="GD17" s="102">
        <f t="shared" si="34"/>
        <v>2.0779999999999998</v>
      </c>
      <c r="GE17" s="102">
        <f t="shared" si="34"/>
        <v>2.0779999999999998</v>
      </c>
      <c r="GF17" s="102">
        <f t="shared" si="6"/>
        <v>2.0779999999999998</v>
      </c>
      <c r="GG17" s="30"/>
      <c r="GH17" s="102">
        <f>GE17</f>
        <v>2.0779999999999998</v>
      </c>
      <c r="GI17" s="102">
        <f t="shared" si="35"/>
        <v>2.0779999999999998</v>
      </c>
      <c r="GJ17" s="102">
        <f t="shared" si="35"/>
        <v>2.0779999999999998</v>
      </c>
      <c r="GK17" s="102">
        <f t="shared" si="35"/>
        <v>2.0779999999999998</v>
      </c>
      <c r="GL17" s="102">
        <f t="shared" si="7"/>
        <v>2.0779999999999998</v>
      </c>
      <c r="GM17" s="30"/>
      <c r="GN17" s="102">
        <f>GK17</f>
        <v>2.0779999999999998</v>
      </c>
      <c r="GO17" s="102">
        <f t="shared" si="36"/>
        <v>2.0779999999999998</v>
      </c>
      <c r="GP17" s="102">
        <f t="shared" si="36"/>
        <v>2.0779999999999998</v>
      </c>
      <c r="GQ17" s="102">
        <f t="shared" si="36"/>
        <v>2.0779999999999998</v>
      </c>
      <c r="GR17" s="102">
        <f t="shared" si="8"/>
        <v>2.0779999999999998</v>
      </c>
      <c r="GS17" s="30"/>
      <c r="GT17" s="102">
        <f>GQ17</f>
        <v>2.0779999999999998</v>
      </c>
      <c r="GU17" s="102">
        <f t="shared" si="37"/>
        <v>2.0779999999999998</v>
      </c>
      <c r="GV17" s="102">
        <f t="shared" si="37"/>
        <v>2.0779999999999998</v>
      </c>
      <c r="GW17" s="102">
        <f t="shared" si="37"/>
        <v>2.0779999999999998</v>
      </c>
      <c r="GX17" s="102">
        <f t="shared" si="9"/>
        <v>2.0779999999999998</v>
      </c>
      <c r="GY17" s="30"/>
      <c r="GZ17" s="102">
        <f>GW17</f>
        <v>2.0779999999999998</v>
      </c>
      <c r="HA17" s="102">
        <f t="shared" si="38"/>
        <v>2.0779999999999998</v>
      </c>
      <c r="HB17" s="102">
        <f t="shared" si="38"/>
        <v>2.0779999999999998</v>
      </c>
      <c r="HC17" s="102">
        <f t="shared" si="38"/>
        <v>2.0779999999999998</v>
      </c>
      <c r="HD17" s="102">
        <f t="shared" si="10"/>
        <v>2.0779999999999998</v>
      </c>
      <c r="HF17" s="102">
        <f>HC17</f>
        <v>2.0779999999999998</v>
      </c>
      <c r="HG17" s="102">
        <f t="shared" si="39"/>
        <v>2.0779999999999998</v>
      </c>
      <c r="HH17" s="102">
        <f t="shared" si="40"/>
        <v>2.0779999999999998</v>
      </c>
      <c r="HI17" s="102">
        <f t="shared" si="41"/>
        <v>2.0779999999999998</v>
      </c>
      <c r="HJ17" s="102">
        <f t="shared" si="11"/>
        <v>2.0779999999999998</v>
      </c>
    </row>
    <row r="18" spans="1:218">
      <c r="A18" s="30"/>
      <c r="B18" s="30" t="s">
        <v>412</v>
      </c>
      <c r="C18" s="30"/>
      <c r="D18" s="36"/>
      <c r="E18" s="36"/>
      <c r="F18" s="36"/>
      <c r="G18" s="36"/>
      <c r="H18" s="30"/>
      <c r="I18" s="36"/>
      <c r="J18" s="36"/>
      <c r="K18" s="36"/>
      <c r="L18" s="36"/>
      <c r="M18" s="36"/>
      <c r="N18" s="30"/>
      <c r="O18" s="36"/>
      <c r="P18" s="36"/>
      <c r="Q18" s="36"/>
      <c r="R18" s="36"/>
      <c r="S18" s="36"/>
      <c r="T18" s="30"/>
      <c r="U18" s="36"/>
      <c r="V18" s="36"/>
      <c r="W18" s="36"/>
      <c r="X18" s="36"/>
      <c r="Y18" s="36"/>
      <c r="Z18" s="30"/>
      <c r="AA18" s="36"/>
      <c r="AB18" s="36"/>
      <c r="AC18" s="36"/>
      <c r="AD18" s="36"/>
      <c r="AE18" s="36"/>
      <c r="AF18" s="30"/>
      <c r="AG18" s="36"/>
      <c r="AH18" s="36"/>
      <c r="AI18" s="36"/>
      <c r="AJ18" s="36"/>
      <c r="AK18" s="36"/>
      <c r="AL18" s="30"/>
      <c r="AM18" s="36"/>
      <c r="AN18" s="36"/>
      <c r="AO18" s="36"/>
      <c r="AP18" s="36"/>
      <c r="AQ18" s="36"/>
      <c r="AR18" s="30"/>
      <c r="AS18" s="36"/>
      <c r="AT18" s="36"/>
      <c r="AU18" s="36"/>
      <c r="AV18" s="36"/>
      <c r="AW18" s="36"/>
      <c r="AX18" s="30"/>
      <c r="AY18" s="36"/>
      <c r="AZ18" s="36"/>
      <c r="BA18" s="36"/>
      <c r="BB18" s="36"/>
      <c r="BC18" s="36"/>
      <c r="BD18" s="30"/>
      <c r="BE18" s="36"/>
      <c r="BF18" s="36"/>
      <c r="BG18" s="36"/>
      <c r="BH18" s="36"/>
      <c r="BI18" s="36"/>
      <c r="BJ18" s="30"/>
      <c r="BK18" s="36"/>
      <c r="BL18" s="36"/>
      <c r="BM18" s="36"/>
      <c r="BN18" s="36"/>
      <c r="BO18" s="36"/>
      <c r="BP18" s="30"/>
      <c r="BQ18" s="36"/>
      <c r="BR18" s="36"/>
      <c r="BS18" s="36"/>
      <c r="BT18" s="36"/>
      <c r="BU18" s="36"/>
      <c r="BV18" s="30"/>
      <c r="BW18" s="36"/>
      <c r="BX18" s="36"/>
      <c r="BY18" s="36"/>
      <c r="BZ18" s="36"/>
      <c r="CA18" s="36"/>
      <c r="CB18" s="30"/>
      <c r="CC18" s="36"/>
      <c r="CD18" s="36"/>
      <c r="CE18" s="36"/>
      <c r="CF18" s="36"/>
      <c r="CG18" s="36"/>
      <c r="CH18" s="30"/>
      <c r="CI18" s="36"/>
      <c r="CJ18" s="36"/>
      <c r="CK18" s="36"/>
      <c r="CL18" s="36"/>
      <c r="CM18" s="36"/>
      <c r="CN18" s="30"/>
      <c r="CO18" s="36"/>
      <c r="CP18" s="36"/>
      <c r="CQ18" s="36"/>
      <c r="CR18" s="36"/>
      <c r="CS18" s="36"/>
      <c r="CT18" s="30"/>
      <c r="CU18" s="36"/>
      <c r="CV18" s="36"/>
      <c r="CW18" s="36"/>
      <c r="CX18" s="36"/>
      <c r="CY18" s="36"/>
      <c r="CZ18" s="30"/>
      <c r="DA18" s="36"/>
      <c r="DB18" s="36"/>
      <c r="DC18" s="36"/>
      <c r="DD18" s="36"/>
      <c r="DE18" s="30"/>
      <c r="DF18" s="30"/>
      <c r="DG18" s="36"/>
      <c r="DH18" s="432">
        <v>6.9539999999999997</v>
      </c>
      <c r="DI18" s="432">
        <v>6.1609999999999996</v>
      </c>
      <c r="DJ18" s="432">
        <v>6.3070000000000004</v>
      </c>
      <c r="DK18" s="432">
        <v>0.56100000000000005</v>
      </c>
      <c r="DL18" s="432">
        <f t="shared" si="12"/>
        <v>0.56100000000000005</v>
      </c>
      <c r="DM18" s="432"/>
      <c r="DN18" s="432">
        <v>2.9910000000000001</v>
      </c>
      <c r="DO18" s="432">
        <v>0.63200000000000001</v>
      </c>
      <c r="DP18" s="432">
        <v>0.60299999999999998</v>
      </c>
      <c r="DQ18" s="432">
        <v>2.7480000000000002</v>
      </c>
      <c r="DR18" s="432">
        <f t="shared" si="13"/>
        <v>2.7480000000000002</v>
      </c>
      <c r="DS18" s="432"/>
      <c r="DT18" s="432">
        <v>2.0459999999999998</v>
      </c>
      <c r="DU18" s="432">
        <v>6.0259999999999998</v>
      </c>
      <c r="DV18" s="432">
        <v>3.968</v>
      </c>
      <c r="DW18" s="432">
        <v>4.5549999999999997</v>
      </c>
      <c r="DX18" s="432">
        <f t="shared" si="14"/>
        <v>4.5549999999999997</v>
      </c>
      <c r="DY18" s="432"/>
      <c r="DZ18" s="432">
        <v>4.6749999999999998</v>
      </c>
      <c r="EA18" s="432">
        <v>8.4220000000000006</v>
      </c>
      <c r="EB18" s="432">
        <v>15.755000000000001</v>
      </c>
      <c r="EC18" s="432">
        <v>8.1890000000000001</v>
      </c>
      <c r="ED18" s="432">
        <f t="shared" si="15"/>
        <v>8.1890000000000001</v>
      </c>
      <c r="EE18" s="432"/>
      <c r="EF18" s="432">
        <v>20.693000000000001</v>
      </c>
      <c r="EG18" s="432">
        <v>6.5060000000000002</v>
      </c>
      <c r="EH18" s="432">
        <v>7.516</v>
      </c>
      <c r="EI18" s="432">
        <v>8.077</v>
      </c>
      <c r="EJ18" s="432">
        <f t="shared" si="16"/>
        <v>8.077</v>
      </c>
      <c r="EK18" s="432"/>
      <c r="EL18" s="432">
        <v>7.6219999999999999</v>
      </c>
      <c r="EM18" s="432">
        <v>8.4329999999999998</v>
      </c>
      <c r="EN18" s="432">
        <v>9.3170000000000002</v>
      </c>
      <c r="EO18" s="432">
        <v>8.2390000000000008</v>
      </c>
      <c r="EP18" s="432">
        <f t="shared" si="17"/>
        <v>8.2390000000000008</v>
      </c>
      <c r="EQ18" s="432"/>
      <c r="ER18" s="432">
        <v>9.3119999999999994</v>
      </c>
      <c r="ES18" s="432">
        <v>9.157</v>
      </c>
      <c r="ET18" s="432">
        <v>8.3079999999999998</v>
      </c>
      <c r="EU18" s="432">
        <v>11.722</v>
      </c>
      <c r="EV18" s="432">
        <f t="shared" si="0"/>
        <v>11.722</v>
      </c>
      <c r="EW18" s="36"/>
      <c r="EX18" s="432">
        <v>11.891999999999999</v>
      </c>
      <c r="EY18" s="432">
        <v>9.7850000000000001</v>
      </c>
      <c r="EZ18" s="432">
        <v>10.528</v>
      </c>
      <c r="FA18" s="432">
        <f>FA87/365*FA77</f>
        <v>9.8339529625073894</v>
      </c>
      <c r="FB18" s="545">
        <f t="shared" si="1"/>
        <v>9.8339529625073894</v>
      </c>
      <c r="FC18" s="36"/>
      <c r="FD18" s="545">
        <f>FD87/365*FD77</f>
        <v>10.058217067782422</v>
      </c>
      <c r="FE18" s="432">
        <f>FE87/365*FE77</f>
        <v>10.257516487077758</v>
      </c>
      <c r="FF18" s="432">
        <f>FF87/365*FF77</f>
        <v>10.497964591359564</v>
      </c>
      <c r="FG18" s="432">
        <f>FG87/365*FG77</f>
        <v>10.780814395150614</v>
      </c>
      <c r="FH18" s="432">
        <f t="shared" si="2"/>
        <v>10.780814395150614</v>
      </c>
      <c r="FI18" s="36"/>
      <c r="FJ18" s="432">
        <f>FJ87/365*FJ77</f>
        <v>11.024318292023922</v>
      </c>
      <c r="FK18" s="432">
        <f>FK87/365*FK77</f>
        <v>11.283627045580909</v>
      </c>
      <c r="FL18" s="432">
        <f>FL87/365*FL77</f>
        <v>11.555537222167663</v>
      </c>
      <c r="FM18" s="432">
        <f>FM87/365*FM77</f>
        <v>11.834911050279846</v>
      </c>
      <c r="FN18" s="432">
        <f t="shared" si="3"/>
        <v>11.834911050279846</v>
      </c>
      <c r="FO18" s="36"/>
      <c r="FP18" s="432">
        <f>FP87/365*FP77</f>
        <v>12.10270248808536</v>
      </c>
      <c r="FQ18" s="432">
        <f>FQ87/365*FQ77</f>
        <v>12.387912157200022</v>
      </c>
      <c r="FR18" s="432">
        <f>FR87/365*FR77</f>
        <v>12.686983152018268</v>
      </c>
      <c r="FS18" s="432">
        <f>FS87/365*FS77</f>
        <v>12.994272527162398</v>
      </c>
      <c r="FT18" s="432">
        <f t="shared" si="4"/>
        <v>12.994272527162398</v>
      </c>
      <c r="FU18" s="36"/>
      <c r="FV18" s="432">
        <f>FV87/365*FV77</f>
        <v>13.273852313523031</v>
      </c>
      <c r="FW18" s="432">
        <f>FW87/365*FW77</f>
        <v>13.570910149122641</v>
      </c>
      <c r="FX18" s="432">
        <f>FX87/365*FX77</f>
        <v>13.882381522136363</v>
      </c>
      <c r="FY18" s="432">
        <f>FY87/365*FY77</f>
        <v>14.20223502301546</v>
      </c>
      <c r="FZ18" s="432">
        <f t="shared" si="5"/>
        <v>14.20223502301546</v>
      </c>
      <c r="GA18" s="36"/>
      <c r="GB18" s="432">
        <f>GB87/365*GB77</f>
        <v>14.491369515080136</v>
      </c>
      <c r="GC18" s="432">
        <f>GC87/365*GC77</f>
        <v>14.798579372874126</v>
      </c>
      <c r="GD18" s="432">
        <f>GD87/365*GD77</f>
        <v>15.120695354151987</v>
      </c>
      <c r="GE18" s="432">
        <f>GE87/365*GE77</f>
        <v>15.451479924508922</v>
      </c>
      <c r="GF18" s="432">
        <f t="shared" si="6"/>
        <v>15.451479924508922</v>
      </c>
      <c r="GG18" s="36"/>
      <c r="GH18" s="432">
        <f>GH87/365*GH77</f>
        <v>15.741013583872586</v>
      </c>
      <c r="GI18" s="432">
        <f>GI87/365*GI77</f>
        <v>16.048647563079019</v>
      </c>
      <c r="GJ18" s="432">
        <f>GJ87/365*GJ77</f>
        <v>16.371208244556048</v>
      </c>
      <c r="GK18" s="432">
        <f>GK87/365*GK77</f>
        <v>16.70244948261303</v>
      </c>
      <c r="GL18" s="432">
        <f t="shared" si="7"/>
        <v>16.70244948261303</v>
      </c>
      <c r="GM18" s="36"/>
      <c r="GN18" s="432">
        <f>GN87/365*GN77</f>
        <v>16.996095426475936</v>
      </c>
      <c r="GO18" s="432">
        <f>GO87/365*GO77</f>
        <v>17.308098771395873</v>
      </c>
      <c r="GP18" s="432">
        <f>GP87/365*GP77</f>
        <v>17.635240824494492</v>
      </c>
      <c r="GQ18" s="432">
        <f>GQ87/365*GQ77</f>
        <v>17.97118672525551</v>
      </c>
      <c r="GR18" s="432">
        <f t="shared" si="8"/>
        <v>17.97118672525551</v>
      </c>
      <c r="GS18" s="36"/>
      <c r="GT18" s="432">
        <f>GT87/365*GT77</f>
        <v>18.266341429454346</v>
      </c>
      <c r="GU18" s="432">
        <f>GU87/365*GU77</f>
        <v>18.579947855504241</v>
      </c>
      <c r="GV18" s="432">
        <f>GV87/365*GV77</f>
        <v>18.908770772800871</v>
      </c>
      <c r="GW18" s="432">
        <f>GW87/365*GW77</f>
        <v>19.246442772153348</v>
      </c>
      <c r="GX18" s="432">
        <f t="shared" si="9"/>
        <v>19.246442772153348</v>
      </c>
      <c r="GY18" s="36"/>
      <c r="GZ18" s="432">
        <f>GZ87/365*GZ77</f>
        <v>19.540269296813804</v>
      </c>
      <c r="HA18" s="432">
        <f>HA87/365*HA77</f>
        <v>19.852464511616649</v>
      </c>
      <c r="HB18" s="432">
        <f>HB87/365*HB77</f>
        <v>20.179807744312996</v>
      </c>
      <c r="HC18" s="432">
        <f>HC87/365*HC77</f>
        <v>20.515960238694539</v>
      </c>
      <c r="HD18" s="432">
        <f t="shared" si="10"/>
        <v>20.515960238694539</v>
      </c>
      <c r="HF18" s="432">
        <f>HF87/365*HF77</f>
        <v>20.805426069424779</v>
      </c>
      <c r="HG18" s="432">
        <f>HG87/365*HG77</f>
        <v>21.11298797966192</v>
      </c>
      <c r="HH18" s="432">
        <f>HH87/365*HH77</f>
        <v>21.43547309531262</v>
      </c>
      <c r="HI18" s="432">
        <f>HI87/365*HI77</f>
        <v>21.766636733961782</v>
      </c>
      <c r="HJ18" s="432">
        <f t="shared" si="11"/>
        <v>21.766636733961782</v>
      </c>
    </row>
    <row r="19" spans="1:218">
      <c r="A19" s="30" t="s">
        <v>44</v>
      </c>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102">
        <f>SUM(DH11:DH18)</f>
        <v>87.770999999999987</v>
      </c>
      <c r="DI19" s="102">
        <f>SUM(DI11:DI18)</f>
        <v>83.259</v>
      </c>
      <c r="DJ19" s="102">
        <f>SUM(DJ11:DJ18)</f>
        <v>194.27</v>
      </c>
      <c r="DK19" s="102">
        <f>SUM(DK11:DK18)</f>
        <v>103.66800000000001</v>
      </c>
      <c r="DL19" s="102">
        <f>SUM(DL11:DL18)</f>
        <v>103.66800000000001</v>
      </c>
      <c r="DM19" s="102"/>
      <c r="DN19" s="102">
        <f>SUM(DN11:DN18)</f>
        <v>115.94500000000001</v>
      </c>
      <c r="DO19" s="102">
        <f>SUM(DO11:DO18)</f>
        <v>276.34500000000003</v>
      </c>
      <c r="DP19" s="102">
        <f>SUM(DP11:DP18)</f>
        <v>292.00100000000003</v>
      </c>
      <c r="DQ19" s="102">
        <f>SUM(DQ11:DQ18)</f>
        <v>290.73799999999994</v>
      </c>
      <c r="DR19" s="102">
        <f>SUM(DR11:DR18)</f>
        <v>290.73799999999994</v>
      </c>
      <c r="DS19" s="102"/>
      <c r="DT19" s="102">
        <f>SUM(DT11:DT18)</f>
        <v>254.18</v>
      </c>
      <c r="DU19" s="102">
        <f>SUM(DU11:DU18)</f>
        <v>455.03000000000009</v>
      </c>
      <c r="DV19" s="102">
        <f>SUM(DV11:DV18)</f>
        <v>454.37800000000004</v>
      </c>
      <c r="DW19" s="102">
        <f>SUM(DW11:DW18)</f>
        <v>470.64900000000006</v>
      </c>
      <c r="DX19" s="102">
        <f>SUM(DX11:DX18)</f>
        <v>470.64900000000006</v>
      </c>
      <c r="DY19" s="102"/>
      <c r="DZ19" s="102">
        <f>SUM(DZ11:DZ18)</f>
        <v>953.851</v>
      </c>
      <c r="EA19" s="102">
        <f>SUM(EA11:EA18)</f>
        <v>725.89799999999991</v>
      </c>
      <c r="EB19" s="102">
        <f>SUM(EB11:EB18)</f>
        <v>713.09100000000001</v>
      </c>
      <c r="EC19" s="102">
        <f>SUM(EC11:EC18)</f>
        <v>681.50799999999992</v>
      </c>
      <c r="ED19" s="102">
        <f>SUM(ED11:ED18)</f>
        <v>681.50799999999992</v>
      </c>
      <c r="EE19" s="102"/>
      <c r="EF19" s="102">
        <f>SUM(EF11:EF18)</f>
        <v>651.1</v>
      </c>
      <c r="EG19" s="102">
        <f>SUM(EG11:EG18)</f>
        <v>622.25999999999988</v>
      </c>
      <c r="EH19" s="102">
        <f>SUM(EH11:EH18)</f>
        <v>603.3599999999999</v>
      </c>
      <c r="EI19" s="102">
        <f>SUM(EI11:EI18)</f>
        <v>605.29100000000005</v>
      </c>
      <c r="EJ19" s="102">
        <f>SUM(EJ11:EJ18)</f>
        <v>605.29100000000005</v>
      </c>
      <c r="EK19" s="102"/>
      <c r="EL19" s="102">
        <f>SUM(EL11:EL18)</f>
        <v>584.99599999999987</v>
      </c>
      <c r="EM19" s="102">
        <f>SUM(EM11:EM18)</f>
        <v>584.72</v>
      </c>
      <c r="EN19" s="102">
        <f>SUM(EN11:EN18)</f>
        <v>586.95000000000005</v>
      </c>
      <c r="EO19" s="102">
        <f>SUM(EO11:EO18)</f>
        <v>596.8119999999999</v>
      </c>
      <c r="EP19" s="102">
        <f>SUM(EP11:EP18)</f>
        <v>596.8119999999999</v>
      </c>
      <c r="EQ19" s="102"/>
      <c r="ER19" s="102">
        <f>SUM(ER11:ER18)</f>
        <v>573.89599999999996</v>
      </c>
      <c r="ES19" s="102">
        <f>SUM(ES11:ES18)</f>
        <v>584.20299999999986</v>
      </c>
      <c r="ET19" s="102">
        <f>SUM(ET11:ET18)</f>
        <v>590.24099999999999</v>
      </c>
      <c r="EU19" s="102">
        <f>SUM(EU11:EU18)</f>
        <v>596.01900000000001</v>
      </c>
      <c r="EV19" s="102">
        <f>SUM(EV11:EV18)</f>
        <v>596.01900000000001</v>
      </c>
      <c r="EW19" s="30"/>
      <c r="EX19" s="102">
        <f>SUM(EX11:EX18)</f>
        <v>573.93200000000013</v>
      </c>
      <c r="EY19" s="102">
        <f>SUM(EY11:EY18)</f>
        <v>392.55300000000005</v>
      </c>
      <c r="EZ19" s="102">
        <f>SUM(EZ11:EZ18)</f>
        <v>382.46499999999997</v>
      </c>
      <c r="FA19" s="102">
        <f>SUM(FA11:FA18)</f>
        <v>384.84260879036032</v>
      </c>
      <c r="FB19" s="543">
        <f>SUM(FB11:FB18)</f>
        <v>384.84260879036032</v>
      </c>
      <c r="FC19" s="30"/>
      <c r="FD19" s="543">
        <f>SUM(FD11:FD18)</f>
        <v>387.91600704414344</v>
      </c>
      <c r="FE19" s="102">
        <f>SUM(FE11:FE18)</f>
        <v>393.47843502923547</v>
      </c>
      <c r="FF19" s="102">
        <f>SUM(FF11:FF18)</f>
        <v>404.161934866016</v>
      </c>
      <c r="FG19" s="102">
        <f>SUM(FG11:FG18)</f>
        <v>417.35816634435076</v>
      </c>
      <c r="FH19" s="102">
        <f>SUM(FH11:FH18)</f>
        <v>417.35816634435076</v>
      </c>
      <c r="FI19" s="30"/>
      <c r="FJ19" s="102">
        <f>SUM(FJ11:FJ18)</f>
        <v>430.21747269130577</v>
      </c>
      <c r="FK19" s="102">
        <f>SUM(FK11:FK18)</f>
        <v>442.53280576885084</v>
      </c>
      <c r="FL19" s="102">
        <f>SUM(FL11:FL18)</f>
        <v>455.42260927134009</v>
      </c>
      <c r="FM19" s="102">
        <f>SUM(FM11:FM18)</f>
        <v>811.65283710018002</v>
      </c>
      <c r="FN19" s="102">
        <f>SUM(FN11:FN18)</f>
        <v>811.65283710018002</v>
      </c>
      <c r="FO19" s="30"/>
      <c r="FP19" s="102">
        <f>SUM(FP11:FP18)</f>
        <v>827.78789594282523</v>
      </c>
      <c r="FQ19" s="102">
        <f>SUM(FQ11:FQ18)</f>
        <v>843.885305558499</v>
      </c>
      <c r="FR19" s="102">
        <f>SUM(FR11:FR18)</f>
        <v>860.93786758238059</v>
      </c>
      <c r="FS19" s="102">
        <f>SUM(FS11:FS18)</f>
        <v>533.33152933370104</v>
      </c>
      <c r="FT19" s="102">
        <f>SUM(FT11:FT18)</f>
        <v>533.33152933370104</v>
      </c>
      <c r="FU19" s="30"/>
      <c r="FV19" s="102">
        <f>SUM(FV11:FV18)</f>
        <v>552.39403035003158</v>
      </c>
      <c r="FW19" s="102">
        <f>SUM(FW11:FW18)</f>
        <v>569.07379428132845</v>
      </c>
      <c r="FX19" s="102">
        <f>SUM(FX11:FX18)</f>
        <v>586.88506679003592</v>
      </c>
      <c r="FY19" s="102">
        <f>SUM(FY11:FY18)</f>
        <v>605.42533873798141</v>
      </c>
      <c r="FZ19" s="102">
        <f>SUM(FZ11:FZ18)</f>
        <v>605.42533873798141</v>
      </c>
      <c r="GA19" s="30"/>
      <c r="GB19" s="102">
        <f>SUM(GB11:GB18)</f>
        <v>631.11335312399285</v>
      </c>
      <c r="GC19" s="102">
        <f>SUM(GC11:GC18)</f>
        <v>654.31981819905343</v>
      </c>
      <c r="GD19" s="102">
        <f>SUM(GD11:GD18)</f>
        <v>678.99475735219323</v>
      </c>
      <c r="GE19" s="102">
        <f>SUM(GE11:GE18)</f>
        <v>704.61263531221732</v>
      </c>
      <c r="GF19" s="102">
        <f>SUM(GF11:GF18)</f>
        <v>704.61263531221732</v>
      </c>
      <c r="GG19" s="30"/>
      <c r="GH19" s="102">
        <f>SUM(GH11:GH18)</f>
        <v>737.00985584898217</v>
      </c>
      <c r="GI19" s="102">
        <f>SUM(GI11:GI18)</f>
        <v>767.07952557156773</v>
      </c>
      <c r="GJ19" s="102">
        <f>SUM(GJ11:GJ18)</f>
        <v>799.03133044341416</v>
      </c>
      <c r="GK19" s="102">
        <f>SUM(GK11:GK18)</f>
        <v>488.92536946539065</v>
      </c>
      <c r="GL19" s="102">
        <f>SUM(GL11:GL18)</f>
        <v>488.92536946539065</v>
      </c>
      <c r="GM19" s="30"/>
      <c r="GN19" s="102">
        <f>SUM(GN11:GN18)</f>
        <v>530.97624100351277</v>
      </c>
      <c r="GO19" s="102">
        <f>SUM(GO11:GO18)</f>
        <v>570.86533000856468</v>
      </c>
      <c r="GP19" s="102">
        <f>SUM(GP11:GP18)</f>
        <v>613.05358285079512</v>
      </c>
      <c r="GQ19" s="102">
        <f>SUM(GQ11:GQ18)</f>
        <v>656.72523833525656</v>
      </c>
      <c r="GR19" s="102">
        <f>SUM(GR11:GR18)</f>
        <v>656.72523833525656</v>
      </c>
      <c r="GS19" s="30"/>
      <c r="GT19" s="102">
        <f>SUM(GT11:GT18)</f>
        <v>706.6488686461488</v>
      </c>
      <c r="GU19" s="102">
        <f>SUM(GU11:GU18)</f>
        <v>754.63165711351439</v>
      </c>
      <c r="GV19" s="102">
        <f>SUM(GV11:GV18)</f>
        <v>805.37877011314492</v>
      </c>
      <c r="GW19" s="102">
        <f>SUM(GW11:GW18)</f>
        <v>857.91796237263407</v>
      </c>
      <c r="GX19" s="102">
        <f>SUM(GX11:GX18)</f>
        <v>857.91796237263407</v>
      </c>
      <c r="GY19" s="30"/>
      <c r="GZ19" s="102">
        <f>SUM(GZ11:GZ18)</f>
        <v>916.85057109533659</v>
      </c>
      <c r="HA19" s="102">
        <f>SUM(HA11:HA18)</f>
        <v>974.11782761690017</v>
      </c>
      <c r="HB19" s="102">
        <f>SUM(HB11:HB18)</f>
        <v>1034.6567679405716</v>
      </c>
      <c r="HC19" s="102">
        <f>SUM(HC11:HC18)</f>
        <v>1097.321642349307</v>
      </c>
      <c r="HD19" s="102">
        <f>SUM(HD11:HD18)</f>
        <v>1097.321642349307</v>
      </c>
      <c r="HF19" s="102">
        <f>SUM(HF11:HF18)</f>
        <v>1166.0948176625845</v>
      </c>
      <c r="HG19" s="102">
        <f>SUM(HG11:HG18)</f>
        <v>1233.5208525369483</v>
      </c>
      <c r="HH19" s="102">
        <f>SUM(HH11:HH18)</f>
        <v>1304.755366382562</v>
      </c>
      <c r="HI19" s="102">
        <f>SUM(HI11:HI18)</f>
        <v>1378.4678122372288</v>
      </c>
      <c r="HJ19" s="102">
        <f>SUM(HJ11:HJ18)</f>
        <v>1378.4678122372288</v>
      </c>
    </row>
    <row r="20" spans="1:218" ht="9.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c r="EO20" s="102"/>
      <c r="EP20" s="102"/>
      <c r="EQ20" s="102"/>
      <c r="ER20" s="102"/>
      <c r="ES20" s="102"/>
      <c r="ET20" s="102"/>
      <c r="EU20" s="102"/>
      <c r="EV20" s="102"/>
      <c r="EW20" s="30"/>
      <c r="EX20" s="102"/>
      <c r="EY20" s="102"/>
      <c r="EZ20" s="102"/>
      <c r="FA20" s="102"/>
      <c r="FB20" s="543"/>
      <c r="FC20" s="30"/>
      <c r="FD20" s="543"/>
      <c r="FE20" s="102"/>
      <c r="FF20" s="102"/>
      <c r="FG20" s="102"/>
      <c r="FH20" s="102"/>
      <c r="FI20" s="30"/>
      <c r="FJ20" s="102"/>
      <c r="FK20" s="102"/>
      <c r="FL20" s="102"/>
      <c r="FM20" s="102"/>
      <c r="FN20" s="102"/>
      <c r="FO20" s="30"/>
      <c r="FP20" s="102"/>
      <c r="FQ20" s="102"/>
      <c r="FR20" s="102"/>
      <c r="FS20" s="102"/>
      <c r="FT20" s="102"/>
      <c r="FU20" s="30"/>
      <c r="FV20" s="102"/>
      <c r="FW20" s="102"/>
      <c r="FX20" s="102"/>
      <c r="FY20" s="102"/>
      <c r="FZ20" s="102"/>
      <c r="GA20" s="30"/>
      <c r="GB20" s="102"/>
      <c r="GC20" s="102"/>
      <c r="GD20" s="102"/>
      <c r="GE20" s="102"/>
      <c r="GF20" s="102"/>
      <c r="GG20" s="30"/>
      <c r="GH20" s="102"/>
      <c r="GI20" s="102"/>
      <c r="GJ20" s="102"/>
      <c r="GK20" s="102"/>
      <c r="GL20" s="102"/>
      <c r="GM20" s="30"/>
      <c r="GN20" s="102"/>
      <c r="GO20" s="102"/>
      <c r="GP20" s="102"/>
      <c r="GQ20" s="102"/>
      <c r="GR20" s="102"/>
      <c r="GS20" s="30"/>
      <c r="GT20" s="102"/>
      <c r="GU20" s="102"/>
      <c r="GV20" s="102"/>
      <c r="GW20" s="102"/>
      <c r="GX20" s="102"/>
      <c r="GY20" s="30"/>
      <c r="GZ20" s="102"/>
      <c r="HA20" s="102"/>
      <c r="HB20" s="102"/>
      <c r="HC20" s="102"/>
      <c r="HD20" s="102"/>
      <c r="HF20" s="102"/>
      <c r="HG20" s="102"/>
      <c r="HH20" s="102"/>
      <c r="HI20" s="102"/>
      <c r="HJ20" s="102"/>
    </row>
    <row r="21" spans="1:218">
      <c r="A21" s="30"/>
      <c r="B21" s="30" t="s">
        <v>45</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102">
        <v>40.411000000000001</v>
      </c>
      <c r="DI21" s="102">
        <v>42.872999999999998</v>
      </c>
      <c r="DJ21" s="102">
        <v>41.003999999999998</v>
      </c>
      <c r="DK21" s="102">
        <v>60.887999999999998</v>
      </c>
      <c r="DL21" s="102">
        <f t="shared" ref="DL21:DL28" si="42">DK21</f>
        <v>60.887999999999998</v>
      </c>
      <c r="DM21" s="102"/>
      <c r="DN21" s="102">
        <v>60.695999999999998</v>
      </c>
      <c r="DO21" s="102">
        <v>59.334000000000003</v>
      </c>
      <c r="DP21" s="102">
        <v>62.488</v>
      </c>
      <c r="DQ21" s="102">
        <v>64.188000000000002</v>
      </c>
      <c r="DR21" s="102">
        <f t="shared" ref="DR21:DR28" si="43">DQ21</f>
        <v>64.188000000000002</v>
      </c>
      <c r="DS21" s="102"/>
      <c r="DT21" s="102">
        <v>83.391999999999996</v>
      </c>
      <c r="DU21" s="102">
        <v>83.968999999999994</v>
      </c>
      <c r="DV21" s="102">
        <v>85.448999999999998</v>
      </c>
      <c r="DW21" s="102">
        <v>85.873000000000005</v>
      </c>
      <c r="DX21" s="102">
        <f t="shared" ref="DX21:DX28" si="44">DW21</f>
        <v>85.873000000000005</v>
      </c>
      <c r="DY21" s="102"/>
      <c r="DZ21" s="102">
        <v>94.314999999999998</v>
      </c>
      <c r="EA21" s="102">
        <v>112.208</v>
      </c>
      <c r="EB21" s="102">
        <v>107.172</v>
      </c>
      <c r="EC21" s="102">
        <v>109.465</v>
      </c>
      <c r="ED21" s="102">
        <f t="shared" ref="ED21:ED28" si="45">EC21</f>
        <v>109.465</v>
      </c>
      <c r="EE21" s="102"/>
      <c r="EF21" s="102">
        <v>108.94199999999999</v>
      </c>
      <c r="EG21" s="102">
        <v>111.105</v>
      </c>
      <c r="EH21" s="102">
        <v>106.818</v>
      </c>
      <c r="EI21" s="102">
        <v>102.499</v>
      </c>
      <c r="EJ21" s="102">
        <f t="shared" ref="EJ21:EJ28" si="46">EI21</f>
        <v>102.499</v>
      </c>
      <c r="EK21" s="102"/>
      <c r="EL21" s="102">
        <v>102.845</v>
      </c>
      <c r="EM21" s="102">
        <v>100.11</v>
      </c>
      <c r="EN21" s="102">
        <v>94.516999999999996</v>
      </c>
      <c r="EO21" s="102">
        <v>92.012</v>
      </c>
      <c r="EP21" s="102">
        <f t="shared" ref="EP21:EP28" si="47">EO21</f>
        <v>92.012</v>
      </c>
      <c r="EQ21" s="102"/>
      <c r="ER21" s="102">
        <v>87.864999999999995</v>
      </c>
      <c r="ES21" s="102">
        <v>92.158000000000001</v>
      </c>
      <c r="ET21" s="102">
        <v>93.037999999999997</v>
      </c>
      <c r="EU21" s="102">
        <v>94.102999999999994</v>
      </c>
      <c r="EV21" s="102">
        <f t="shared" ref="EV21:EV29" si="48">EU21</f>
        <v>94.102999999999994</v>
      </c>
      <c r="EW21" s="30"/>
      <c r="EX21" s="102">
        <v>89.602999999999994</v>
      </c>
      <c r="EY21" s="102">
        <v>85.462000000000003</v>
      </c>
      <c r="EZ21" s="102">
        <v>85.47</v>
      </c>
      <c r="FA21" s="102">
        <f>'Other Accts'!FA55</f>
        <v>89.399699999999996</v>
      </c>
      <c r="FB21" s="543">
        <f t="shared" ref="FB21:FB29" si="49">FA21</f>
        <v>89.399699999999996</v>
      </c>
      <c r="FC21" s="30"/>
      <c r="FD21" s="543">
        <f>'Other Accts'!FD55</f>
        <v>88.515855000000002</v>
      </c>
      <c r="FE21" s="102">
        <f>'Other Accts'!FE55</f>
        <v>87.720394499999998</v>
      </c>
      <c r="FF21" s="102">
        <f>'Other Accts'!FF55</f>
        <v>87.004480049999998</v>
      </c>
      <c r="FG21" s="102">
        <f>'Other Accts'!FG55</f>
        <v>86.360157044999994</v>
      </c>
      <c r="FH21" s="102">
        <f t="shared" ref="FH21:FH26" si="50">FG21</f>
        <v>86.360157044999994</v>
      </c>
      <c r="FI21" s="30"/>
      <c r="FJ21" s="102">
        <f>'Other Accts'!FJ55</f>
        <v>86.465036965500005</v>
      </c>
      <c r="FK21" s="102">
        <f>'Other Accts'!FK55</f>
        <v>86.559428893950013</v>
      </c>
      <c r="FL21" s="102">
        <f>'Other Accts'!FL55</f>
        <v>86.644381629555014</v>
      </c>
      <c r="FM21" s="102">
        <f>'Other Accts'!FM55</f>
        <v>86.720839091599501</v>
      </c>
      <c r="FN21" s="102">
        <f t="shared" ref="FN21:FN29" si="51">FM21</f>
        <v>86.720839091599501</v>
      </c>
      <c r="FO21" s="30"/>
      <c r="FP21" s="102">
        <f>'Other Accts'!FP55</f>
        <v>87.532626935564551</v>
      </c>
      <c r="FQ21" s="102">
        <f>'Other Accts'!FQ55</f>
        <v>88.263235995133101</v>
      </c>
      <c r="FR21" s="102">
        <f>'Other Accts'!FR55</f>
        <v>88.920784148744801</v>
      </c>
      <c r="FS21" s="102">
        <f>'Other Accts'!FS55</f>
        <v>89.512577486995312</v>
      </c>
      <c r="FT21" s="102">
        <f t="shared" ref="FT21:FT26" si="52">FS21</f>
        <v>89.512577486995312</v>
      </c>
      <c r="FU21" s="30"/>
      <c r="FV21" s="102">
        <f>'Other Accts'!FV55</f>
        <v>90.851320590436401</v>
      </c>
      <c r="FW21" s="102">
        <f>'Other Accts'!FW55</f>
        <v>92.056189383533379</v>
      </c>
      <c r="FX21" s="102">
        <f>'Other Accts'!FX55</f>
        <v>93.140571297320662</v>
      </c>
      <c r="FY21" s="102">
        <f>'Other Accts'!FY55</f>
        <v>94.116515019729221</v>
      </c>
      <c r="FZ21" s="102">
        <f t="shared" ref="FZ21:FZ29" si="53">FY21</f>
        <v>94.116515019729221</v>
      </c>
      <c r="GA21" s="30"/>
      <c r="GB21" s="102">
        <f>'Other Accts'!GB55</f>
        <v>95.425674097688471</v>
      </c>
      <c r="GC21" s="102">
        <f>'Other Accts'!GC55</f>
        <v>96.598462438360286</v>
      </c>
      <c r="GD21" s="102">
        <f>'Other Accts'!GD55</f>
        <v>97.64908532687879</v>
      </c>
      <c r="GE21" s="102">
        <f>'Other Accts'!GE55</f>
        <v>98.590268331176617</v>
      </c>
      <c r="GF21" s="102">
        <f t="shared" ref="GF21:GF26" si="54">GE21</f>
        <v>98.590268331176617</v>
      </c>
      <c r="GG21" s="30"/>
      <c r="GH21" s="102">
        <f>'Other Accts'!GH55</f>
        <v>100.37801327089048</v>
      </c>
      <c r="GI21" s="102">
        <f>'Other Accts'!GI55</f>
        <v>101.97953477938415</v>
      </c>
      <c r="GJ21" s="102">
        <f>'Other Accts'!GJ55</f>
        <v>103.41423113074306</v>
      </c>
      <c r="GK21" s="102">
        <f>'Other Accts'!GK55</f>
        <v>104.69947994550209</v>
      </c>
      <c r="GL21" s="102">
        <f t="shared" ref="GL21:GL26" si="55">GK21</f>
        <v>104.69947994550209</v>
      </c>
      <c r="GM21" s="30"/>
      <c r="GN21" s="102">
        <f>'Other Accts'!GN55</f>
        <v>106.33541940968369</v>
      </c>
      <c r="GO21" s="102">
        <f>'Other Accts'!GO55</f>
        <v>107.79353936688904</v>
      </c>
      <c r="GP21" s="102">
        <f>'Other Accts'!GP55</f>
        <v>109.09316802439814</v>
      </c>
      <c r="GQ21" s="102">
        <f>'Other Accts'!GQ55</f>
        <v>110.25153269739539</v>
      </c>
      <c r="GR21" s="102">
        <f t="shared" ref="GR21:GR29" si="56">GQ21</f>
        <v>110.25153269739539</v>
      </c>
      <c r="GS21" s="30"/>
      <c r="GT21" s="102">
        <f>'Other Accts'!GT55</f>
        <v>112.39037517293183</v>
      </c>
      <c r="GU21" s="102">
        <f>'Other Accts'!GU55</f>
        <v>114.29673477069257</v>
      </c>
      <c r="GV21" s="102">
        <f>'Other Accts'!GV55</f>
        <v>115.9958813686967</v>
      </c>
      <c r="GW21" s="102">
        <f>'Other Accts'!GW55</f>
        <v>117.5103381190917</v>
      </c>
      <c r="GX21" s="102">
        <f t="shared" ref="GX21:GX26" si="57">GW21</f>
        <v>117.5103381190917</v>
      </c>
      <c r="GY21" s="30"/>
      <c r="GZ21" s="102">
        <f>'Other Accts'!GZ55</f>
        <v>120.06060990695985</v>
      </c>
      <c r="HA21" s="102">
        <f>'Other Accts'!HA55</f>
        <v>122.33367823962494</v>
      </c>
      <c r="HB21" s="102">
        <f>'Other Accts'!HB55</f>
        <v>124.35967392743514</v>
      </c>
      <c r="HC21" s="102">
        <f>'Other Accts'!HC55</f>
        <v>126.16545269265725</v>
      </c>
      <c r="HD21" s="102">
        <f t="shared" ref="HD21:HD29" si="58">HC21</f>
        <v>126.16545269265725</v>
      </c>
      <c r="HF21" s="102">
        <f>'Other Accts'!HF55</f>
        <v>129.07741760059824</v>
      </c>
      <c r="HG21" s="102">
        <f>'Other Accts'!HG55</f>
        <v>131.67286458376304</v>
      </c>
      <c r="HH21" s="102">
        <f>'Other Accts'!HH55</f>
        <v>133.98619776440992</v>
      </c>
      <c r="HI21" s="102">
        <f>'Other Accts'!HI55</f>
        <v>136.04808168629083</v>
      </c>
      <c r="HJ21" s="102">
        <f t="shared" ref="HJ21:HJ29" si="59">HI21</f>
        <v>136.04808168629083</v>
      </c>
    </row>
    <row r="22" spans="1:218" outlineLevel="1">
      <c r="A22" s="30"/>
      <c r="B22" s="30" t="s">
        <v>46</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102">
        <v>0</v>
      </c>
      <c r="DI22" s="102">
        <v>0</v>
      </c>
      <c r="DJ22" s="102">
        <v>0</v>
      </c>
      <c r="DK22" s="102">
        <v>0</v>
      </c>
      <c r="DL22" s="102">
        <f t="shared" si="42"/>
        <v>0</v>
      </c>
      <c r="DM22" s="102"/>
      <c r="DN22" s="102">
        <v>19.734000000000002</v>
      </c>
      <c r="DO22" s="102">
        <v>26.056999999999999</v>
      </c>
      <c r="DP22" s="102">
        <v>25.797000000000001</v>
      </c>
      <c r="DQ22" s="102">
        <v>26.492000000000001</v>
      </c>
      <c r="DR22" s="102">
        <f t="shared" si="43"/>
        <v>26.492000000000001</v>
      </c>
      <c r="DS22" s="102"/>
      <c r="DT22" s="102">
        <v>49.084000000000003</v>
      </c>
      <c r="DU22" s="102">
        <v>47.554000000000002</v>
      </c>
      <c r="DV22" s="102">
        <v>45.856000000000002</v>
      </c>
      <c r="DW22" s="102">
        <v>45.786000000000001</v>
      </c>
      <c r="DX22" s="102">
        <f t="shared" si="44"/>
        <v>45.786000000000001</v>
      </c>
      <c r="DY22" s="102"/>
      <c r="DZ22" s="102">
        <v>50.904000000000003</v>
      </c>
      <c r="EA22" s="102">
        <v>54.558</v>
      </c>
      <c r="EB22" s="102">
        <v>102.31</v>
      </c>
      <c r="EC22" s="102">
        <v>102.197</v>
      </c>
      <c r="ED22" s="102">
        <f t="shared" si="45"/>
        <v>102.197</v>
      </c>
      <c r="EE22" s="102"/>
      <c r="EF22" s="102">
        <v>101.955</v>
      </c>
      <c r="EG22" s="102">
        <v>99.917000000000002</v>
      </c>
      <c r="EH22" s="102">
        <v>98.944999999999993</v>
      </c>
      <c r="EI22" s="102">
        <v>96.108999999999995</v>
      </c>
      <c r="EJ22" s="102">
        <f t="shared" si="46"/>
        <v>96.108999999999995</v>
      </c>
      <c r="EK22" s="102"/>
      <c r="EL22" s="102">
        <v>93.784000000000006</v>
      </c>
      <c r="EM22" s="102">
        <v>91.412000000000006</v>
      </c>
      <c r="EN22" s="102">
        <v>87.131</v>
      </c>
      <c r="EO22" s="102">
        <v>91.769000000000005</v>
      </c>
      <c r="EP22" s="102">
        <f t="shared" si="47"/>
        <v>91.769000000000005</v>
      </c>
      <c r="EQ22" s="102"/>
      <c r="ER22" s="102">
        <v>86.578000000000003</v>
      </c>
      <c r="ES22" s="102">
        <v>83.671000000000006</v>
      </c>
      <c r="ET22" s="102">
        <v>81.441999999999993</v>
      </c>
      <c r="EU22" s="102">
        <v>79.582999999999998</v>
      </c>
      <c r="EV22" s="102">
        <f>EU22</f>
        <v>79.582999999999998</v>
      </c>
      <c r="EW22" s="30"/>
      <c r="EX22" s="102">
        <v>77.802999999999997</v>
      </c>
      <c r="EY22" s="102">
        <v>82.87</v>
      </c>
      <c r="EZ22" s="102">
        <v>80.150000000000006</v>
      </c>
      <c r="FA22" s="102">
        <f>EZ22</f>
        <v>80.150000000000006</v>
      </c>
      <c r="FB22" s="543">
        <f t="shared" si="49"/>
        <v>80.150000000000006</v>
      </c>
      <c r="FC22" s="30"/>
      <c r="FD22" s="543">
        <f>FA22</f>
        <v>80.150000000000006</v>
      </c>
      <c r="FE22" s="102">
        <f>FD22</f>
        <v>80.150000000000006</v>
      </c>
      <c r="FF22" s="102">
        <f>FE22</f>
        <v>80.150000000000006</v>
      </c>
      <c r="FG22" s="102">
        <f>FF22</f>
        <v>80.150000000000006</v>
      </c>
      <c r="FH22" s="102">
        <f t="shared" si="50"/>
        <v>80.150000000000006</v>
      </c>
      <c r="FI22" s="30"/>
      <c r="FJ22" s="102">
        <f>FG22</f>
        <v>80.150000000000006</v>
      </c>
      <c r="FK22" s="102">
        <f>FJ22</f>
        <v>80.150000000000006</v>
      </c>
      <c r="FL22" s="102">
        <f>FK22</f>
        <v>80.150000000000006</v>
      </c>
      <c r="FM22" s="102">
        <f>FL22</f>
        <v>80.150000000000006</v>
      </c>
      <c r="FN22" s="102">
        <f t="shared" si="51"/>
        <v>80.150000000000006</v>
      </c>
      <c r="FO22" s="30"/>
      <c r="FP22" s="102">
        <f>FM22</f>
        <v>80.150000000000006</v>
      </c>
      <c r="FQ22" s="102">
        <f>FP22</f>
        <v>80.150000000000006</v>
      </c>
      <c r="FR22" s="102">
        <f>FQ22</f>
        <v>80.150000000000006</v>
      </c>
      <c r="FS22" s="102">
        <f>FR22</f>
        <v>80.150000000000006</v>
      </c>
      <c r="FT22" s="102">
        <f t="shared" si="52"/>
        <v>80.150000000000006</v>
      </c>
      <c r="FU22" s="30"/>
      <c r="FV22" s="102">
        <f>FS22</f>
        <v>80.150000000000006</v>
      </c>
      <c r="FW22" s="102">
        <f>FV22</f>
        <v>80.150000000000006</v>
      </c>
      <c r="FX22" s="102">
        <f>FW22</f>
        <v>80.150000000000006</v>
      </c>
      <c r="FY22" s="102">
        <f>FX22</f>
        <v>80.150000000000006</v>
      </c>
      <c r="FZ22" s="102">
        <f t="shared" si="53"/>
        <v>80.150000000000006</v>
      </c>
      <c r="GA22" s="30"/>
      <c r="GB22" s="102">
        <f>FY22</f>
        <v>80.150000000000006</v>
      </c>
      <c r="GC22" s="102">
        <f>GB22</f>
        <v>80.150000000000006</v>
      </c>
      <c r="GD22" s="102">
        <f>GC22</f>
        <v>80.150000000000006</v>
      </c>
      <c r="GE22" s="102">
        <f>GD22</f>
        <v>80.150000000000006</v>
      </c>
      <c r="GF22" s="102">
        <f t="shared" si="54"/>
        <v>80.150000000000006</v>
      </c>
      <c r="GG22" s="30"/>
      <c r="GH22" s="102">
        <f>GE22</f>
        <v>80.150000000000006</v>
      </c>
      <c r="GI22" s="102">
        <f>GH22</f>
        <v>80.150000000000006</v>
      </c>
      <c r="GJ22" s="102">
        <f>GI22</f>
        <v>80.150000000000006</v>
      </c>
      <c r="GK22" s="102">
        <f>GJ22</f>
        <v>80.150000000000006</v>
      </c>
      <c r="GL22" s="102">
        <f t="shared" si="55"/>
        <v>80.150000000000006</v>
      </c>
      <c r="GM22" s="30"/>
      <c r="GN22" s="102">
        <f>GK22</f>
        <v>80.150000000000006</v>
      </c>
      <c r="GO22" s="102">
        <f>GN22</f>
        <v>80.150000000000006</v>
      </c>
      <c r="GP22" s="102">
        <f>GO22</f>
        <v>80.150000000000006</v>
      </c>
      <c r="GQ22" s="102">
        <f>GP22</f>
        <v>80.150000000000006</v>
      </c>
      <c r="GR22" s="102">
        <f t="shared" si="56"/>
        <v>80.150000000000006</v>
      </c>
      <c r="GS22" s="30"/>
      <c r="GT22" s="102">
        <f>GQ22</f>
        <v>80.150000000000006</v>
      </c>
      <c r="GU22" s="102">
        <f>GT22</f>
        <v>80.150000000000006</v>
      </c>
      <c r="GV22" s="102">
        <f>GU22</f>
        <v>80.150000000000006</v>
      </c>
      <c r="GW22" s="102">
        <f>GV22</f>
        <v>80.150000000000006</v>
      </c>
      <c r="GX22" s="102">
        <f t="shared" si="57"/>
        <v>80.150000000000006</v>
      </c>
      <c r="GY22" s="30"/>
      <c r="GZ22" s="102">
        <f>GW22</f>
        <v>80.150000000000006</v>
      </c>
      <c r="HA22" s="102">
        <f>GZ22</f>
        <v>80.150000000000006</v>
      </c>
      <c r="HB22" s="102">
        <f>HA22</f>
        <v>80.150000000000006</v>
      </c>
      <c r="HC22" s="102">
        <f>HB22</f>
        <v>80.150000000000006</v>
      </c>
      <c r="HD22" s="102">
        <f t="shared" si="58"/>
        <v>80.150000000000006</v>
      </c>
      <c r="HF22" s="102">
        <f>HC22</f>
        <v>80.150000000000006</v>
      </c>
      <c r="HG22" s="102">
        <f>HF22</f>
        <v>80.150000000000006</v>
      </c>
      <c r="HH22" s="102">
        <f>HG22</f>
        <v>80.150000000000006</v>
      </c>
      <c r="HI22" s="102">
        <f>HH22</f>
        <v>80.150000000000006</v>
      </c>
      <c r="HJ22" s="102">
        <f t="shared" si="59"/>
        <v>80.150000000000006</v>
      </c>
    </row>
    <row r="23" spans="1:218">
      <c r="A23" s="30"/>
      <c r="B23" s="30" t="s">
        <v>47</v>
      </c>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102">
        <v>147.01900000000001</v>
      </c>
      <c r="DI23" s="102">
        <v>147.01900000000001</v>
      </c>
      <c r="DJ23" s="102">
        <v>147.01900000000001</v>
      </c>
      <c r="DK23" s="102">
        <v>197.892</v>
      </c>
      <c r="DL23" s="102">
        <f t="shared" si="42"/>
        <v>197.892</v>
      </c>
      <c r="DM23" s="102"/>
      <c r="DN23" s="102">
        <v>196.298</v>
      </c>
      <c r="DO23" s="102">
        <v>196.298</v>
      </c>
      <c r="DP23" s="102">
        <v>198.571</v>
      </c>
      <c r="DQ23" s="102">
        <v>198.601</v>
      </c>
      <c r="DR23" s="102">
        <f t="shared" si="43"/>
        <v>198.601</v>
      </c>
      <c r="DS23" s="102"/>
      <c r="DT23" s="102">
        <v>210.833</v>
      </c>
      <c r="DU23" s="102">
        <v>210.833</v>
      </c>
      <c r="DV23" s="102">
        <v>210.833</v>
      </c>
      <c r="DW23" s="102">
        <v>211.083</v>
      </c>
      <c r="DX23" s="102">
        <f t="shared" si="44"/>
        <v>211.083</v>
      </c>
      <c r="DY23" s="102"/>
      <c r="DZ23" s="102">
        <v>211.083</v>
      </c>
      <c r="EA23" s="102">
        <v>499.97699999999998</v>
      </c>
      <c r="EB23" s="102">
        <v>525.80200000000002</v>
      </c>
      <c r="EC23" s="102">
        <v>527.11500000000001</v>
      </c>
      <c r="ED23" s="102">
        <f t="shared" si="45"/>
        <v>527.11500000000001</v>
      </c>
      <c r="EE23" s="102"/>
      <c r="EF23" s="102">
        <v>527.11500000000001</v>
      </c>
      <c r="EG23" s="102">
        <v>527.11500000000001</v>
      </c>
      <c r="EH23" s="102">
        <v>522.76599999999996</v>
      </c>
      <c r="EI23" s="102">
        <v>522.76599999999996</v>
      </c>
      <c r="EJ23" s="102">
        <f t="shared" si="46"/>
        <v>522.76599999999996</v>
      </c>
      <c r="EK23" s="102"/>
      <c r="EL23" s="102">
        <v>522.76599999999996</v>
      </c>
      <c r="EM23" s="102">
        <v>522.76599999999996</v>
      </c>
      <c r="EN23" s="102">
        <v>522.76599999999996</v>
      </c>
      <c r="EO23" s="102">
        <v>522.76599999999996</v>
      </c>
      <c r="EP23" s="102">
        <f t="shared" si="47"/>
        <v>522.76599999999996</v>
      </c>
      <c r="EQ23" s="102"/>
      <c r="ER23" s="102">
        <v>522.76599999999996</v>
      </c>
      <c r="ES23" s="102">
        <v>522.76599999999996</v>
      </c>
      <c r="ET23" s="102">
        <v>522.76599999999996</v>
      </c>
      <c r="EU23" s="102">
        <v>522.76599999999996</v>
      </c>
      <c r="EV23" s="102">
        <f>EU23</f>
        <v>522.76599999999996</v>
      </c>
      <c r="EW23" s="30"/>
      <c r="EX23" s="102">
        <v>522.76599999999996</v>
      </c>
      <c r="EY23" s="102">
        <v>524.14300000000003</v>
      </c>
      <c r="EZ23" s="102">
        <v>524.34400000000005</v>
      </c>
      <c r="FA23" s="102">
        <f>'Other Accts'!FA68</f>
        <v>524.34400000000005</v>
      </c>
      <c r="FB23" s="543">
        <f t="shared" si="49"/>
        <v>524.34400000000005</v>
      </c>
      <c r="FC23" s="30"/>
      <c r="FD23" s="543">
        <f>'Other Accts'!FD68</f>
        <v>524.34400000000005</v>
      </c>
      <c r="FE23" s="102">
        <f>'Other Accts'!FE68</f>
        <v>524.34400000000005</v>
      </c>
      <c r="FF23" s="102">
        <f>'Other Accts'!FF68</f>
        <v>524.34400000000005</v>
      </c>
      <c r="FG23" s="102">
        <f>'Other Accts'!FG68</f>
        <v>524.34400000000005</v>
      </c>
      <c r="FH23" s="102">
        <f t="shared" si="50"/>
        <v>524.34400000000005</v>
      </c>
      <c r="FI23" s="30"/>
      <c r="FJ23" s="102">
        <f>'Other Accts'!FJ68</f>
        <v>524.34400000000005</v>
      </c>
      <c r="FK23" s="102">
        <f>'Other Accts'!FK68</f>
        <v>524.34400000000005</v>
      </c>
      <c r="FL23" s="102">
        <f>'Other Accts'!FL68</f>
        <v>524.34400000000005</v>
      </c>
      <c r="FM23" s="102">
        <f>'Other Accts'!FM68</f>
        <v>524.34400000000005</v>
      </c>
      <c r="FN23" s="102">
        <f t="shared" si="51"/>
        <v>524.34400000000005</v>
      </c>
      <c r="FO23" s="30"/>
      <c r="FP23" s="102">
        <f>'Other Accts'!FP68</f>
        <v>524.34400000000005</v>
      </c>
      <c r="FQ23" s="102">
        <f>'Other Accts'!FQ68</f>
        <v>524.34400000000005</v>
      </c>
      <c r="FR23" s="102">
        <f>'Other Accts'!FR68</f>
        <v>524.34400000000005</v>
      </c>
      <c r="FS23" s="102">
        <f>'Other Accts'!FS68</f>
        <v>524.34400000000005</v>
      </c>
      <c r="FT23" s="102">
        <f t="shared" si="52"/>
        <v>524.34400000000005</v>
      </c>
      <c r="FU23" s="30"/>
      <c r="FV23" s="102">
        <f>'Other Accts'!FV68</f>
        <v>524.34400000000005</v>
      </c>
      <c r="FW23" s="102">
        <f>'Other Accts'!FW68</f>
        <v>524.34400000000005</v>
      </c>
      <c r="FX23" s="102">
        <f>'Other Accts'!FX68</f>
        <v>524.34400000000005</v>
      </c>
      <c r="FY23" s="102">
        <f>'Other Accts'!FY68</f>
        <v>524.34400000000005</v>
      </c>
      <c r="FZ23" s="102">
        <f t="shared" si="53"/>
        <v>524.34400000000005</v>
      </c>
      <c r="GA23" s="30"/>
      <c r="GB23" s="102">
        <f>'Other Accts'!GB68</f>
        <v>524.34400000000005</v>
      </c>
      <c r="GC23" s="102">
        <f>'Other Accts'!GC68</f>
        <v>524.34400000000005</v>
      </c>
      <c r="GD23" s="102">
        <f>'Other Accts'!GD68</f>
        <v>524.34400000000005</v>
      </c>
      <c r="GE23" s="102">
        <f>'Other Accts'!GE68</f>
        <v>524.34400000000005</v>
      </c>
      <c r="GF23" s="102">
        <f t="shared" si="54"/>
        <v>524.34400000000005</v>
      </c>
      <c r="GG23" s="30"/>
      <c r="GH23" s="102">
        <f>'Other Accts'!GH68</f>
        <v>524.34400000000005</v>
      </c>
      <c r="GI23" s="102">
        <f>'Other Accts'!GI68</f>
        <v>524.34400000000005</v>
      </c>
      <c r="GJ23" s="102">
        <f>'Other Accts'!GJ68</f>
        <v>524.34400000000005</v>
      </c>
      <c r="GK23" s="102">
        <f>'Other Accts'!GK68</f>
        <v>524.34400000000005</v>
      </c>
      <c r="GL23" s="102">
        <f t="shared" si="55"/>
        <v>524.34400000000005</v>
      </c>
      <c r="GM23" s="30"/>
      <c r="GN23" s="102">
        <f>'Other Accts'!GN68</f>
        <v>524.34400000000005</v>
      </c>
      <c r="GO23" s="102">
        <f>'Other Accts'!GO68</f>
        <v>524.34400000000005</v>
      </c>
      <c r="GP23" s="102">
        <f>'Other Accts'!GP68</f>
        <v>524.34400000000005</v>
      </c>
      <c r="GQ23" s="102">
        <f>'Other Accts'!GQ68</f>
        <v>524.34400000000005</v>
      </c>
      <c r="GR23" s="102">
        <f t="shared" si="56"/>
        <v>524.34400000000005</v>
      </c>
      <c r="GS23" s="30"/>
      <c r="GT23" s="102">
        <f>'Other Accts'!GT68</f>
        <v>524.34400000000005</v>
      </c>
      <c r="GU23" s="102">
        <f>'Other Accts'!GU68</f>
        <v>524.34400000000005</v>
      </c>
      <c r="GV23" s="102">
        <f>'Other Accts'!GV68</f>
        <v>524.34400000000005</v>
      </c>
      <c r="GW23" s="102">
        <f>'Other Accts'!GW68</f>
        <v>524.34400000000005</v>
      </c>
      <c r="GX23" s="102">
        <f t="shared" si="57"/>
        <v>524.34400000000005</v>
      </c>
      <c r="GY23" s="30"/>
      <c r="GZ23" s="102">
        <f>'Other Accts'!GZ68</f>
        <v>524.34400000000005</v>
      </c>
      <c r="HA23" s="102">
        <f>'Other Accts'!HA68</f>
        <v>524.34400000000005</v>
      </c>
      <c r="HB23" s="102">
        <f>'Other Accts'!HB68</f>
        <v>524.34400000000005</v>
      </c>
      <c r="HC23" s="102">
        <f>'Other Accts'!HC68</f>
        <v>524.34400000000005</v>
      </c>
      <c r="HD23" s="102">
        <f t="shared" si="58"/>
        <v>524.34400000000005</v>
      </c>
      <c r="HF23" s="102">
        <f>'Other Accts'!HF68</f>
        <v>524.34400000000005</v>
      </c>
      <c r="HG23" s="102">
        <f>'Other Accts'!HG68</f>
        <v>524.34400000000005</v>
      </c>
      <c r="HH23" s="102">
        <f>'Other Accts'!HH68</f>
        <v>524.34400000000005</v>
      </c>
      <c r="HI23" s="102">
        <f>'Other Accts'!HI68</f>
        <v>524.34400000000005</v>
      </c>
      <c r="HJ23" s="102">
        <f t="shared" si="59"/>
        <v>524.34400000000005</v>
      </c>
    </row>
    <row r="24" spans="1:218">
      <c r="A24" s="30"/>
      <c r="B24" s="30" t="s">
        <v>48</v>
      </c>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102">
        <v>72.751000000000005</v>
      </c>
      <c r="DI24" s="102">
        <v>71.33</v>
      </c>
      <c r="DJ24" s="102">
        <v>69.909000000000006</v>
      </c>
      <c r="DK24" s="102">
        <v>140.029</v>
      </c>
      <c r="DL24" s="102">
        <f t="shared" si="42"/>
        <v>140.029</v>
      </c>
      <c r="DM24" s="102"/>
      <c r="DN24" s="102">
        <v>137.84399999999999</v>
      </c>
      <c r="DO24" s="102">
        <v>135.30099999999999</v>
      </c>
      <c r="DP24" s="102">
        <v>129.084</v>
      </c>
      <c r="DQ24" s="102">
        <v>126.64</v>
      </c>
      <c r="DR24" s="102">
        <f t="shared" si="43"/>
        <v>126.64</v>
      </c>
      <c r="DS24" s="102"/>
      <c r="DT24" s="102">
        <v>128.28899999999999</v>
      </c>
      <c r="DU24" s="102">
        <v>125.821</v>
      </c>
      <c r="DV24" s="102">
        <v>123.35299999999999</v>
      </c>
      <c r="DW24" s="102">
        <v>120.65300000000001</v>
      </c>
      <c r="DX24" s="102">
        <f t="shared" si="44"/>
        <v>120.65300000000001</v>
      </c>
      <c r="DY24" s="102"/>
      <c r="DZ24" s="102">
        <v>118.19499999999999</v>
      </c>
      <c r="EA24" s="102">
        <v>471.03800000000001</v>
      </c>
      <c r="EB24" s="102">
        <v>450.80200000000002</v>
      </c>
      <c r="EC24" s="102">
        <v>442.32499999999999</v>
      </c>
      <c r="ED24" s="102">
        <f t="shared" si="45"/>
        <v>442.32499999999999</v>
      </c>
      <c r="EE24" s="102"/>
      <c r="EF24" s="102">
        <v>433.83499999999998</v>
      </c>
      <c r="EG24" s="102">
        <v>425.33800000000002</v>
      </c>
      <c r="EH24" s="102">
        <v>416.84800000000001</v>
      </c>
      <c r="EI24" s="102">
        <v>408.26</v>
      </c>
      <c r="EJ24" s="102">
        <f t="shared" si="46"/>
        <v>408.26</v>
      </c>
      <c r="EK24" s="102"/>
      <c r="EL24" s="102">
        <v>399.47699999999998</v>
      </c>
      <c r="EM24" s="102">
        <v>390.69299999999998</v>
      </c>
      <c r="EN24" s="102">
        <v>381.91</v>
      </c>
      <c r="EO24" s="102">
        <v>373.12799999999999</v>
      </c>
      <c r="EP24" s="102">
        <f t="shared" si="47"/>
        <v>373.12799999999999</v>
      </c>
      <c r="EQ24" s="102"/>
      <c r="ER24" s="102">
        <v>364.76400000000001</v>
      </c>
      <c r="ES24" s="102">
        <v>356.404</v>
      </c>
      <c r="ET24" s="102">
        <v>348.04199999999997</v>
      </c>
      <c r="EU24" s="102">
        <v>339.68099999999998</v>
      </c>
      <c r="EV24" s="102">
        <f t="shared" si="48"/>
        <v>339.68099999999998</v>
      </c>
      <c r="EW24" s="30"/>
      <c r="EX24" s="102">
        <v>331.31900000000002</v>
      </c>
      <c r="EY24" s="102">
        <v>301.79500000000002</v>
      </c>
      <c r="EZ24" s="102">
        <v>294.16199999999998</v>
      </c>
      <c r="FA24" s="102">
        <f>'Other Accts'!FA62</f>
        <v>294.16199999999998</v>
      </c>
      <c r="FB24" s="543">
        <f t="shared" si="49"/>
        <v>294.16199999999998</v>
      </c>
      <c r="FC24" s="30"/>
      <c r="FD24" s="543">
        <f>'Other Accts'!FD62</f>
        <v>294.16199999999998</v>
      </c>
      <c r="FE24" s="102">
        <f>'Other Accts'!FE62</f>
        <v>294.16199999999998</v>
      </c>
      <c r="FF24" s="102">
        <f>'Other Accts'!FF62</f>
        <v>294.16199999999998</v>
      </c>
      <c r="FG24" s="102">
        <f>'Other Accts'!FG62</f>
        <v>294.16199999999998</v>
      </c>
      <c r="FH24" s="102">
        <f t="shared" si="50"/>
        <v>294.16199999999998</v>
      </c>
      <c r="FI24" s="30"/>
      <c r="FJ24" s="102">
        <f>'Other Accts'!FJ62</f>
        <v>294.16199999999998</v>
      </c>
      <c r="FK24" s="102">
        <f>'Other Accts'!FK62</f>
        <v>294.16199999999998</v>
      </c>
      <c r="FL24" s="102">
        <f>'Other Accts'!FL62</f>
        <v>294.16199999999998</v>
      </c>
      <c r="FM24" s="102">
        <f>'Other Accts'!FM62</f>
        <v>294.16199999999998</v>
      </c>
      <c r="FN24" s="102">
        <f t="shared" si="51"/>
        <v>294.16199999999998</v>
      </c>
      <c r="FO24" s="30"/>
      <c r="FP24" s="102">
        <f>'Other Accts'!FP62</f>
        <v>294.16199999999998</v>
      </c>
      <c r="FQ24" s="102">
        <f>'Other Accts'!FQ62</f>
        <v>294.16199999999998</v>
      </c>
      <c r="FR24" s="102">
        <f>'Other Accts'!FR62</f>
        <v>294.16199999999998</v>
      </c>
      <c r="FS24" s="102">
        <f>'Other Accts'!FS62</f>
        <v>294.16199999999998</v>
      </c>
      <c r="FT24" s="102">
        <f t="shared" si="52"/>
        <v>294.16199999999998</v>
      </c>
      <c r="FU24" s="30"/>
      <c r="FV24" s="102">
        <f>'Other Accts'!FV62</f>
        <v>294.16199999999998</v>
      </c>
      <c r="FW24" s="102">
        <f>'Other Accts'!FW62</f>
        <v>294.16199999999998</v>
      </c>
      <c r="FX24" s="102">
        <f>'Other Accts'!FX62</f>
        <v>294.16199999999998</v>
      </c>
      <c r="FY24" s="102">
        <f>'Other Accts'!FY62</f>
        <v>294.16199999999998</v>
      </c>
      <c r="FZ24" s="102">
        <f t="shared" si="53"/>
        <v>294.16199999999998</v>
      </c>
      <c r="GA24" s="30"/>
      <c r="GB24" s="102">
        <f>'Other Accts'!GB62</f>
        <v>294.16199999999998</v>
      </c>
      <c r="GC24" s="102">
        <f>'Other Accts'!GC62</f>
        <v>294.16199999999998</v>
      </c>
      <c r="GD24" s="102">
        <f>'Other Accts'!GD62</f>
        <v>294.16199999999998</v>
      </c>
      <c r="GE24" s="102">
        <f>'Other Accts'!GE62</f>
        <v>294.16199999999998</v>
      </c>
      <c r="GF24" s="102">
        <f t="shared" si="54"/>
        <v>294.16199999999998</v>
      </c>
      <c r="GG24" s="30"/>
      <c r="GH24" s="102">
        <f>'Other Accts'!GH62</f>
        <v>294.16199999999998</v>
      </c>
      <c r="GI24" s="102">
        <f>'Other Accts'!GI62</f>
        <v>294.16199999999998</v>
      </c>
      <c r="GJ24" s="102">
        <f>'Other Accts'!GJ62</f>
        <v>294.16199999999998</v>
      </c>
      <c r="GK24" s="102">
        <f>'Other Accts'!GK62</f>
        <v>294.16199999999998</v>
      </c>
      <c r="GL24" s="102">
        <f t="shared" si="55"/>
        <v>294.16199999999998</v>
      </c>
      <c r="GM24" s="30"/>
      <c r="GN24" s="102">
        <f>'Other Accts'!GN62</f>
        <v>294.16199999999998</v>
      </c>
      <c r="GO24" s="102">
        <f>'Other Accts'!GO62</f>
        <v>294.16199999999998</v>
      </c>
      <c r="GP24" s="102">
        <f>'Other Accts'!GP62</f>
        <v>294.16199999999998</v>
      </c>
      <c r="GQ24" s="102">
        <f>'Other Accts'!GQ62</f>
        <v>294.16199999999998</v>
      </c>
      <c r="GR24" s="102">
        <f t="shared" si="56"/>
        <v>294.16199999999998</v>
      </c>
      <c r="GS24" s="30"/>
      <c r="GT24" s="102">
        <f>'Other Accts'!GT62</f>
        <v>294.16199999999998</v>
      </c>
      <c r="GU24" s="102">
        <f>'Other Accts'!GU62</f>
        <v>294.16199999999998</v>
      </c>
      <c r="GV24" s="102">
        <f>'Other Accts'!GV62</f>
        <v>294.16199999999998</v>
      </c>
      <c r="GW24" s="102">
        <f>'Other Accts'!GW62</f>
        <v>294.16199999999998</v>
      </c>
      <c r="GX24" s="102">
        <f t="shared" si="57"/>
        <v>294.16199999999998</v>
      </c>
      <c r="GY24" s="30"/>
      <c r="GZ24" s="102">
        <f>'Other Accts'!GZ62</f>
        <v>294.16199999999998</v>
      </c>
      <c r="HA24" s="102">
        <f>'Other Accts'!HA62</f>
        <v>294.16199999999998</v>
      </c>
      <c r="HB24" s="102">
        <f>'Other Accts'!HB62</f>
        <v>294.16199999999998</v>
      </c>
      <c r="HC24" s="102">
        <f>'Other Accts'!HC62</f>
        <v>294.16199999999998</v>
      </c>
      <c r="HD24" s="102">
        <f t="shared" si="58"/>
        <v>294.16199999999998</v>
      </c>
      <c r="HF24" s="102">
        <f>'Other Accts'!HF62</f>
        <v>294.16199999999998</v>
      </c>
      <c r="HG24" s="102">
        <f>'Other Accts'!HG62</f>
        <v>294.16199999999998</v>
      </c>
      <c r="HH24" s="102">
        <f>'Other Accts'!HH62</f>
        <v>294.16199999999998</v>
      </c>
      <c r="HI24" s="102">
        <f>'Other Accts'!HI62</f>
        <v>294.16199999999998</v>
      </c>
      <c r="HJ24" s="102">
        <f t="shared" si="59"/>
        <v>294.16199999999998</v>
      </c>
    </row>
    <row r="25" spans="1:218">
      <c r="A25" s="30"/>
      <c r="B25" s="30" t="s">
        <v>492</v>
      </c>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102">
        <v>0</v>
      </c>
      <c r="DI25" s="102">
        <v>0</v>
      </c>
      <c r="DJ25" s="102">
        <v>0</v>
      </c>
      <c r="DK25" s="102">
        <v>0</v>
      </c>
      <c r="DL25" s="102">
        <f t="shared" si="42"/>
        <v>0</v>
      </c>
      <c r="DM25" s="102"/>
      <c r="DN25" s="102">
        <v>0</v>
      </c>
      <c r="DO25" s="102">
        <v>0</v>
      </c>
      <c r="DP25" s="102">
        <v>0</v>
      </c>
      <c r="DQ25" s="102">
        <v>0</v>
      </c>
      <c r="DR25" s="102">
        <f t="shared" si="43"/>
        <v>0</v>
      </c>
      <c r="DS25" s="102"/>
      <c r="DT25" s="102">
        <v>0</v>
      </c>
      <c r="DU25" s="102">
        <v>0</v>
      </c>
      <c r="DV25" s="102">
        <v>0</v>
      </c>
      <c r="DW25" s="102">
        <v>0</v>
      </c>
      <c r="DX25" s="102">
        <f t="shared" si="44"/>
        <v>0</v>
      </c>
      <c r="DY25" s="102"/>
      <c r="DZ25" s="102">
        <v>10.185</v>
      </c>
      <c r="EA25" s="102">
        <v>0</v>
      </c>
      <c r="EB25" s="102">
        <v>0</v>
      </c>
      <c r="EC25" s="102">
        <v>0</v>
      </c>
      <c r="ED25" s="102">
        <f t="shared" si="45"/>
        <v>0</v>
      </c>
      <c r="EE25" s="102"/>
      <c r="EF25" s="102">
        <v>0</v>
      </c>
      <c r="EG25" s="102">
        <v>0</v>
      </c>
      <c r="EH25" s="102">
        <v>0</v>
      </c>
      <c r="EI25" s="102">
        <v>0</v>
      </c>
      <c r="EJ25" s="102">
        <f t="shared" si="46"/>
        <v>0</v>
      </c>
      <c r="EK25" s="102"/>
      <c r="EL25" s="102">
        <v>0</v>
      </c>
      <c r="EM25" s="102">
        <v>0</v>
      </c>
      <c r="EN25" s="102">
        <v>0</v>
      </c>
      <c r="EO25" s="102">
        <v>0</v>
      </c>
      <c r="EP25" s="102">
        <f t="shared" si="47"/>
        <v>0</v>
      </c>
      <c r="EQ25" s="102"/>
      <c r="ER25" s="102">
        <v>0</v>
      </c>
      <c r="ES25" s="421">
        <v>0</v>
      </c>
      <c r="ET25" s="421">
        <v>0</v>
      </c>
      <c r="EU25" s="421">
        <v>0</v>
      </c>
      <c r="EV25" s="102">
        <f>EU25</f>
        <v>0</v>
      </c>
      <c r="EW25" s="30"/>
      <c r="EX25" s="102">
        <v>0</v>
      </c>
      <c r="EY25" s="421">
        <v>0</v>
      </c>
      <c r="EZ25" s="421">
        <v>0</v>
      </c>
      <c r="FA25" s="421">
        <f t="shared" ref="FA25:FB27" si="60">EZ25</f>
        <v>0</v>
      </c>
      <c r="FB25" s="543">
        <f t="shared" si="60"/>
        <v>0</v>
      </c>
      <c r="FC25" s="30"/>
      <c r="FD25" s="543">
        <f>FA25</f>
        <v>0</v>
      </c>
      <c r="FE25" s="421">
        <f t="shared" ref="FE25:FG26" si="61">FD25</f>
        <v>0</v>
      </c>
      <c r="FF25" s="421">
        <f t="shared" si="61"/>
        <v>0</v>
      </c>
      <c r="FG25" s="421">
        <f t="shared" si="61"/>
        <v>0</v>
      </c>
      <c r="FH25" s="102">
        <f t="shared" si="50"/>
        <v>0</v>
      </c>
      <c r="FI25" s="30"/>
      <c r="FJ25" s="102">
        <f>FG25</f>
        <v>0</v>
      </c>
      <c r="FK25" s="421">
        <f t="shared" ref="FK25:FM27" si="62">FJ25</f>
        <v>0</v>
      </c>
      <c r="FL25" s="421">
        <f t="shared" si="62"/>
        <v>0</v>
      </c>
      <c r="FM25" s="421">
        <f t="shared" si="62"/>
        <v>0</v>
      </c>
      <c r="FN25" s="102">
        <f t="shared" si="51"/>
        <v>0</v>
      </c>
      <c r="FO25" s="30"/>
      <c r="FP25" s="102">
        <f>FM25</f>
        <v>0</v>
      </c>
      <c r="FQ25" s="421">
        <f t="shared" ref="FQ25:FS26" si="63">FP25</f>
        <v>0</v>
      </c>
      <c r="FR25" s="421">
        <f t="shared" si="63"/>
        <v>0</v>
      </c>
      <c r="FS25" s="421">
        <f t="shared" si="63"/>
        <v>0</v>
      </c>
      <c r="FT25" s="102">
        <f t="shared" si="52"/>
        <v>0</v>
      </c>
      <c r="FU25" s="30"/>
      <c r="FV25" s="102">
        <f>FS25</f>
        <v>0</v>
      </c>
      <c r="FW25" s="421">
        <f t="shared" ref="FW25:FY27" si="64">FV25</f>
        <v>0</v>
      </c>
      <c r="FX25" s="421">
        <f t="shared" si="64"/>
        <v>0</v>
      </c>
      <c r="FY25" s="421">
        <f t="shared" si="64"/>
        <v>0</v>
      </c>
      <c r="FZ25" s="102">
        <f t="shared" si="53"/>
        <v>0</v>
      </c>
      <c r="GA25" s="30"/>
      <c r="GB25" s="102">
        <f>FY25</f>
        <v>0</v>
      </c>
      <c r="GC25" s="421">
        <f t="shared" ref="GC25:GE26" si="65">GB25</f>
        <v>0</v>
      </c>
      <c r="GD25" s="421">
        <f t="shared" si="65"/>
        <v>0</v>
      </c>
      <c r="GE25" s="421">
        <f t="shared" si="65"/>
        <v>0</v>
      </c>
      <c r="GF25" s="102">
        <f t="shared" si="54"/>
        <v>0</v>
      </c>
      <c r="GG25" s="30"/>
      <c r="GH25" s="102">
        <f>GE25</f>
        <v>0</v>
      </c>
      <c r="GI25" s="421">
        <f t="shared" ref="GI25:GK26" si="66">GH25</f>
        <v>0</v>
      </c>
      <c r="GJ25" s="421">
        <f t="shared" si="66"/>
        <v>0</v>
      </c>
      <c r="GK25" s="421">
        <f t="shared" si="66"/>
        <v>0</v>
      </c>
      <c r="GL25" s="102">
        <f t="shared" si="55"/>
        <v>0</v>
      </c>
      <c r="GM25" s="30"/>
      <c r="GN25" s="102">
        <f>GK25</f>
        <v>0</v>
      </c>
      <c r="GO25" s="421">
        <f t="shared" ref="GO25:GQ27" si="67">GN25</f>
        <v>0</v>
      </c>
      <c r="GP25" s="421">
        <f t="shared" si="67"/>
        <v>0</v>
      </c>
      <c r="GQ25" s="421">
        <f t="shared" si="67"/>
        <v>0</v>
      </c>
      <c r="GR25" s="102">
        <f t="shared" si="56"/>
        <v>0</v>
      </c>
      <c r="GS25" s="30"/>
      <c r="GT25" s="102">
        <f>GQ25</f>
        <v>0</v>
      </c>
      <c r="GU25" s="421">
        <f t="shared" ref="GU25:GW26" si="68">GT25</f>
        <v>0</v>
      </c>
      <c r="GV25" s="421">
        <f t="shared" si="68"/>
        <v>0</v>
      </c>
      <c r="GW25" s="421">
        <f t="shared" si="68"/>
        <v>0</v>
      </c>
      <c r="GX25" s="102">
        <f t="shared" si="57"/>
        <v>0</v>
      </c>
      <c r="GY25" s="30"/>
      <c r="GZ25" s="102">
        <f>GW25</f>
        <v>0</v>
      </c>
      <c r="HA25" s="421">
        <f t="shared" ref="HA25:HC27" si="69">GZ25</f>
        <v>0</v>
      </c>
      <c r="HB25" s="421">
        <f t="shared" si="69"/>
        <v>0</v>
      </c>
      <c r="HC25" s="421">
        <f t="shared" si="69"/>
        <v>0</v>
      </c>
      <c r="HD25" s="102">
        <f t="shared" si="58"/>
        <v>0</v>
      </c>
      <c r="HF25" s="102">
        <f>HC25</f>
        <v>0</v>
      </c>
      <c r="HG25" s="421">
        <f t="shared" ref="HG25:HG27" si="70">HF25</f>
        <v>0</v>
      </c>
      <c r="HH25" s="421">
        <f t="shared" ref="HH25:HH27" si="71">HG25</f>
        <v>0</v>
      </c>
      <c r="HI25" s="421">
        <f t="shared" ref="HI25:HI27" si="72">HH25</f>
        <v>0</v>
      </c>
      <c r="HJ25" s="102">
        <f t="shared" si="59"/>
        <v>0</v>
      </c>
    </row>
    <row r="26" spans="1:218">
      <c r="A26" s="30"/>
      <c r="B26" s="30" t="s">
        <v>493</v>
      </c>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102">
        <v>0</v>
      </c>
      <c r="DI26" s="102">
        <v>0</v>
      </c>
      <c r="DJ26" s="102">
        <v>0</v>
      </c>
      <c r="DK26" s="102">
        <v>0</v>
      </c>
      <c r="DL26" s="102">
        <f t="shared" si="42"/>
        <v>0</v>
      </c>
      <c r="DM26" s="102"/>
      <c r="DN26" s="102">
        <v>0</v>
      </c>
      <c r="DO26" s="102">
        <v>0</v>
      </c>
      <c r="DP26" s="102">
        <v>0</v>
      </c>
      <c r="DQ26" s="102">
        <v>0</v>
      </c>
      <c r="DR26" s="102">
        <f t="shared" si="43"/>
        <v>0</v>
      </c>
      <c r="DS26" s="102"/>
      <c r="DT26" s="102">
        <v>3.3159999999999998</v>
      </c>
      <c r="DU26" s="102">
        <v>6.0839999999999996</v>
      </c>
      <c r="DV26" s="102">
        <v>10.141999999999999</v>
      </c>
      <c r="DW26" s="102">
        <v>20.228999999999999</v>
      </c>
      <c r="DX26" s="102">
        <f t="shared" si="44"/>
        <v>20.228999999999999</v>
      </c>
      <c r="DY26" s="102"/>
      <c r="DZ26" s="102">
        <v>21.052</v>
      </c>
      <c r="EA26" s="102">
        <v>24.957999999999998</v>
      </c>
      <c r="EB26" s="102">
        <v>0</v>
      </c>
      <c r="EC26" s="102">
        <v>0</v>
      </c>
      <c r="ED26" s="102">
        <f t="shared" si="45"/>
        <v>0</v>
      </c>
      <c r="EE26" s="102"/>
      <c r="EF26" s="102">
        <v>0</v>
      </c>
      <c r="EG26" s="102">
        <v>0</v>
      </c>
      <c r="EH26" s="102">
        <v>0</v>
      </c>
      <c r="EI26" s="102">
        <v>0</v>
      </c>
      <c r="EJ26" s="102">
        <f t="shared" si="46"/>
        <v>0</v>
      </c>
      <c r="EK26" s="102"/>
      <c r="EL26" s="102">
        <v>0</v>
      </c>
      <c r="EM26" s="102">
        <v>0</v>
      </c>
      <c r="EN26" s="102">
        <v>0</v>
      </c>
      <c r="EO26" s="102">
        <v>0</v>
      </c>
      <c r="EP26" s="102">
        <f t="shared" si="47"/>
        <v>0</v>
      </c>
      <c r="EQ26" s="102"/>
      <c r="ER26" s="102">
        <v>0</v>
      </c>
      <c r="ES26" s="102">
        <v>0</v>
      </c>
      <c r="ET26" s="421">
        <v>0</v>
      </c>
      <c r="EU26" s="421">
        <v>0</v>
      </c>
      <c r="EV26" s="102">
        <f>EU26</f>
        <v>0</v>
      </c>
      <c r="EW26" s="30"/>
      <c r="EX26" s="102">
        <v>0</v>
      </c>
      <c r="EY26" s="421">
        <v>0</v>
      </c>
      <c r="EZ26" s="421">
        <v>0</v>
      </c>
      <c r="FA26" s="421">
        <f t="shared" si="60"/>
        <v>0</v>
      </c>
      <c r="FB26" s="543">
        <f t="shared" si="60"/>
        <v>0</v>
      </c>
      <c r="FC26" s="30"/>
      <c r="FD26" s="543">
        <f>FA26</f>
        <v>0</v>
      </c>
      <c r="FE26" s="421">
        <f t="shared" si="61"/>
        <v>0</v>
      </c>
      <c r="FF26" s="421">
        <f t="shared" si="61"/>
        <v>0</v>
      </c>
      <c r="FG26" s="421">
        <f t="shared" si="61"/>
        <v>0</v>
      </c>
      <c r="FH26" s="102">
        <f t="shared" si="50"/>
        <v>0</v>
      </c>
      <c r="FI26" s="30"/>
      <c r="FJ26" s="102">
        <f>FG26</f>
        <v>0</v>
      </c>
      <c r="FK26" s="421">
        <f t="shared" si="62"/>
        <v>0</v>
      </c>
      <c r="FL26" s="421">
        <f t="shared" si="62"/>
        <v>0</v>
      </c>
      <c r="FM26" s="421">
        <f t="shared" si="62"/>
        <v>0</v>
      </c>
      <c r="FN26" s="102">
        <f t="shared" si="51"/>
        <v>0</v>
      </c>
      <c r="FO26" s="30"/>
      <c r="FP26" s="102">
        <f>FM26</f>
        <v>0</v>
      </c>
      <c r="FQ26" s="421">
        <f t="shared" si="63"/>
        <v>0</v>
      </c>
      <c r="FR26" s="421">
        <f t="shared" si="63"/>
        <v>0</v>
      </c>
      <c r="FS26" s="421">
        <f t="shared" si="63"/>
        <v>0</v>
      </c>
      <c r="FT26" s="102">
        <f t="shared" si="52"/>
        <v>0</v>
      </c>
      <c r="FU26" s="30"/>
      <c r="FV26" s="102">
        <f>FS26</f>
        <v>0</v>
      </c>
      <c r="FW26" s="421">
        <f t="shared" si="64"/>
        <v>0</v>
      </c>
      <c r="FX26" s="421">
        <f t="shared" si="64"/>
        <v>0</v>
      </c>
      <c r="FY26" s="421">
        <f t="shared" si="64"/>
        <v>0</v>
      </c>
      <c r="FZ26" s="102">
        <f t="shared" si="53"/>
        <v>0</v>
      </c>
      <c r="GA26" s="30"/>
      <c r="GB26" s="102">
        <f>FY26</f>
        <v>0</v>
      </c>
      <c r="GC26" s="421">
        <f t="shared" si="65"/>
        <v>0</v>
      </c>
      <c r="GD26" s="421">
        <f t="shared" si="65"/>
        <v>0</v>
      </c>
      <c r="GE26" s="421">
        <f t="shared" si="65"/>
        <v>0</v>
      </c>
      <c r="GF26" s="102">
        <f t="shared" si="54"/>
        <v>0</v>
      </c>
      <c r="GG26" s="30"/>
      <c r="GH26" s="102">
        <f>GE26</f>
        <v>0</v>
      </c>
      <c r="GI26" s="421">
        <f t="shared" si="66"/>
        <v>0</v>
      </c>
      <c r="GJ26" s="421">
        <f t="shared" si="66"/>
        <v>0</v>
      </c>
      <c r="GK26" s="421">
        <f t="shared" si="66"/>
        <v>0</v>
      </c>
      <c r="GL26" s="102">
        <f t="shared" si="55"/>
        <v>0</v>
      </c>
      <c r="GM26" s="30"/>
      <c r="GN26" s="102">
        <f>GK26</f>
        <v>0</v>
      </c>
      <c r="GO26" s="421">
        <f t="shared" si="67"/>
        <v>0</v>
      </c>
      <c r="GP26" s="421">
        <f t="shared" si="67"/>
        <v>0</v>
      </c>
      <c r="GQ26" s="421">
        <f t="shared" si="67"/>
        <v>0</v>
      </c>
      <c r="GR26" s="102">
        <f t="shared" si="56"/>
        <v>0</v>
      </c>
      <c r="GS26" s="30"/>
      <c r="GT26" s="102">
        <f>GQ26</f>
        <v>0</v>
      </c>
      <c r="GU26" s="421">
        <f t="shared" si="68"/>
        <v>0</v>
      </c>
      <c r="GV26" s="421">
        <f t="shared" si="68"/>
        <v>0</v>
      </c>
      <c r="GW26" s="421">
        <f t="shared" si="68"/>
        <v>0</v>
      </c>
      <c r="GX26" s="102">
        <f t="shared" si="57"/>
        <v>0</v>
      </c>
      <c r="GY26" s="30"/>
      <c r="GZ26" s="102">
        <f>GW26</f>
        <v>0</v>
      </c>
      <c r="HA26" s="421">
        <f t="shared" si="69"/>
        <v>0</v>
      </c>
      <c r="HB26" s="421">
        <f t="shared" si="69"/>
        <v>0</v>
      </c>
      <c r="HC26" s="421">
        <f t="shared" si="69"/>
        <v>0</v>
      </c>
      <c r="HD26" s="102">
        <f t="shared" si="58"/>
        <v>0</v>
      </c>
      <c r="HF26" s="102">
        <f>HC26</f>
        <v>0</v>
      </c>
      <c r="HG26" s="421">
        <f t="shared" si="70"/>
        <v>0</v>
      </c>
      <c r="HH26" s="421">
        <f t="shared" si="71"/>
        <v>0</v>
      </c>
      <c r="HI26" s="421">
        <f t="shared" si="72"/>
        <v>0</v>
      </c>
      <c r="HJ26" s="102">
        <f t="shared" si="59"/>
        <v>0</v>
      </c>
    </row>
    <row r="27" spans="1:218">
      <c r="A27" s="30"/>
      <c r="B27" s="30" t="s">
        <v>494</v>
      </c>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102">
        <v>0</v>
      </c>
      <c r="DI27" s="102">
        <v>0</v>
      </c>
      <c r="DJ27" s="102">
        <v>0</v>
      </c>
      <c r="DK27" s="102">
        <v>0</v>
      </c>
      <c r="DL27" s="102">
        <f t="shared" si="42"/>
        <v>0</v>
      </c>
      <c r="DM27" s="102"/>
      <c r="DN27" s="102">
        <v>0</v>
      </c>
      <c r="DO27" s="102">
        <v>0</v>
      </c>
      <c r="DP27" s="102">
        <v>0</v>
      </c>
      <c r="DQ27" s="102">
        <v>0</v>
      </c>
      <c r="DR27" s="102">
        <f t="shared" si="43"/>
        <v>0</v>
      </c>
      <c r="DS27" s="102"/>
      <c r="DT27" s="102">
        <v>0</v>
      </c>
      <c r="DU27" s="102">
        <v>13.137</v>
      </c>
      <c r="DV27" s="102">
        <v>25.6</v>
      </c>
      <c r="DW27" s="102">
        <v>29.555</v>
      </c>
      <c r="DX27" s="102">
        <f t="shared" si="44"/>
        <v>29.555</v>
      </c>
      <c r="DY27" s="102"/>
      <c r="DZ27" s="102">
        <v>29.555</v>
      </c>
      <c r="EA27" s="102">
        <v>0</v>
      </c>
      <c r="EB27" s="102">
        <v>0</v>
      </c>
      <c r="EC27" s="102">
        <v>0</v>
      </c>
      <c r="ED27" s="102">
        <f t="shared" si="45"/>
        <v>0</v>
      </c>
      <c r="EE27" s="102"/>
      <c r="EF27" s="102">
        <v>0</v>
      </c>
      <c r="EG27" s="102">
        <v>0</v>
      </c>
      <c r="EH27" s="102">
        <v>0</v>
      </c>
      <c r="EI27" s="102">
        <v>0</v>
      </c>
      <c r="EJ27" s="102">
        <f t="shared" si="46"/>
        <v>0</v>
      </c>
      <c r="EK27" s="102"/>
      <c r="EL27" s="102">
        <v>0</v>
      </c>
      <c r="EM27" s="102">
        <v>0</v>
      </c>
      <c r="EN27" s="102">
        <v>0</v>
      </c>
      <c r="EO27" s="102">
        <v>0</v>
      </c>
      <c r="EP27" s="102">
        <f t="shared" si="47"/>
        <v>0</v>
      </c>
      <c r="EQ27" s="102"/>
      <c r="ER27" s="102">
        <v>0</v>
      </c>
      <c r="ES27" s="421">
        <v>0</v>
      </c>
      <c r="ET27" s="421">
        <v>0</v>
      </c>
      <c r="EU27" s="421">
        <v>0</v>
      </c>
      <c r="EV27" s="102">
        <f>EU27</f>
        <v>0</v>
      </c>
      <c r="EW27" s="30"/>
      <c r="EX27" s="102">
        <v>0</v>
      </c>
      <c r="EY27" s="421">
        <v>0</v>
      </c>
      <c r="EZ27" s="421">
        <v>0</v>
      </c>
      <c r="FA27" s="421">
        <f t="shared" si="60"/>
        <v>0</v>
      </c>
      <c r="FB27" s="543">
        <f t="shared" si="60"/>
        <v>0</v>
      </c>
      <c r="FC27" s="30"/>
      <c r="FD27" s="543">
        <f>FA27</f>
        <v>0</v>
      </c>
      <c r="FE27" s="421">
        <f t="shared" ref="FE27:FH29" si="73">FD27</f>
        <v>0</v>
      </c>
      <c r="FF27" s="421">
        <f t="shared" si="73"/>
        <v>0</v>
      </c>
      <c r="FG27" s="421">
        <f t="shared" si="73"/>
        <v>0</v>
      </c>
      <c r="FH27" s="102">
        <f t="shared" si="73"/>
        <v>0</v>
      </c>
      <c r="FI27" s="30"/>
      <c r="FJ27" s="102">
        <f>FG27</f>
        <v>0</v>
      </c>
      <c r="FK27" s="421">
        <f t="shared" si="62"/>
        <v>0</v>
      </c>
      <c r="FL27" s="421">
        <f t="shared" si="62"/>
        <v>0</v>
      </c>
      <c r="FM27" s="421">
        <f t="shared" si="62"/>
        <v>0</v>
      </c>
      <c r="FN27" s="102">
        <f t="shared" si="51"/>
        <v>0</v>
      </c>
      <c r="FO27" s="30"/>
      <c r="FP27" s="102">
        <f>FM27</f>
        <v>0</v>
      </c>
      <c r="FQ27" s="421">
        <f t="shared" ref="FQ27:FT29" si="74">FP27</f>
        <v>0</v>
      </c>
      <c r="FR27" s="421">
        <f t="shared" si="74"/>
        <v>0</v>
      </c>
      <c r="FS27" s="421">
        <f t="shared" si="74"/>
        <v>0</v>
      </c>
      <c r="FT27" s="102">
        <f t="shared" si="74"/>
        <v>0</v>
      </c>
      <c r="FU27" s="30"/>
      <c r="FV27" s="102">
        <f>FS27</f>
        <v>0</v>
      </c>
      <c r="FW27" s="421">
        <f t="shared" si="64"/>
        <v>0</v>
      </c>
      <c r="FX27" s="421">
        <f t="shared" si="64"/>
        <v>0</v>
      </c>
      <c r="FY27" s="421">
        <f t="shared" si="64"/>
        <v>0</v>
      </c>
      <c r="FZ27" s="102">
        <f t="shared" si="53"/>
        <v>0</v>
      </c>
      <c r="GA27" s="30"/>
      <c r="GB27" s="102">
        <f>FY27</f>
        <v>0</v>
      </c>
      <c r="GC27" s="421">
        <f t="shared" ref="GC27:GF29" si="75">GB27</f>
        <v>0</v>
      </c>
      <c r="GD27" s="421">
        <f t="shared" si="75"/>
        <v>0</v>
      </c>
      <c r="GE27" s="421">
        <f t="shared" si="75"/>
        <v>0</v>
      </c>
      <c r="GF27" s="102">
        <f t="shared" si="75"/>
        <v>0</v>
      </c>
      <c r="GG27" s="30"/>
      <c r="GH27" s="102">
        <f>GE27</f>
        <v>0</v>
      </c>
      <c r="GI27" s="421">
        <f t="shared" ref="GI27:GL29" si="76">GH27</f>
        <v>0</v>
      </c>
      <c r="GJ27" s="421">
        <f t="shared" si="76"/>
        <v>0</v>
      </c>
      <c r="GK27" s="421">
        <f t="shared" si="76"/>
        <v>0</v>
      </c>
      <c r="GL27" s="102">
        <f t="shared" si="76"/>
        <v>0</v>
      </c>
      <c r="GM27" s="30"/>
      <c r="GN27" s="102">
        <f>GK27</f>
        <v>0</v>
      </c>
      <c r="GO27" s="421">
        <f t="shared" si="67"/>
        <v>0</v>
      </c>
      <c r="GP27" s="421">
        <f t="shared" si="67"/>
        <v>0</v>
      </c>
      <c r="GQ27" s="421">
        <f t="shared" si="67"/>
        <v>0</v>
      </c>
      <c r="GR27" s="102">
        <f t="shared" si="56"/>
        <v>0</v>
      </c>
      <c r="GS27" s="30"/>
      <c r="GT27" s="102">
        <f>GQ27</f>
        <v>0</v>
      </c>
      <c r="GU27" s="421">
        <f t="shared" ref="GU27:GX29" si="77">GT27</f>
        <v>0</v>
      </c>
      <c r="GV27" s="421">
        <f t="shared" si="77"/>
        <v>0</v>
      </c>
      <c r="GW27" s="421">
        <f t="shared" si="77"/>
        <v>0</v>
      </c>
      <c r="GX27" s="102">
        <f t="shared" si="77"/>
        <v>0</v>
      </c>
      <c r="GY27" s="30"/>
      <c r="GZ27" s="102">
        <f>GW27</f>
        <v>0</v>
      </c>
      <c r="HA27" s="421">
        <f t="shared" si="69"/>
        <v>0</v>
      </c>
      <c r="HB27" s="421">
        <f t="shared" si="69"/>
        <v>0</v>
      </c>
      <c r="HC27" s="421">
        <f t="shared" si="69"/>
        <v>0</v>
      </c>
      <c r="HD27" s="102">
        <f t="shared" si="58"/>
        <v>0</v>
      </c>
      <c r="HF27" s="102">
        <f>HC27</f>
        <v>0</v>
      </c>
      <c r="HG27" s="421">
        <f t="shared" si="70"/>
        <v>0</v>
      </c>
      <c r="HH27" s="421">
        <f t="shared" si="71"/>
        <v>0</v>
      </c>
      <c r="HI27" s="421">
        <f t="shared" si="72"/>
        <v>0</v>
      </c>
      <c r="HJ27" s="102">
        <f t="shared" si="59"/>
        <v>0</v>
      </c>
    </row>
    <row r="28" spans="1:218">
      <c r="A28" s="30"/>
      <c r="B28" s="30" t="s">
        <v>49</v>
      </c>
      <c r="C28" s="30"/>
      <c r="D28" s="36"/>
      <c r="E28" s="36"/>
      <c r="F28" s="36"/>
      <c r="G28" s="36"/>
      <c r="H28" s="30"/>
      <c r="I28" s="36"/>
      <c r="J28" s="36"/>
      <c r="K28" s="36"/>
      <c r="L28" s="36"/>
      <c r="M28" s="36"/>
      <c r="N28" s="30"/>
      <c r="O28" s="36"/>
      <c r="P28" s="36"/>
      <c r="Q28" s="36"/>
      <c r="R28" s="36"/>
      <c r="S28" s="36"/>
      <c r="T28" s="30"/>
      <c r="U28" s="36"/>
      <c r="V28" s="36"/>
      <c r="W28" s="36"/>
      <c r="X28" s="36"/>
      <c r="Y28" s="36"/>
      <c r="Z28" s="30"/>
      <c r="AA28" s="36"/>
      <c r="AB28" s="36"/>
      <c r="AC28" s="36"/>
      <c r="AD28" s="36"/>
      <c r="AE28" s="36"/>
      <c r="AF28" s="30"/>
      <c r="AG28" s="36"/>
      <c r="AH28" s="36"/>
      <c r="AI28" s="36"/>
      <c r="AJ28" s="36"/>
      <c r="AK28" s="36"/>
      <c r="AL28" s="30"/>
      <c r="AM28" s="36"/>
      <c r="AN28" s="36"/>
      <c r="AO28" s="36"/>
      <c r="AP28" s="36"/>
      <c r="AQ28" s="36"/>
      <c r="AR28" s="30"/>
      <c r="AS28" s="36"/>
      <c r="AT28" s="36"/>
      <c r="AU28" s="36"/>
      <c r="AV28" s="36"/>
      <c r="AW28" s="36"/>
      <c r="AX28" s="30"/>
      <c r="AY28" s="36"/>
      <c r="AZ28" s="36"/>
      <c r="BA28" s="36"/>
      <c r="BB28" s="36"/>
      <c r="BC28" s="36"/>
      <c r="BD28" s="30"/>
      <c r="BE28" s="36"/>
      <c r="BF28" s="36"/>
      <c r="BG28" s="36"/>
      <c r="BH28" s="36"/>
      <c r="BI28" s="36"/>
      <c r="BJ28" s="30"/>
      <c r="BK28" s="36"/>
      <c r="BL28" s="36"/>
      <c r="BM28" s="36"/>
      <c r="BN28" s="36"/>
      <c r="BO28" s="36"/>
      <c r="BP28" s="30"/>
      <c r="BQ28" s="36"/>
      <c r="BR28" s="36"/>
      <c r="BS28" s="36"/>
      <c r="BT28" s="36"/>
      <c r="BU28" s="36"/>
      <c r="BV28" s="30"/>
      <c r="BW28" s="36"/>
      <c r="BX28" s="36"/>
      <c r="BY28" s="36"/>
      <c r="BZ28" s="36"/>
      <c r="CA28" s="36"/>
      <c r="CB28" s="30"/>
      <c r="CC28" s="36"/>
      <c r="CD28" s="36"/>
      <c r="CE28" s="36"/>
      <c r="CF28" s="36"/>
      <c r="CG28" s="36"/>
      <c r="CH28" s="30"/>
      <c r="CI28" s="36"/>
      <c r="CJ28" s="36"/>
      <c r="CK28" s="36"/>
      <c r="CL28" s="36"/>
      <c r="CM28" s="36"/>
      <c r="CN28" s="30"/>
      <c r="CO28" s="36"/>
      <c r="CP28" s="36"/>
      <c r="CQ28" s="36"/>
      <c r="CR28" s="36"/>
      <c r="CS28" s="36"/>
      <c r="CT28" s="30"/>
      <c r="CU28" s="36"/>
      <c r="CV28" s="36"/>
      <c r="CW28" s="36"/>
      <c r="CX28" s="36"/>
      <c r="CY28" s="36"/>
      <c r="CZ28" s="30"/>
      <c r="DA28" s="36"/>
      <c r="DB28" s="36"/>
      <c r="DC28" s="36"/>
      <c r="DD28" s="36"/>
      <c r="DE28" s="30"/>
      <c r="DF28" s="30"/>
      <c r="DG28" s="36"/>
      <c r="DH28" s="432">
        <v>1.32</v>
      </c>
      <c r="DI28" s="432">
        <v>1.302</v>
      </c>
      <c r="DJ28" s="432">
        <v>2.9369999999999998</v>
      </c>
      <c r="DK28" s="432">
        <v>2.5379999999999998</v>
      </c>
      <c r="DL28" s="432">
        <f t="shared" si="42"/>
        <v>2.5379999999999998</v>
      </c>
      <c r="DM28" s="432"/>
      <c r="DN28" s="432">
        <v>2.8260000000000001</v>
      </c>
      <c r="DO28" s="432">
        <v>3.3319999999999999</v>
      </c>
      <c r="DP28" s="432">
        <v>3.214</v>
      </c>
      <c r="DQ28" s="432">
        <v>2.847</v>
      </c>
      <c r="DR28" s="432">
        <f t="shared" si="43"/>
        <v>2.847</v>
      </c>
      <c r="DS28" s="432"/>
      <c r="DT28" s="432">
        <v>3.153</v>
      </c>
      <c r="DU28" s="432">
        <v>3.0569999999999999</v>
      </c>
      <c r="DV28" s="432">
        <v>3.8170000000000002</v>
      </c>
      <c r="DW28" s="432">
        <v>4.5030000000000001</v>
      </c>
      <c r="DX28" s="432">
        <f t="shared" si="44"/>
        <v>4.5030000000000001</v>
      </c>
      <c r="DY28" s="432"/>
      <c r="DZ28" s="432">
        <v>5.2729999999999997</v>
      </c>
      <c r="EA28" s="432">
        <v>7.6740000000000004</v>
      </c>
      <c r="EB28" s="432">
        <v>7.21</v>
      </c>
      <c r="EC28" s="432">
        <v>7.1680000000000001</v>
      </c>
      <c r="ED28" s="432">
        <f t="shared" si="45"/>
        <v>7.1680000000000001</v>
      </c>
      <c r="EE28" s="432"/>
      <c r="EF28" s="432">
        <v>6.6</v>
      </c>
      <c r="EG28" s="432">
        <v>6.3780000000000001</v>
      </c>
      <c r="EH28" s="432">
        <v>6.8449999999999998</v>
      </c>
      <c r="EI28" s="432">
        <v>5.109</v>
      </c>
      <c r="EJ28" s="432">
        <f t="shared" si="46"/>
        <v>5.109</v>
      </c>
      <c r="EK28" s="432"/>
      <c r="EL28" s="432">
        <v>5.306</v>
      </c>
      <c r="EM28" s="432">
        <v>5.407</v>
      </c>
      <c r="EN28" s="432">
        <v>4.9669999999999996</v>
      </c>
      <c r="EO28" s="432">
        <v>4.742</v>
      </c>
      <c r="EP28" s="432">
        <f t="shared" si="47"/>
        <v>4.742</v>
      </c>
      <c r="EQ28" s="432"/>
      <c r="ER28" s="432">
        <v>4.47</v>
      </c>
      <c r="ES28" s="432">
        <v>4.0750000000000002</v>
      </c>
      <c r="ET28" s="432">
        <v>5.5819999999999999</v>
      </c>
      <c r="EU28" s="432">
        <v>5.8860000000000001</v>
      </c>
      <c r="EV28" s="432">
        <f t="shared" si="48"/>
        <v>5.8860000000000001</v>
      </c>
      <c r="EW28" s="36"/>
      <c r="EX28" s="432">
        <v>6.0069999999999997</v>
      </c>
      <c r="EY28" s="432">
        <v>7.1269999999999998</v>
      </c>
      <c r="EZ28" s="432">
        <v>8.1890000000000001</v>
      </c>
      <c r="FA28" s="432">
        <f>EZ28-CF!FA43-CF!FA46</f>
        <v>8.1890000000000001</v>
      </c>
      <c r="FB28" s="545">
        <f t="shared" si="49"/>
        <v>8.1890000000000001</v>
      </c>
      <c r="FC28" s="36"/>
      <c r="FD28" s="545">
        <f>FA28-CF!FD43-CF!FD46</f>
        <v>8.1890000000000001</v>
      </c>
      <c r="FE28" s="432">
        <f>FD28-CF!FE43-CF!FE46</f>
        <v>8.1890000000000001</v>
      </c>
      <c r="FF28" s="432">
        <f>FE28-CF!FF43-CF!FF46</f>
        <v>8.1890000000000001</v>
      </c>
      <c r="FG28" s="432">
        <f>FF28-CF!FG43-CF!FG46</f>
        <v>8.1890000000000001</v>
      </c>
      <c r="FH28" s="432">
        <f t="shared" si="73"/>
        <v>8.1890000000000001</v>
      </c>
      <c r="FI28" s="36"/>
      <c r="FJ28" s="432">
        <f>FG28-CF!FJ43-CF!FJ46</f>
        <v>8.1890000000000001</v>
      </c>
      <c r="FK28" s="432">
        <f>FJ28-CF!FK43-CF!FK46</f>
        <v>8.1890000000000001</v>
      </c>
      <c r="FL28" s="432">
        <f>FK28-CF!FL43-CF!FL46</f>
        <v>8.1890000000000001</v>
      </c>
      <c r="FM28" s="432">
        <f>FL28-CF!FM43-CF!FM46</f>
        <v>8.1890000000000001</v>
      </c>
      <c r="FN28" s="432">
        <f t="shared" si="51"/>
        <v>8.1890000000000001</v>
      </c>
      <c r="FO28" s="36"/>
      <c r="FP28" s="432">
        <f>FM28-CF!FP43-CF!FP46</f>
        <v>8.1890000000000001</v>
      </c>
      <c r="FQ28" s="432">
        <f>FP28-CF!FQ43-CF!FQ46</f>
        <v>8.1890000000000001</v>
      </c>
      <c r="FR28" s="432">
        <f>FQ28-CF!FR43-CF!FR46</f>
        <v>8.1890000000000001</v>
      </c>
      <c r="FS28" s="432">
        <f>FR28-CF!FS43-CF!FS46</f>
        <v>8.1890000000000001</v>
      </c>
      <c r="FT28" s="432">
        <f t="shared" si="74"/>
        <v>8.1890000000000001</v>
      </c>
      <c r="FU28" s="36"/>
      <c r="FV28" s="432">
        <f>FS28-CF!FV43-CF!FV46</f>
        <v>8.1890000000000001</v>
      </c>
      <c r="FW28" s="432">
        <f>FV28-CF!FW43-CF!FW46</f>
        <v>8.1890000000000001</v>
      </c>
      <c r="FX28" s="432">
        <f>FW28-CF!FX43-CF!FX46</f>
        <v>8.1890000000000001</v>
      </c>
      <c r="FY28" s="432">
        <f>FX28-CF!FY43-CF!FY46</f>
        <v>8.1890000000000001</v>
      </c>
      <c r="FZ28" s="432">
        <f t="shared" si="53"/>
        <v>8.1890000000000001</v>
      </c>
      <c r="GA28" s="36"/>
      <c r="GB28" s="432">
        <f>FY28-CF!GB43-CF!GB46</f>
        <v>8.1890000000000001</v>
      </c>
      <c r="GC28" s="432">
        <f>GB28-CF!GC43-CF!GC46</f>
        <v>8.1890000000000001</v>
      </c>
      <c r="GD28" s="432">
        <f>GC28-CF!GD43-CF!GD46</f>
        <v>8.1890000000000001</v>
      </c>
      <c r="GE28" s="432">
        <f>GD28-CF!GE43-CF!GE46</f>
        <v>8.1890000000000001</v>
      </c>
      <c r="GF28" s="432">
        <f t="shared" si="75"/>
        <v>8.1890000000000001</v>
      </c>
      <c r="GG28" s="36"/>
      <c r="GH28" s="432">
        <f>GE28-CF!GH43-CF!GH46</f>
        <v>8.1890000000000001</v>
      </c>
      <c r="GI28" s="432">
        <f>GH28-CF!GI43-CF!GI46</f>
        <v>8.1890000000000001</v>
      </c>
      <c r="GJ28" s="432">
        <f>GI28-CF!GJ43-CF!GJ46</f>
        <v>8.1890000000000001</v>
      </c>
      <c r="GK28" s="432">
        <f>GJ28-CF!GK43-CF!GK46</f>
        <v>8.1890000000000001</v>
      </c>
      <c r="GL28" s="432">
        <f t="shared" si="76"/>
        <v>8.1890000000000001</v>
      </c>
      <c r="GM28" s="36"/>
      <c r="GN28" s="432">
        <f>GK28-CF!GN43-CF!GN46</f>
        <v>8.1890000000000001</v>
      </c>
      <c r="GO28" s="432">
        <f>GN28-CF!GO43-CF!GO46</f>
        <v>8.1890000000000001</v>
      </c>
      <c r="GP28" s="432">
        <f>GO28-CF!GP43-CF!GP46</f>
        <v>8.1890000000000001</v>
      </c>
      <c r="GQ28" s="432">
        <f>GP28-CF!GQ43-CF!GQ46</f>
        <v>8.1890000000000001</v>
      </c>
      <c r="GR28" s="432">
        <f t="shared" si="56"/>
        <v>8.1890000000000001</v>
      </c>
      <c r="GS28" s="36"/>
      <c r="GT28" s="432">
        <f>GQ28-CF!GT43-CF!GT46</f>
        <v>8.1890000000000001</v>
      </c>
      <c r="GU28" s="432">
        <f>GT28-CF!GU43-CF!GU46</f>
        <v>8.1890000000000001</v>
      </c>
      <c r="GV28" s="432">
        <f>GU28-CF!GV43-CF!GV46</f>
        <v>8.1890000000000001</v>
      </c>
      <c r="GW28" s="432">
        <f>GV28-CF!GW43-CF!GW46</f>
        <v>8.1890000000000001</v>
      </c>
      <c r="GX28" s="432">
        <f t="shared" si="77"/>
        <v>8.1890000000000001</v>
      </c>
      <c r="GY28" s="36"/>
      <c r="GZ28" s="432">
        <f>GW28-CF!GZ43-CF!GZ46</f>
        <v>8.1890000000000001</v>
      </c>
      <c r="HA28" s="432">
        <f>GZ28-CF!HA43-CF!HA46</f>
        <v>8.1890000000000001</v>
      </c>
      <c r="HB28" s="432">
        <f>HA28-CF!HB43-CF!HB46</f>
        <v>8.1890000000000001</v>
      </c>
      <c r="HC28" s="432">
        <f>HB28-CF!HC43-CF!HC46</f>
        <v>8.1890000000000001</v>
      </c>
      <c r="HD28" s="432">
        <f t="shared" si="58"/>
        <v>8.1890000000000001</v>
      </c>
      <c r="HF28" s="432">
        <f>HC28-CF!HF43-CF!HF46</f>
        <v>8.1890000000000001</v>
      </c>
      <c r="HG28" s="432">
        <f>HF28-CF!HG43-CF!HG46</f>
        <v>8.1890000000000001</v>
      </c>
      <c r="HH28" s="432">
        <f>HG28-CF!HH43-CF!HH46</f>
        <v>8.1890000000000001</v>
      </c>
      <c r="HI28" s="432">
        <f>HH28-CF!HI43-CF!HI46</f>
        <v>8.1890000000000001</v>
      </c>
      <c r="HJ28" s="432">
        <f t="shared" si="59"/>
        <v>8.1890000000000001</v>
      </c>
    </row>
    <row r="29" spans="1:218">
      <c r="A29" s="30" t="s">
        <v>50</v>
      </c>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102">
        <f>SUM(DH21:DH28)</f>
        <v>261.50100000000003</v>
      </c>
      <c r="DI29" s="102">
        <f>SUM(DI21:DI28)</f>
        <v>262.524</v>
      </c>
      <c r="DJ29" s="102">
        <f>SUM(DJ21:DJ28)</f>
        <v>260.86900000000003</v>
      </c>
      <c r="DK29" s="102">
        <f>SUM(DK21:DK28)</f>
        <v>401.34699999999998</v>
      </c>
      <c r="DL29" s="102">
        <f>SUM(DL21:DL28)</f>
        <v>401.34699999999998</v>
      </c>
      <c r="DM29" s="102"/>
      <c r="DN29" s="102">
        <f>SUM(DN21:DN28)</f>
        <v>417.39800000000002</v>
      </c>
      <c r="DO29" s="102">
        <f>SUM(DO21:DO28)</f>
        <v>420.322</v>
      </c>
      <c r="DP29" s="102">
        <f>SUM(DP21:DP28)</f>
        <v>419.154</v>
      </c>
      <c r="DQ29" s="102">
        <f>SUM(DQ21:DQ28)</f>
        <v>418.76799999999997</v>
      </c>
      <c r="DR29" s="102">
        <f>SUM(DR21:DR28)</f>
        <v>418.76799999999997</v>
      </c>
      <c r="DS29" s="102"/>
      <c r="DT29" s="102">
        <f>SUM(DT21:DT28)</f>
        <v>478.06699999999995</v>
      </c>
      <c r="DU29" s="102">
        <f>SUM(DU21:DU28)</f>
        <v>490.45500000000004</v>
      </c>
      <c r="DV29" s="102">
        <f>SUM(DV21:DV28)</f>
        <v>505.05000000000007</v>
      </c>
      <c r="DW29" s="102">
        <f>SUM(DW21:DW28)</f>
        <v>517.68200000000002</v>
      </c>
      <c r="DX29" s="102">
        <f>SUM(DX21:DX28)</f>
        <v>517.68200000000002</v>
      </c>
      <c r="DY29" s="102"/>
      <c r="DZ29" s="102">
        <f>SUM(DZ21:DZ28)</f>
        <v>540.56200000000001</v>
      </c>
      <c r="EA29" s="102">
        <f>SUM(EA21:EA28)</f>
        <v>1170.413</v>
      </c>
      <c r="EB29" s="102">
        <f>SUM(EB21:EB28)</f>
        <v>1193.296</v>
      </c>
      <c r="EC29" s="102">
        <f>SUM(EC21:EC28)</f>
        <v>1188.27</v>
      </c>
      <c r="ED29" s="102">
        <f>SUM(ED21:ED28)</f>
        <v>1188.27</v>
      </c>
      <c r="EE29" s="102"/>
      <c r="EF29" s="102">
        <f>SUM(EF21:EF28)</f>
        <v>1178.4469999999999</v>
      </c>
      <c r="EG29" s="102">
        <f>SUM(EG21:EG28)</f>
        <v>1169.8529999999998</v>
      </c>
      <c r="EH29" s="102">
        <f>SUM(EH21:EH28)</f>
        <v>1152.222</v>
      </c>
      <c r="EI29" s="102">
        <f>SUM(EI21:EI28)</f>
        <v>1134.7429999999999</v>
      </c>
      <c r="EJ29" s="102">
        <f>SUM(EJ21:EJ28)</f>
        <v>1134.7429999999999</v>
      </c>
      <c r="EK29" s="102"/>
      <c r="EL29" s="102">
        <f>SUM(EL21:EL28)</f>
        <v>1124.1779999999999</v>
      </c>
      <c r="EM29" s="102">
        <f>SUM(EM21:EM28)</f>
        <v>1110.3879999999999</v>
      </c>
      <c r="EN29" s="102">
        <f>SUM(EN21:EN28)</f>
        <v>1091.2910000000002</v>
      </c>
      <c r="EO29" s="102">
        <f>SUM(EO21:EO28)</f>
        <v>1084.4169999999999</v>
      </c>
      <c r="EP29" s="102">
        <f>SUM(EP21:EP28)</f>
        <v>1084.4169999999999</v>
      </c>
      <c r="EQ29" s="102"/>
      <c r="ER29" s="102">
        <f>SUM(ER21:ER28)</f>
        <v>1066.443</v>
      </c>
      <c r="ES29" s="102">
        <f>SUM(ES21:ES28)</f>
        <v>1059.0740000000001</v>
      </c>
      <c r="ET29" s="102">
        <f>SUM(ET21:ET28)</f>
        <v>1050.8700000000001</v>
      </c>
      <c r="EU29" s="102">
        <f>SUM(EU21:EU28)</f>
        <v>1042.019</v>
      </c>
      <c r="EV29" s="102">
        <f t="shared" si="48"/>
        <v>1042.019</v>
      </c>
      <c r="EW29" s="30"/>
      <c r="EX29" s="102">
        <f>SUM(EX21:EX28)</f>
        <v>1027.498</v>
      </c>
      <c r="EY29" s="102">
        <f>SUM(EY21:EY28)</f>
        <v>1001.3969999999999</v>
      </c>
      <c r="EZ29" s="102">
        <f>SUM(EZ21:EZ28)</f>
        <v>992.31499999999994</v>
      </c>
      <c r="FA29" s="102">
        <f>SUM(FA21:FA28)</f>
        <v>996.24470000000008</v>
      </c>
      <c r="FB29" s="543">
        <f t="shared" si="49"/>
        <v>996.24470000000008</v>
      </c>
      <c r="FC29" s="30"/>
      <c r="FD29" s="543">
        <f>SUM(FD21:FD28)</f>
        <v>995.36085500000002</v>
      </c>
      <c r="FE29" s="102">
        <f>SUM(FE21:FE28)</f>
        <v>994.56539450000002</v>
      </c>
      <c r="FF29" s="102">
        <f>SUM(FF21:FF28)</f>
        <v>993.84948005000012</v>
      </c>
      <c r="FG29" s="102">
        <f>SUM(FG21:FG28)</f>
        <v>993.20515704499996</v>
      </c>
      <c r="FH29" s="102">
        <f t="shared" si="73"/>
        <v>993.20515704499996</v>
      </c>
      <c r="FI29" s="30"/>
      <c r="FJ29" s="102">
        <f>SUM(FJ21:FJ28)</f>
        <v>993.31003696549999</v>
      </c>
      <c r="FK29" s="102">
        <f>SUM(FK21:FK28)</f>
        <v>993.40442889395001</v>
      </c>
      <c r="FL29" s="102">
        <f>SUM(FL21:FL28)</f>
        <v>993.48938162955494</v>
      </c>
      <c r="FM29" s="102">
        <f>SUM(FM21:FM28)</f>
        <v>993.56583909159951</v>
      </c>
      <c r="FN29" s="102">
        <f t="shared" si="51"/>
        <v>993.56583909159951</v>
      </c>
      <c r="FO29" s="30"/>
      <c r="FP29" s="102">
        <f>SUM(FP21:FP28)</f>
        <v>994.37762693556454</v>
      </c>
      <c r="FQ29" s="102">
        <f>SUM(FQ21:FQ28)</f>
        <v>995.10823599513321</v>
      </c>
      <c r="FR29" s="102">
        <f>SUM(FR21:FR28)</f>
        <v>995.76578414874473</v>
      </c>
      <c r="FS29" s="102">
        <f>SUM(FS21:FS28)</f>
        <v>996.35757748699541</v>
      </c>
      <c r="FT29" s="102">
        <f t="shared" si="74"/>
        <v>996.35757748699541</v>
      </c>
      <c r="FU29" s="30"/>
      <c r="FV29" s="102">
        <f>SUM(FV21:FV28)</f>
        <v>997.69632059043636</v>
      </c>
      <c r="FW29" s="102">
        <f>SUM(FW21:FW28)</f>
        <v>998.90118938353351</v>
      </c>
      <c r="FX29" s="102">
        <f>SUM(FX21:FX28)</f>
        <v>999.98557129732069</v>
      </c>
      <c r="FY29" s="102">
        <f>SUM(FY21:FY28)</f>
        <v>1000.9615150197293</v>
      </c>
      <c r="FZ29" s="102">
        <f t="shared" si="53"/>
        <v>1000.9615150197293</v>
      </c>
      <c r="GA29" s="30"/>
      <c r="GB29" s="102">
        <f>SUM(GB21:GB28)</f>
        <v>1002.2706740976886</v>
      </c>
      <c r="GC29" s="102">
        <f>SUM(GC21:GC28)</f>
        <v>1003.4434624383604</v>
      </c>
      <c r="GD29" s="102">
        <f>SUM(GD21:GD28)</f>
        <v>1004.4940853268789</v>
      </c>
      <c r="GE29" s="102">
        <f>SUM(GE21:GE28)</f>
        <v>1005.4352683311766</v>
      </c>
      <c r="GF29" s="102">
        <f t="shared" si="75"/>
        <v>1005.4352683311766</v>
      </c>
      <c r="GG29" s="30"/>
      <c r="GH29" s="102">
        <f>SUM(GH21:GH28)</f>
        <v>1007.2230132708904</v>
      </c>
      <c r="GI29" s="102">
        <f>SUM(GI21:GI28)</f>
        <v>1008.8245347793842</v>
      </c>
      <c r="GJ29" s="102">
        <f>SUM(GJ21:GJ28)</f>
        <v>1010.2592311307432</v>
      </c>
      <c r="GK29" s="102">
        <f>SUM(GK21:GK28)</f>
        <v>1011.5444799455021</v>
      </c>
      <c r="GL29" s="102">
        <f t="shared" si="76"/>
        <v>1011.5444799455021</v>
      </c>
      <c r="GM29" s="30"/>
      <c r="GN29" s="102">
        <f>SUM(GN21:GN28)</f>
        <v>1013.1804194096836</v>
      </c>
      <c r="GO29" s="102">
        <f>SUM(GO21:GO28)</f>
        <v>1014.6385393668889</v>
      </c>
      <c r="GP29" s="102">
        <f>SUM(GP21:GP28)</f>
        <v>1015.9381680243981</v>
      </c>
      <c r="GQ29" s="102">
        <f>SUM(GQ21:GQ28)</f>
        <v>1017.0965326973954</v>
      </c>
      <c r="GR29" s="102">
        <f t="shared" si="56"/>
        <v>1017.0965326973954</v>
      </c>
      <c r="GS29" s="30"/>
      <c r="GT29" s="102">
        <f>SUM(GT21:GT28)</f>
        <v>1019.2353751729319</v>
      </c>
      <c r="GU29" s="102">
        <f>SUM(GU21:GU28)</f>
        <v>1021.1417347706926</v>
      </c>
      <c r="GV29" s="102">
        <f>SUM(GV21:GV28)</f>
        <v>1022.8408813686966</v>
      </c>
      <c r="GW29" s="102">
        <f>SUM(GW21:GW28)</f>
        <v>1024.3553381190918</v>
      </c>
      <c r="GX29" s="102">
        <f t="shared" si="77"/>
        <v>1024.3553381190918</v>
      </c>
      <c r="GY29" s="30"/>
      <c r="GZ29" s="102">
        <f>SUM(GZ21:GZ28)</f>
        <v>1026.9056099069601</v>
      </c>
      <c r="HA29" s="102">
        <f>SUM(HA21:HA28)</f>
        <v>1029.178678239625</v>
      </c>
      <c r="HB29" s="102">
        <f>SUM(HB21:HB28)</f>
        <v>1031.2046739274354</v>
      </c>
      <c r="HC29" s="102">
        <f>SUM(HC21:HC28)</f>
        <v>1033.0104526926573</v>
      </c>
      <c r="HD29" s="102">
        <f t="shared" si="58"/>
        <v>1033.0104526926573</v>
      </c>
      <c r="HF29" s="102">
        <f>SUM(HF21:HF28)</f>
        <v>1035.9224176005985</v>
      </c>
      <c r="HG29" s="102">
        <f>SUM(HG21:HG28)</f>
        <v>1038.5178645837632</v>
      </c>
      <c r="HH29" s="102">
        <f>SUM(HH21:HH28)</f>
        <v>1040.83119776441</v>
      </c>
      <c r="HI29" s="102">
        <f>SUM(HI21:HI28)</f>
        <v>1042.893081686291</v>
      </c>
      <c r="HJ29" s="102">
        <f t="shared" si="59"/>
        <v>1042.893081686291</v>
      </c>
    </row>
    <row r="30" spans="1:218" ht="9.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c r="EO30" s="102"/>
      <c r="EP30" s="102"/>
      <c r="EQ30" s="102"/>
      <c r="ER30" s="102"/>
      <c r="ES30" s="102"/>
      <c r="ET30" s="102"/>
      <c r="EU30" s="102"/>
      <c r="EV30" s="102"/>
      <c r="EW30" s="30"/>
      <c r="EX30" s="102"/>
      <c r="EY30" s="102"/>
      <c r="EZ30" s="102"/>
      <c r="FA30" s="102"/>
      <c r="FB30" s="543"/>
      <c r="FC30" s="30"/>
      <c r="FD30" s="543"/>
      <c r="FE30" s="102"/>
      <c r="FF30" s="102"/>
      <c r="FG30" s="102"/>
      <c r="FH30" s="102"/>
      <c r="FI30" s="30"/>
      <c r="FJ30" s="102"/>
      <c r="FK30" s="102"/>
      <c r="FL30" s="102"/>
      <c r="FM30" s="102"/>
      <c r="FN30" s="102"/>
      <c r="FO30" s="30"/>
      <c r="FP30" s="102"/>
      <c r="FQ30" s="102"/>
      <c r="FR30" s="102"/>
      <c r="FS30" s="102"/>
      <c r="FT30" s="102"/>
      <c r="FU30" s="30"/>
      <c r="FV30" s="102"/>
      <c r="FW30" s="102"/>
      <c r="FX30" s="102"/>
      <c r="FY30" s="102"/>
      <c r="FZ30" s="102"/>
      <c r="GA30" s="30"/>
      <c r="GB30" s="102"/>
      <c r="GC30" s="102"/>
      <c r="GD30" s="102"/>
      <c r="GE30" s="102"/>
      <c r="GF30" s="102"/>
      <c r="GG30" s="30"/>
      <c r="GH30" s="102"/>
      <c r="GI30" s="102"/>
      <c r="GJ30" s="102"/>
      <c r="GK30" s="102"/>
      <c r="GL30" s="102"/>
      <c r="GM30" s="30"/>
      <c r="GN30" s="102"/>
      <c r="GO30" s="102"/>
      <c r="GP30" s="102"/>
      <c r="GQ30" s="102"/>
      <c r="GR30" s="102"/>
      <c r="GS30" s="30"/>
      <c r="GT30" s="102"/>
      <c r="GU30" s="102"/>
      <c r="GV30" s="102"/>
      <c r="GW30" s="102"/>
      <c r="GX30" s="102"/>
      <c r="GY30" s="30"/>
      <c r="GZ30" s="102"/>
      <c r="HA30" s="102"/>
      <c r="HB30" s="102"/>
      <c r="HC30" s="102"/>
      <c r="HD30" s="102"/>
      <c r="HF30" s="102"/>
      <c r="HG30" s="102"/>
      <c r="HH30" s="102"/>
      <c r="HI30" s="102"/>
      <c r="HJ30" s="102"/>
    </row>
    <row r="31" spans="1:218" s="531" customFormat="1">
      <c r="A31" s="29" t="s">
        <v>51</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821">
        <f>DH19+DH29</f>
        <v>349.27200000000005</v>
      </c>
      <c r="DI31" s="821">
        <f>DI19+DI29</f>
        <v>345.78300000000002</v>
      </c>
      <c r="DJ31" s="821">
        <f>DJ19+DJ29</f>
        <v>455.13900000000001</v>
      </c>
      <c r="DK31" s="821">
        <f>DK19+DK29</f>
        <v>505.01499999999999</v>
      </c>
      <c r="DL31" s="821">
        <f>DL19+DL29</f>
        <v>505.01499999999999</v>
      </c>
      <c r="DM31" s="821"/>
      <c r="DN31" s="821">
        <f>DN19+DN29</f>
        <v>533.34300000000007</v>
      </c>
      <c r="DO31" s="821">
        <f>DO19+DO29</f>
        <v>696.66700000000003</v>
      </c>
      <c r="DP31" s="821">
        <f>DP19+DP29</f>
        <v>711.15499999999997</v>
      </c>
      <c r="DQ31" s="821">
        <f>DQ19+DQ29</f>
        <v>709.50599999999986</v>
      </c>
      <c r="DR31" s="821">
        <f>DR19+DR29</f>
        <v>709.50599999999986</v>
      </c>
      <c r="DS31" s="821"/>
      <c r="DT31" s="821">
        <f>DT19+DT29</f>
        <v>732.24699999999996</v>
      </c>
      <c r="DU31" s="821">
        <f>DU19+DU29</f>
        <v>945.48500000000013</v>
      </c>
      <c r="DV31" s="821">
        <f>DV19+DV29</f>
        <v>959.42800000000011</v>
      </c>
      <c r="DW31" s="821">
        <f>DW19+DW29</f>
        <v>988.33100000000013</v>
      </c>
      <c r="DX31" s="821">
        <f>DX19+DX29</f>
        <v>988.33100000000013</v>
      </c>
      <c r="DY31" s="821"/>
      <c r="DZ31" s="821">
        <f>DZ19+DZ29</f>
        <v>1494.413</v>
      </c>
      <c r="EA31" s="821">
        <f>EA19+EA29</f>
        <v>1896.3109999999999</v>
      </c>
      <c r="EB31" s="821">
        <f>EB19+EB29</f>
        <v>1906.3870000000002</v>
      </c>
      <c r="EC31" s="821">
        <f>EC19+EC29</f>
        <v>1869.7779999999998</v>
      </c>
      <c r="ED31" s="821">
        <f>ED19+ED29</f>
        <v>1869.7779999999998</v>
      </c>
      <c r="EE31" s="821"/>
      <c r="EF31" s="821">
        <f>EF19+EF29</f>
        <v>1829.547</v>
      </c>
      <c r="EG31" s="821">
        <f>EG19+EG29</f>
        <v>1792.1129999999998</v>
      </c>
      <c r="EH31" s="821">
        <f>EH19+EH29</f>
        <v>1755.5819999999999</v>
      </c>
      <c r="EI31" s="821">
        <f>EI19+EI29</f>
        <v>1740.0340000000001</v>
      </c>
      <c r="EJ31" s="821">
        <f>EJ19+EJ29</f>
        <v>1740.0340000000001</v>
      </c>
      <c r="EK31" s="821"/>
      <c r="EL31" s="821">
        <f>EL19+EL29</f>
        <v>1709.1739999999998</v>
      </c>
      <c r="EM31" s="821">
        <f>EM19+EM29</f>
        <v>1695.1079999999999</v>
      </c>
      <c r="EN31" s="821">
        <f>EN19+EN29</f>
        <v>1678.2410000000002</v>
      </c>
      <c r="EO31" s="821">
        <f>EO19+EO29</f>
        <v>1681.2289999999998</v>
      </c>
      <c r="EP31" s="821">
        <f>EP19+EP29</f>
        <v>1681.2289999999998</v>
      </c>
      <c r="EQ31" s="821"/>
      <c r="ER31" s="821">
        <f>ER19+ER29</f>
        <v>1640.3389999999999</v>
      </c>
      <c r="ES31" s="821">
        <f>ES19+ES29</f>
        <v>1643.277</v>
      </c>
      <c r="ET31" s="821">
        <f>ET19+ET29</f>
        <v>1641.1110000000001</v>
      </c>
      <c r="EU31" s="821">
        <f>EU19+EU29</f>
        <v>1638.038</v>
      </c>
      <c r="EV31" s="821">
        <f>EU31</f>
        <v>1638.038</v>
      </c>
      <c r="EW31" s="29"/>
      <c r="EX31" s="821">
        <f>EX19+EX29</f>
        <v>1601.4300000000003</v>
      </c>
      <c r="EY31" s="821">
        <f>EY19+EY29</f>
        <v>1393.95</v>
      </c>
      <c r="EZ31" s="821">
        <f>EZ19+EZ29</f>
        <v>1374.78</v>
      </c>
      <c r="FA31" s="821">
        <f>FA19+FA29</f>
        <v>1381.0873087903603</v>
      </c>
      <c r="FB31" s="822">
        <f>FA31</f>
        <v>1381.0873087903603</v>
      </c>
      <c r="FC31" s="29"/>
      <c r="FD31" s="822">
        <f>FD19+FD29</f>
        <v>1383.2768620441434</v>
      </c>
      <c r="FE31" s="821">
        <f>FE19+FE29</f>
        <v>1388.0438295292356</v>
      </c>
      <c r="FF31" s="821">
        <f>FF19+FF29</f>
        <v>1398.0114149160161</v>
      </c>
      <c r="FG31" s="821">
        <f>FG19+FG29</f>
        <v>1410.5633233893507</v>
      </c>
      <c r="FH31" s="821">
        <f>FG31</f>
        <v>1410.5633233893507</v>
      </c>
      <c r="FI31" s="29"/>
      <c r="FJ31" s="821">
        <f>FJ19+FJ29</f>
        <v>1423.5275096568057</v>
      </c>
      <c r="FK31" s="821">
        <f>FK19+FK29</f>
        <v>1435.9372346628008</v>
      </c>
      <c r="FL31" s="821">
        <f>FL19+FL29</f>
        <v>1448.911990900895</v>
      </c>
      <c r="FM31" s="821">
        <f>FM19+FM29</f>
        <v>1805.2186761917797</v>
      </c>
      <c r="FN31" s="821">
        <f>FM31</f>
        <v>1805.2186761917797</v>
      </c>
      <c r="FO31" s="29"/>
      <c r="FP31" s="821">
        <f>FP19+FP29</f>
        <v>1822.1655228783898</v>
      </c>
      <c r="FQ31" s="821">
        <f>FQ19+FQ29</f>
        <v>1838.9935415536322</v>
      </c>
      <c r="FR31" s="821">
        <f>FR19+FR29</f>
        <v>1856.7036517311253</v>
      </c>
      <c r="FS31" s="821">
        <f>FS19+FS29</f>
        <v>1529.6891068206965</v>
      </c>
      <c r="FT31" s="821">
        <f>FS31</f>
        <v>1529.6891068206965</v>
      </c>
      <c r="FU31" s="29"/>
      <c r="FV31" s="821">
        <f>FV19+FV29</f>
        <v>1550.0903509404679</v>
      </c>
      <c r="FW31" s="821">
        <f>FW19+FW29</f>
        <v>1567.9749836648621</v>
      </c>
      <c r="FX31" s="821">
        <f>FX19+FX29</f>
        <v>1586.8706380873566</v>
      </c>
      <c r="FY31" s="821">
        <f>FY19+FY29</f>
        <v>1606.3868537577107</v>
      </c>
      <c r="FZ31" s="821">
        <f>FY31</f>
        <v>1606.3868537577107</v>
      </c>
      <c r="GA31" s="29"/>
      <c r="GB31" s="821">
        <f>GB19+GB29</f>
        <v>1633.3840272216814</v>
      </c>
      <c r="GC31" s="821">
        <f>GC19+GC29</f>
        <v>1657.7632806374138</v>
      </c>
      <c r="GD31" s="821">
        <f>GD19+GD29</f>
        <v>1683.4888426790721</v>
      </c>
      <c r="GE31" s="821">
        <f>GE19+GE29</f>
        <v>1710.047903643394</v>
      </c>
      <c r="GF31" s="821">
        <f>GE31</f>
        <v>1710.047903643394</v>
      </c>
      <c r="GG31" s="29"/>
      <c r="GH31" s="821">
        <f>GH19+GH29</f>
        <v>1744.2328691198727</v>
      </c>
      <c r="GI31" s="821">
        <f>GI19+GI29</f>
        <v>1775.904060350952</v>
      </c>
      <c r="GJ31" s="821">
        <f>GJ19+GJ29</f>
        <v>1809.2905615741574</v>
      </c>
      <c r="GK31" s="821">
        <f>GK19+GK29</f>
        <v>1500.4698494108927</v>
      </c>
      <c r="GL31" s="821">
        <f>GK31</f>
        <v>1500.4698494108927</v>
      </c>
      <c r="GM31" s="29"/>
      <c r="GN31" s="821">
        <f>GN19+GN29</f>
        <v>1544.1566604131963</v>
      </c>
      <c r="GO31" s="821">
        <f>GO19+GO29</f>
        <v>1585.5038693754536</v>
      </c>
      <c r="GP31" s="821">
        <f>GP19+GP29</f>
        <v>1628.9917508751932</v>
      </c>
      <c r="GQ31" s="821">
        <f>GQ19+GQ29</f>
        <v>1673.8217710326521</v>
      </c>
      <c r="GR31" s="821">
        <f>GQ31</f>
        <v>1673.8217710326521</v>
      </c>
      <c r="GS31" s="29"/>
      <c r="GT31" s="821">
        <f>GT19+GT29</f>
        <v>1725.8842438190807</v>
      </c>
      <c r="GU31" s="821">
        <f>GU19+GU29</f>
        <v>1775.7733918842068</v>
      </c>
      <c r="GV31" s="821">
        <f>GV19+GV29</f>
        <v>1828.2196514818415</v>
      </c>
      <c r="GW31" s="821">
        <f>GW19+GW29</f>
        <v>1882.2733004917259</v>
      </c>
      <c r="GX31" s="821">
        <f>GW31</f>
        <v>1882.2733004917259</v>
      </c>
      <c r="GY31" s="29"/>
      <c r="GZ31" s="821">
        <f>GZ19+GZ29</f>
        <v>1943.7561810022967</v>
      </c>
      <c r="HA31" s="821">
        <f>HA19+HA29</f>
        <v>2003.2965058565251</v>
      </c>
      <c r="HB31" s="821">
        <f>HB19+HB29</f>
        <v>2065.8614418680072</v>
      </c>
      <c r="HC31" s="821">
        <f>HC19+HC29</f>
        <v>2130.3320950419643</v>
      </c>
      <c r="HD31" s="821">
        <f>HC31</f>
        <v>2130.3320950419643</v>
      </c>
      <c r="HF31" s="821">
        <f>HF19+HF29</f>
        <v>2202.017235263183</v>
      </c>
      <c r="HG31" s="821">
        <f>HG19+HG29</f>
        <v>2272.0387171207112</v>
      </c>
      <c r="HH31" s="821">
        <f>HH19+HH29</f>
        <v>2345.5865641469718</v>
      </c>
      <c r="HI31" s="821">
        <f>HI19+HI29</f>
        <v>2421.3608939235201</v>
      </c>
      <c r="HJ31" s="821">
        <f>HI31</f>
        <v>2421.3608939235201</v>
      </c>
    </row>
    <row r="32" spans="1:218" ht="9.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c r="EO32" s="102"/>
      <c r="EP32" s="102"/>
      <c r="EQ32" s="102"/>
      <c r="ER32" s="102"/>
      <c r="ES32" s="102"/>
      <c r="ET32" s="102"/>
      <c r="EU32" s="102"/>
      <c r="EV32" s="102"/>
      <c r="EW32" s="30"/>
      <c r="EX32" s="102"/>
      <c r="EY32" s="102"/>
      <c r="EZ32" s="102"/>
      <c r="FA32" s="102"/>
      <c r="FB32" s="543"/>
      <c r="FC32" s="30"/>
      <c r="FD32" s="543"/>
      <c r="FE32" s="102"/>
      <c r="FF32" s="102"/>
      <c r="FG32" s="102"/>
      <c r="FH32" s="102"/>
      <c r="FI32" s="30"/>
      <c r="FJ32" s="102"/>
      <c r="FK32" s="102"/>
      <c r="FL32" s="102"/>
      <c r="FM32" s="102"/>
      <c r="FN32" s="102"/>
      <c r="FO32" s="30"/>
      <c r="FP32" s="102"/>
      <c r="FQ32" s="102"/>
      <c r="FR32" s="102"/>
      <c r="FS32" s="102"/>
      <c r="FT32" s="102"/>
      <c r="FU32" s="30"/>
      <c r="FV32" s="102"/>
      <c r="FW32" s="102"/>
      <c r="FX32" s="102"/>
      <c r="FY32" s="102"/>
      <c r="FZ32" s="102"/>
      <c r="GA32" s="30"/>
      <c r="GB32" s="102"/>
      <c r="GC32" s="102"/>
      <c r="GD32" s="102"/>
      <c r="GE32" s="102"/>
      <c r="GF32" s="102"/>
      <c r="GG32" s="30"/>
      <c r="GH32" s="102"/>
      <c r="GI32" s="102"/>
      <c r="GJ32" s="102"/>
      <c r="GK32" s="102"/>
      <c r="GL32" s="102"/>
      <c r="GM32" s="30"/>
      <c r="GN32" s="102"/>
      <c r="GO32" s="102"/>
      <c r="GP32" s="102"/>
      <c r="GQ32" s="102"/>
      <c r="GR32" s="102"/>
      <c r="GS32" s="30"/>
      <c r="GT32" s="102"/>
      <c r="GU32" s="102"/>
      <c r="GV32" s="102"/>
      <c r="GW32" s="102"/>
      <c r="GX32" s="102"/>
      <c r="GY32" s="30"/>
      <c r="GZ32" s="102"/>
      <c r="HA32" s="102"/>
      <c r="HB32" s="102"/>
      <c r="HC32" s="102"/>
      <c r="HD32" s="102"/>
    </row>
    <row r="33" spans="1:218">
      <c r="A33" s="29" t="s">
        <v>551</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433"/>
      <c r="DI33" s="433"/>
      <c r="DJ33" s="433"/>
      <c r="DK33" s="433"/>
      <c r="DL33" s="102"/>
      <c r="DM33" s="102"/>
      <c r="DN33" s="433"/>
      <c r="DO33" s="433"/>
      <c r="DP33" s="433"/>
      <c r="DQ33" s="433"/>
      <c r="DR33" s="102"/>
      <c r="DS33" s="102"/>
      <c r="DT33" s="433"/>
      <c r="DU33" s="433"/>
      <c r="DV33" s="433"/>
      <c r="DW33" s="433"/>
      <c r="DX33" s="102"/>
      <c r="DY33" s="102"/>
      <c r="DZ33" s="433"/>
      <c r="EA33" s="433"/>
      <c r="EB33" s="433"/>
      <c r="EC33" s="433"/>
      <c r="ED33" s="102"/>
      <c r="EE33" s="102"/>
      <c r="EF33" s="433"/>
      <c r="EG33" s="433"/>
      <c r="EH33" s="433"/>
      <c r="EI33" s="433"/>
      <c r="EJ33" s="102"/>
      <c r="EK33" s="102"/>
      <c r="EL33" s="433"/>
      <c r="EM33" s="433"/>
      <c r="EN33" s="433"/>
      <c r="EO33" s="433"/>
      <c r="EP33" s="102"/>
      <c r="EQ33" s="102"/>
      <c r="ER33" s="433"/>
      <c r="ES33" s="102"/>
      <c r="ET33" s="102"/>
      <c r="EU33" s="102"/>
      <c r="EV33" s="102"/>
      <c r="EW33" s="30"/>
      <c r="EX33" s="102"/>
      <c r="EY33" s="102"/>
      <c r="EZ33" s="102"/>
      <c r="FA33" s="102"/>
      <c r="FB33" s="543"/>
      <c r="FC33" s="30"/>
      <c r="FD33" s="543"/>
      <c r="FE33" s="102"/>
      <c r="FF33" s="102"/>
      <c r="FG33" s="102"/>
      <c r="FH33" s="102"/>
      <c r="FI33" s="30"/>
      <c r="FJ33" s="102"/>
      <c r="FK33" s="102"/>
      <c r="FL33" s="102"/>
      <c r="FM33" s="102"/>
      <c r="FN33" s="102"/>
      <c r="FO33" s="30"/>
      <c r="FP33" s="102"/>
      <c r="FQ33" s="102"/>
      <c r="FR33" s="102"/>
      <c r="FS33" s="102"/>
      <c r="FT33" s="102"/>
      <c r="FU33" s="30"/>
      <c r="FV33" s="102"/>
      <c r="FW33" s="102"/>
      <c r="FX33" s="102"/>
      <c r="FY33" s="102"/>
      <c r="FZ33" s="102"/>
      <c r="GA33" s="30"/>
      <c r="GB33" s="102"/>
      <c r="GC33" s="102"/>
      <c r="GD33" s="102"/>
      <c r="GE33" s="102"/>
      <c r="GF33" s="102"/>
      <c r="GG33" s="30"/>
      <c r="GH33" s="102"/>
      <c r="GI33" s="102"/>
      <c r="GJ33" s="102"/>
      <c r="GK33" s="102"/>
      <c r="GL33" s="102"/>
      <c r="GM33" s="30"/>
      <c r="GN33" s="102"/>
      <c r="GO33" s="102"/>
      <c r="GP33" s="102"/>
      <c r="GQ33" s="102"/>
      <c r="GR33" s="102"/>
      <c r="GS33" s="30"/>
      <c r="GT33" s="102"/>
      <c r="GU33" s="102"/>
      <c r="GV33" s="102"/>
      <c r="GW33" s="102"/>
      <c r="GX33" s="102"/>
      <c r="GY33" s="30"/>
      <c r="GZ33" s="102"/>
      <c r="HA33" s="102"/>
      <c r="HB33" s="102"/>
      <c r="HC33" s="102"/>
      <c r="HD33" s="102"/>
    </row>
    <row r="34" spans="1:218">
      <c r="A34" s="30" t="s">
        <v>52</v>
      </c>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433"/>
      <c r="DI34" s="433"/>
      <c r="DJ34" s="433"/>
      <c r="DK34" s="433"/>
      <c r="DL34" s="102"/>
      <c r="DM34" s="102"/>
      <c r="DN34" s="433"/>
      <c r="DO34" s="434"/>
      <c r="DP34" s="433"/>
      <c r="DQ34" s="433"/>
      <c r="DR34" s="102"/>
      <c r="DS34" s="102"/>
      <c r="DT34" s="433"/>
      <c r="DU34" s="434"/>
      <c r="DV34" s="433"/>
      <c r="DW34" s="433"/>
      <c r="DX34" s="102"/>
      <c r="DY34" s="102"/>
      <c r="DZ34" s="433"/>
      <c r="EA34" s="434"/>
      <c r="EB34" s="433"/>
      <c r="EC34" s="433"/>
      <c r="ED34" s="102"/>
      <c r="EE34" s="102"/>
      <c r="EF34" s="433"/>
      <c r="EG34" s="434"/>
      <c r="EH34" s="433"/>
      <c r="EI34" s="433"/>
      <c r="EJ34" s="102"/>
      <c r="EK34" s="102"/>
      <c r="EL34" s="433"/>
      <c r="EM34" s="434"/>
      <c r="EN34" s="433"/>
      <c r="EO34" s="433"/>
      <c r="EP34" s="102"/>
      <c r="EQ34" s="102"/>
      <c r="ER34" s="433"/>
      <c r="ES34" s="102"/>
      <c r="ET34" s="102"/>
      <c r="EU34" s="102"/>
      <c r="EV34" s="102"/>
      <c r="EW34" s="30"/>
      <c r="EX34" s="102"/>
      <c r="EY34" s="102"/>
      <c r="EZ34" s="102"/>
      <c r="FA34" s="102"/>
      <c r="FB34" s="543"/>
      <c r="FC34" s="30"/>
      <c r="FD34" s="543"/>
      <c r="FE34" s="102"/>
      <c r="FF34" s="102"/>
      <c r="FG34" s="102"/>
      <c r="FH34" s="102"/>
      <c r="FI34" s="30"/>
      <c r="FJ34" s="102"/>
      <c r="FK34" s="102"/>
      <c r="FL34" s="102"/>
      <c r="FM34" s="102"/>
      <c r="FN34" s="102"/>
      <c r="FO34" s="30"/>
      <c r="FP34" s="102"/>
      <c r="FQ34" s="102"/>
      <c r="FR34" s="102"/>
      <c r="FS34" s="102"/>
      <c r="FT34" s="102"/>
      <c r="FU34" s="30"/>
      <c r="FV34" s="102"/>
      <c r="FW34" s="102"/>
      <c r="FX34" s="102"/>
      <c r="FY34" s="102"/>
      <c r="FZ34" s="102"/>
      <c r="GA34" s="30"/>
      <c r="GB34" s="102"/>
      <c r="GC34" s="102"/>
      <c r="GD34" s="102"/>
      <c r="GE34" s="102"/>
      <c r="GF34" s="102"/>
      <c r="GG34" s="30"/>
      <c r="GH34" s="102"/>
      <c r="GI34" s="102"/>
      <c r="GJ34" s="102"/>
      <c r="GK34" s="102"/>
      <c r="GL34" s="102"/>
      <c r="GM34" s="30"/>
      <c r="GN34" s="102"/>
      <c r="GO34" s="102"/>
      <c r="GP34" s="102"/>
      <c r="GQ34" s="102"/>
      <c r="GR34" s="102"/>
      <c r="GS34" s="30"/>
      <c r="GT34" s="102"/>
      <c r="GU34" s="102"/>
      <c r="GV34" s="102"/>
      <c r="GW34" s="102"/>
      <c r="GX34" s="102"/>
      <c r="GY34" s="30"/>
      <c r="GZ34" s="102"/>
      <c r="HA34" s="102"/>
      <c r="HB34" s="102"/>
      <c r="HC34" s="102"/>
      <c r="HD34" s="102"/>
    </row>
    <row r="35" spans="1:218">
      <c r="A35" s="30"/>
      <c r="B35" s="30" t="s">
        <v>53</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118"/>
      <c r="BT35" s="118"/>
      <c r="BU35" s="30"/>
      <c r="BV35" s="30"/>
      <c r="BW35" s="30"/>
      <c r="BX35" s="118"/>
      <c r="BY35" s="30"/>
      <c r="BZ35" s="30"/>
      <c r="CA35" s="30"/>
      <c r="CB35" s="122"/>
      <c r="CC35" s="122"/>
      <c r="CD35" s="118"/>
      <c r="CE35" s="118"/>
      <c r="CF35" s="118"/>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102">
        <v>13.048</v>
      </c>
      <c r="DI35" s="102">
        <v>12.337</v>
      </c>
      <c r="DJ35" s="102">
        <v>9.1999999999999993</v>
      </c>
      <c r="DK35" s="102">
        <v>17.779</v>
      </c>
      <c r="DL35" s="102">
        <f t="shared" ref="DL35:DL41" si="78">DK35</f>
        <v>17.779</v>
      </c>
      <c r="DM35" s="102"/>
      <c r="DN35" s="102">
        <v>16.513999999999999</v>
      </c>
      <c r="DO35" s="102">
        <v>16.326000000000001</v>
      </c>
      <c r="DP35" s="102">
        <v>17.995000000000001</v>
      </c>
      <c r="DQ35" s="102">
        <v>19.568000000000001</v>
      </c>
      <c r="DR35" s="102">
        <f t="shared" ref="DR35:DR41" si="79">DQ35</f>
        <v>19.568000000000001</v>
      </c>
      <c r="DS35" s="102"/>
      <c r="DT35" s="102">
        <v>20.452999999999999</v>
      </c>
      <c r="DU35" s="102">
        <v>19.198</v>
      </c>
      <c r="DV35" s="102">
        <v>17.734999999999999</v>
      </c>
      <c r="DW35" s="102">
        <v>24.965</v>
      </c>
      <c r="DX35" s="102">
        <f t="shared" ref="DX35:DX41" si="80">DW35</f>
        <v>24.965</v>
      </c>
      <c r="DY35" s="102"/>
      <c r="DZ35" s="102">
        <v>18.919</v>
      </c>
      <c r="EA35" s="102">
        <v>23.056000000000001</v>
      </c>
      <c r="EB35" s="102">
        <v>28.536000000000001</v>
      </c>
      <c r="EC35" s="102">
        <v>17.920999999999999</v>
      </c>
      <c r="ED35" s="102">
        <f t="shared" ref="ED35:ED41" si="81">EC35</f>
        <v>17.920999999999999</v>
      </c>
      <c r="EE35" s="102"/>
      <c r="EF35" s="102">
        <v>20.481000000000002</v>
      </c>
      <c r="EG35" s="102">
        <v>16.849</v>
      </c>
      <c r="EH35" s="102">
        <v>13.708</v>
      </c>
      <c r="EI35" s="102">
        <v>20.51</v>
      </c>
      <c r="EJ35" s="102">
        <f t="shared" ref="EJ35:EJ41" si="82">EI35</f>
        <v>20.51</v>
      </c>
      <c r="EK35" s="102"/>
      <c r="EL35" s="102">
        <v>22.712</v>
      </c>
      <c r="EM35" s="102">
        <v>17.913</v>
      </c>
      <c r="EN35" s="102">
        <v>16.818999999999999</v>
      </c>
      <c r="EO35" s="102">
        <v>20.334</v>
      </c>
      <c r="EP35" s="102">
        <f t="shared" ref="EP35:EP41" si="83">EO35</f>
        <v>20.334</v>
      </c>
      <c r="EQ35" s="102"/>
      <c r="ER35" s="102">
        <v>18.335999999999999</v>
      </c>
      <c r="ES35" s="102">
        <v>17.186</v>
      </c>
      <c r="ET35" s="102">
        <v>16.513999999999999</v>
      </c>
      <c r="EU35" s="102">
        <v>21.606999999999999</v>
      </c>
      <c r="EV35" s="102">
        <f t="shared" ref="EV35:EV41" si="84">EU35</f>
        <v>21.606999999999999</v>
      </c>
      <c r="EW35" s="30"/>
      <c r="EX35" s="102">
        <v>16.210999999999999</v>
      </c>
      <c r="EY35" s="102">
        <v>27.492000000000001</v>
      </c>
      <c r="EZ35" s="102">
        <v>22.611000000000001</v>
      </c>
      <c r="FA35" s="102">
        <f>FA83*FA78/365</f>
        <v>24.018013395865275</v>
      </c>
      <c r="FB35" s="543">
        <f t="shared" ref="FB35:FB41" si="85">FA35</f>
        <v>24.018013395865275</v>
      </c>
      <c r="FC35" s="30"/>
      <c r="FD35" s="543">
        <f>FD83*FD78/365</f>
        <v>24.445329149234155</v>
      </c>
      <c r="FE35" s="102">
        <f>FE83*FE78/365</f>
        <v>24.805415968507756</v>
      </c>
      <c r="FF35" s="102">
        <f>FF83*FF78/365</f>
        <v>25.272759032809564</v>
      </c>
      <c r="FG35" s="102">
        <f>FG83*FG78/365</f>
        <v>25.828993241437203</v>
      </c>
      <c r="FH35" s="102">
        <f t="shared" ref="FH35:FH41" si="86">FG35</f>
        <v>25.828993241437203</v>
      </c>
      <c r="FI35" s="30"/>
      <c r="FJ35" s="102">
        <f>FJ83*FJ78/365</f>
        <v>27.517570894383418</v>
      </c>
      <c r="FK35" s="102">
        <f>FK83*FK78/365</f>
        <v>27.930919497632164</v>
      </c>
      <c r="FL35" s="102">
        <f>FL83*FL78/365</f>
        <v>28.357272993203882</v>
      </c>
      <c r="FM35" s="102">
        <f>FM83*FM78/365</f>
        <v>28.925422890789246</v>
      </c>
      <c r="FN35" s="102">
        <f t="shared" ref="FN35:FN41" si="87">FM35</f>
        <v>28.925422890789246</v>
      </c>
      <c r="FO35" s="30"/>
      <c r="FP35" s="102">
        <f>FP83*FP78/365</f>
        <v>30.662880671284622</v>
      </c>
      <c r="FQ35" s="102">
        <f>FQ83*FQ78/365</f>
        <v>31.192968414742332</v>
      </c>
      <c r="FR35" s="102">
        <f>FR83*FR78/365</f>
        <v>31.748834325503275</v>
      </c>
      <c r="FS35" s="102">
        <f>FS83*FS78/365</f>
        <v>32.320092576284964</v>
      </c>
      <c r="FT35" s="102">
        <f t="shared" ref="FT35:FT41" si="88">FS35</f>
        <v>32.320092576284964</v>
      </c>
      <c r="FU35" s="30"/>
      <c r="FV35" s="102">
        <f>FV83*FV78/365</f>
        <v>34.161987221815011</v>
      </c>
      <c r="FW35" s="102">
        <f>FW83*FW78/365</f>
        <v>34.707201123291632</v>
      </c>
      <c r="FX35" s="102">
        <f>FX83*FX78/365</f>
        <v>35.278869337787008</v>
      </c>
      <c r="FY35" s="102">
        <f>FY83*FY78/365</f>
        <v>35.865921939053166</v>
      </c>
      <c r="FZ35" s="102">
        <f t="shared" ref="FZ35:FZ41" si="89">FY35</f>
        <v>35.865921939053166</v>
      </c>
      <c r="GA35" s="30"/>
      <c r="GB35" s="102">
        <f>GB83*GB78/365</f>
        <v>37.802792432134595</v>
      </c>
      <c r="GC35" s="102">
        <f>GC83*GC78/365</f>
        <v>38.355896546238121</v>
      </c>
      <c r="GD35" s="102">
        <f>GD83*GD78/365</f>
        <v>38.935837814212512</v>
      </c>
      <c r="GE35" s="102">
        <f>GE83*GE78/365</f>
        <v>39.531386108333564</v>
      </c>
      <c r="GF35" s="102">
        <f t="shared" ref="GF35:GF41" si="90">GE35</f>
        <v>39.531386108333564</v>
      </c>
      <c r="GG35" s="30"/>
      <c r="GH35" s="102">
        <f>GH83*GH78/365</f>
        <v>41.534486341884374</v>
      </c>
      <c r="GI35" s="102">
        <f>GI83*GI78/365</f>
        <v>42.067176259356366</v>
      </c>
      <c r="GJ35" s="102">
        <f>GJ83*GJ78/365</f>
        <v>42.625712813864894</v>
      </c>
      <c r="GK35" s="102">
        <f>GK83*GK78/365</f>
        <v>43.199280363909466</v>
      </c>
      <c r="GL35" s="102">
        <f t="shared" ref="GL35:GL41" si="91">GK35</f>
        <v>43.199280363909466</v>
      </c>
      <c r="GM35" s="30"/>
      <c r="GN35" s="102">
        <f>GN83*GN78/365</f>
        <v>45.269194067851188</v>
      </c>
      <c r="GO35" s="102">
        <f>GO83*GO78/365</f>
        <v>45.788640657218778</v>
      </c>
      <c r="GP35" s="102">
        <f>GP83*GP78/365</f>
        <v>46.33329130435974</v>
      </c>
      <c r="GQ35" s="102">
        <f>GQ83*GQ78/365</f>
        <v>46.892599257955929</v>
      </c>
      <c r="GR35" s="102">
        <f t="shared" ref="GR35:GR41" si="92">GQ35</f>
        <v>46.892599257955929</v>
      </c>
      <c r="GS35" s="30"/>
      <c r="GT35" s="102">
        <f>GT83*GT78/365</f>
        <v>49.014694089260196</v>
      </c>
      <c r="GU35" s="102">
        <f>GU83*GU78/365</f>
        <v>49.510344460912535</v>
      </c>
      <c r="GV35" s="102">
        <f>GV83*GV78/365</f>
        <v>50.03004427452526</v>
      </c>
      <c r="GW35" s="102">
        <f>GW83*GW78/365</f>
        <v>50.56372993295949</v>
      </c>
      <c r="GX35" s="102">
        <f t="shared" ref="GX35:GX41" si="93">GW35</f>
        <v>50.56372993295949</v>
      </c>
      <c r="GY35" s="30"/>
      <c r="GZ35" s="102">
        <f>GZ83*GZ78/365</f>
        <v>52.721620871425955</v>
      </c>
      <c r="HA35" s="102">
        <f>HA83*HA78/365</f>
        <v>53.18227416398846</v>
      </c>
      <c r="HB35" s="102">
        <f>HB83*HB78/365</f>
        <v>53.665278805923322</v>
      </c>
      <c r="HC35" s="102">
        <f>HC83*HC78/365</f>
        <v>54.161281774571471</v>
      </c>
      <c r="HD35" s="102">
        <f t="shared" ref="HD35:HD41" si="94">HC35</f>
        <v>54.161281774571471</v>
      </c>
      <c r="HF35" s="102">
        <f>HF83*HF78/365</f>
        <v>56.337074307908807</v>
      </c>
      <c r="HG35" s="102">
        <f>HG83*HG78/365</f>
        <v>56.75111227018445</v>
      </c>
      <c r="HH35" s="102">
        <f>HH83*HH78/365</f>
        <v>57.185239760306004</v>
      </c>
      <c r="HI35" s="102">
        <f>HI83*HI78/365</f>
        <v>57.631050225003555</v>
      </c>
      <c r="HJ35" s="102">
        <f t="shared" ref="HJ35:HJ41" si="95">HI35</f>
        <v>57.631050225003555</v>
      </c>
    </row>
    <row r="36" spans="1:218">
      <c r="A36" s="30"/>
      <c r="B36" s="30" t="s">
        <v>413</v>
      </c>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118"/>
      <c r="BT36" s="118"/>
      <c r="BU36" s="30"/>
      <c r="BV36" s="30"/>
      <c r="BW36" s="30"/>
      <c r="BX36" s="118"/>
      <c r="BY36" s="30"/>
      <c r="BZ36" s="30"/>
      <c r="CA36" s="30"/>
      <c r="CB36" s="30"/>
      <c r="CC36" s="30"/>
      <c r="CD36" s="118"/>
      <c r="CE36" s="118"/>
      <c r="CF36" s="118"/>
      <c r="CG36" s="30"/>
      <c r="CH36" s="30"/>
      <c r="CI36" s="30"/>
      <c r="CJ36" s="30"/>
      <c r="CK36" s="30"/>
      <c r="CL36" s="30"/>
      <c r="CM36" s="30"/>
      <c r="CN36" s="30"/>
      <c r="CO36" s="30"/>
      <c r="CP36" s="30"/>
      <c r="CQ36" s="30"/>
      <c r="CR36" s="30"/>
      <c r="CS36" s="30"/>
      <c r="CT36" s="30"/>
      <c r="CU36" s="30"/>
      <c r="CV36" s="30"/>
      <c r="CW36" s="30"/>
      <c r="CX36" s="122"/>
      <c r="CY36" s="30"/>
      <c r="CZ36" s="30"/>
      <c r="DA36" s="30"/>
      <c r="DB36" s="30"/>
      <c r="DC36" s="30"/>
      <c r="DD36" s="30"/>
      <c r="DE36" s="30"/>
      <c r="DF36" s="30"/>
      <c r="DG36" s="30"/>
      <c r="DH36" s="102">
        <v>10.164</v>
      </c>
      <c r="DI36" s="102">
        <v>11.183999999999999</v>
      </c>
      <c r="DJ36" s="102">
        <v>15.186999999999999</v>
      </c>
      <c r="DK36" s="102">
        <v>19.062000000000001</v>
      </c>
      <c r="DL36" s="102">
        <f t="shared" si="78"/>
        <v>19.062000000000001</v>
      </c>
      <c r="DM36" s="102"/>
      <c r="DN36" s="102">
        <v>18.850999999999999</v>
      </c>
      <c r="DO36" s="102">
        <v>19.620999999999999</v>
      </c>
      <c r="DP36" s="102">
        <v>26.297999999999998</v>
      </c>
      <c r="DQ36" s="102">
        <v>21.364999999999998</v>
      </c>
      <c r="DR36" s="102">
        <f t="shared" si="79"/>
        <v>21.364999999999998</v>
      </c>
      <c r="DS36" s="102"/>
      <c r="DT36" s="102">
        <v>20.81</v>
      </c>
      <c r="DU36" s="102">
        <v>22.065000000000001</v>
      </c>
      <c r="DV36" s="102">
        <v>26.082999999999998</v>
      </c>
      <c r="DW36" s="102">
        <v>24.727</v>
      </c>
      <c r="DX36" s="102">
        <f t="shared" si="80"/>
        <v>24.727</v>
      </c>
      <c r="DY36" s="102"/>
      <c r="DZ36" s="102">
        <v>23.620999999999999</v>
      </c>
      <c r="EA36" s="102">
        <v>38.719000000000001</v>
      </c>
      <c r="EB36" s="102">
        <v>32.283000000000001</v>
      </c>
      <c r="EC36" s="102">
        <v>38.304000000000002</v>
      </c>
      <c r="ED36" s="102">
        <f t="shared" si="81"/>
        <v>38.304000000000002</v>
      </c>
      <c r="EE36" s="102"/>
      <c r="EF36" s="102">
        <v>32.32</v>
      </c>
      <c r="EG36" s="102">
        <v>37.28</v>
      </c>
      <c r="EH36" s="102">
        <v>37.991999999999997</v>
      </c>
      <c r="EI36" s="102">
        <v>40.140999999999998</v>
      </c>
      <c r="EJ36" s="102">
        <f t="shared" si="82"/>
        <v>40.140999999999998</v>
      </c>
      <c r="EK36" s="102"/>
      <c r="EL36" s="102">
        <v>32.890999999999998</v>
      </c>
      <c r="EM36" s="102">
        <v>45.686</v>
      </c>
      <c r="EN36" s="102">
        <v>47.594000000000001</v>
      </c>
      <c r="EO36" s="102">
        <v>53.161000000000001</v>
      </c>
      <c r="EP36" s="102">
        <f t="shared" si="83"/>
        <v>53.161000000000001</v>
      </c>
      <c r="EQ36" s="102"/>
      <c r="ER36" s="102">
        <v>34.609000000000002</v>
      </c>
      <c r="ES36" s="102">
        <v>50.88</v>
      </c>
      <c r="ET36" s="102">
        <v>52.164999999999999</v>
      </c>
      <c r="EU36" s="102">
        <v>62.442999999999998</v>
      </c>
      <c r="EV36" s="102">
        <f t="shared" si="84"/>
        <v>62.442999999999998</v>
      </c>
      <c r="EW36" s="30"/>
      <c r="EX36" s="102">
        <v>39.487000000000002</v>
      </c>
      <c r="EY36" s="102">
        <v>48.557000000000002</v>
      </c>
      <c r="EZ36" s="102">
        <v>51.301000000000002</v>
      </c>
      <c r="FA36" s="102">
        <f>FA89/365*FA77</f>
        <v>48.343370005910643</v>
      </c>
      <c r="FB36" s="543">
        <f t="shared" si="85"/>
        <v>48.343370005910643</v>
      </c>
      <c r="FC36" s="30"/>
      <c r="FD36" s="543">
        <f>FD89/365*FD77</f>
        <v>49.445844530823472</v>
      </c>
      <c r="FE36" s="102">
        <f>FE89/365*FE77</f>
        <v>50.425593529592419</v>
      </c>
      <c r="FF36" s="102">
        <f>FF89/365*FF77</f>
        <v>51.607628029536919</v>
      </c>
      <c r="FG36" s="102">
        <f>FG89/365*FG77</f>
        <v>52.998107806377689</v>
      </c>
      <c r="FH36" s="102">
        <f t="shared" si="86"/>
        <v>52.998107806377689</v>
      </c>
      <c r="FI36" s="30"/>
      <c r="FJ36" s="102">
        <f>FJ89/365*FJ77</f>
        <v>54.19516447619381</v>
      </c>
      <c r="FK36" s="102">
        <f>FK89/365*FK77</f>
        <v>55.469917270596099</v>
      </c>
      <c r="FL36" s="102">
        <f>FL89/365*FL77</f>
        <v>56.806618221396079</v>
      </c>
      <c r="FM36" s="102">
        <f>FM89/365*FM77</f>
        <v>58.18001022295303</v>
      </c>
      <c r="FN36" s="102">
        <f t="shared" si="87"/>
        <v>58.18001022295303</v>
      </c>
      <c r="FO36" s="30"/>
      <c r="FP36" s="102">
        <f>FP89/365*FP77</f>
        <v>59.496463597461123</v>
      </c>
      <c r="FQ36" s="102">
        <f>FQ89/365*FQ77</f>
        <v>60.898544389980799</v>
      </c>
      <c r="FR36" s="102">
        <f>FR89/365*FR77</f>
        <v>62.368766976529329</v>
      </c>
      <c r="FS36" s="102">
        <f>FS89/365*FS77</f>
        <v>63.879390834312154</v>
      </c>
      <c r="FT36" s="102">
        <f t="shared" si="88"/>
        <v>63.879390834312154</v>
      </c>
      <c r="FU36" s="30"/>
      <c r="FV36" s="102">
        <f>FV89/365*FV77</f>
        <v>67.943525311284191</v>
      </c>
      <c r="FW36" s="102">
        <f>FW89/365*FW77</f>
        <v>69.464045209747681</v>
      </c>
      <c r="FX36" s="102">
        <f>FX89/365*FX77</f>
        <v>71.058342224378364</v>
      </c>
      <c r="FY36" s="102">
        <f>FY89/365*FY77</f>
        <v>72.695543989139736</v>
      </c>
      <c r="FZ36" s="102">
        <f t="shared" si="89"/>
        <v>72.695543989139736</v>
      </c>
      <c r="GA36" s="30"/>
      <c r="GB36" s="102">
        <f>GB89/365*GB77</f>
        <v>77.111947494537119</v>
      </c>
      <c r="GC36" s="102">
        <f>GC89/365*GC77</f>
        <v>78.746682596651695</v>
      </c>
      <c r="GD36" s="102">
        <f>GD89/365*GD77</f>
        <v>80.460736648589403</v>
      </c>
      <c r="GE36" s="102">
        <f>GE89/365*GE77</f>
        <v>82.220918279098726</v>
      </c>
      <c r="GF36" s="102">
        <f t="shared" si="90"/>
        <v>82.220918279098726</v>
      </c>
      <c r="GG36" s="30"/>
      <c r="GH36" s="102">
        <f>GH89/365*GH77</f>
        <v>86.951254261162092</v>
      </c>
      <c r="GI36" s="102">
        <f>GI89/365*GI77</f>
        <v>88.650583227675227</v>
      </c>
      <c r="GJ36" s="102">
        <f>GJ89/365*GJ77</f>
        <v>90.43236530163891</v>
      </c>
      <c r="GK36" s="102">
        <f>GK89/365*GK77</f>
        <v>92.262097609448091</v>
      </c>
      <c r="GL36" s="102">
        <f t="shared" si="91"/>
        <v>92.262097609448091</v>
      </c>
      <c r="GM36" s="30"/>
      <c r="GN36" s="102">
        <f>GN89/365*GN77</f>
        <v>97.328140476907123</v>
      </c>
      <c r="GO36" s="102">
        <f>GO89/365*GO77</f>
        <v>99.114827631906763</v>
      </c>
      <c r="GP36" s="102">
        <f>GP89/365*GP77</f>
        <v>100.98820659930691</v>
      </c>
      <c r="GQ36" s="102">
        <f>GQ89/365*GQ77</f>
        <v>102.91200080035472</v>
      </c>
      <c r="GR36" s="102">
        <f t="shared" si="92"/>
        <v>102.91200080035472</v>
      </c>
      <c r="GS36" s="30"/>
      <c r="GT36" s="102">
        <f>GT89/365*GT77</f>
        <v>108.3035808171816</v>
      </c>
      <c r="GU36" s="102">
        <f>GU89/365*GU77</f>
        <v>110.16299525108211</v>
      </c>
      <c r="GV36" s="102">
        <f>GV89/365*GV77</f>
        <v>112.11263029625604</v>
      </c>
      <c r="GW36" s="102">
        <f>GW89/365*GW77</f>
        <v>114.11473273219319</v>
      </c>
      <c r="GX36" s="102">
        <f t="shared" si="93"/>
        <v>114.11473273219319</v>
      </c>
      <c r="GY36" s="30"/>
      <c r="GZ36" s="102">
        <f>GZ89/365*GZ77</f>
        <v>119.81638682380603</v>
      </c>
      <c r="HA36" s="102">
        <f>HA89/365*HA77</f>
        <v>121.73069527335529</v>
      </c>
      <c r="HB36" s="102">
        <f>HB89/365*HB77</f>
        <v>123.73788784563452</v>
      </c>
      <c r="HC36" s="102">
        <f>HC89/365*HC77</f>
        <v>125.79909676178664</v>
      </c>
      <c r="HD36" s="102">
        <f t="shared" si="94"/>
        <v>125.79909676178664</v>
      </c>
      <c r="HF36" s="102">
        <f>HF89/365*HF77</f>
        <v>131.78991466780138</v>
      </c>
      <c r="HG36" s="102">
        <f>HG89/365*HG77</f>
        <v>133.73813518344784</v>
      </c>
      <c r="HH36" s="102">
        <f>HH89/365*HH77</f>
        <v>135.78088526851815</v>
      </c>
      <c r="HI36" s="102">
        <f>HI89/365*HI77</f>
        <v>137.87860859958658</v>
      </c>
      <c r="HJ36" s="102">
        <f t="shared" si="95"/>
        <v>137.87860859958658</v>
      </c>
    </row>
    <row r="37" spans="1:218">
      <c r="A37" s="30"/>
      <c r="B37" s="30" t="s">
        <v>544</v>
      </c>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118"/>
      <c r="BT37" s="118"/>
      <c r="BU37" s="30"/>
      <c r="BV37" s="30"/>
      <c r="BW37" s="30"/>
      <c r="BX37" s="118"/>
      <c r="BY37" s="30"/>
      <c r="BZ37" s="30"/>
      <c r="CA37" s="30"/>
      <c r="CB37" s="30"/>
      <c r="CC37" s="30"/>
      <c r="CD37" s="118"/>
      <c r="CE37" s="118"/>
      <c r="CF37" s="118"/>
      <c r="CG37" s="30"/>
      <c r="CH37" s="30"/>
      <c r="CI37" s="30"/>
      <c r="CJ37" s="30"/>
      <c r="CK37" s="30"/>
      <c r="CL37" s="30"/>
      <c r="CM37" s="30"/>
      <c r="CN37" s="30"/>
      <c r="CO37" s="30"/>
      <c r="CP37" s="30"/>
      <c r="CQ37" s="30"/>
      <c r="CR37" s="30"/>
      <c r="CS37" s="30"/>
      <c r="CT37" s="30"/>
      <c r="CU37" s="30"/>
      <c r="CV37" s="30"/>
      <c r="CW37" s="30"/>
      <c r="CX37" s="122"/>
      <c r="CY37" s="30"/>
      <c r="CZ37" s="30"/>
      <c r="DA37" s="30"/>
      <c r="DB37" s="30"/>
      <c r="DC37" s="30"/>
      <c r="DD37" s="30"/>
      <c r="DE37" s="30"/>
      <c r="DF37" s="30"/>
      <c r="DG37" s="30"/>
      <c r="DH37" s="102">
        <v>4.2190000000000003</v>
      </c>
      <c r="DI37" s="102">
        <v>6.5620000000000003</v>
      </c>
      <c r="DJ37" s="102">
        <v>7.2169999999999996</v>
      </c>
      <c r="DK37" s="102">
        <v>7.8730000000000002</v>
      </c>
      <c r="DL37" s="102">
        <f t="shared" si="78"/>
        <v>7.8730000000000002</v>
      </c>
      <c r="DM37" s="102"/>
      <c r="DN37" s="102">
        <v>7.8730000000000002</v>
      </c>
      <c r="DO37" s="102">
        <v>5</v>
      </c>
      <c r="DP37" s="102">
        <v>6.25</v>
      </c>
      <c r="DQ37" s="102">
        <v>5</v>
      </c>
      <c r="DR37" s="102">
        <f t="shared" si="79"/>
        <v>5</v>
      </c>
      <c r="DS37" s="102"/>
      <c r="DT37" s="102">
        <v>5</v>
      </c>
      <c r="DU37" s="102">
        <v>0</v>
      </c>
      <c r="DV37" s="102">
        <v>0</v>
      </c>
      <c r="DW37" s="102">
        <v>0</v>
      </c>
      <c r="DX37" s="102">
        <f t="shared" si="80"/>
        <v>0</v>
      </c>
      <c r="DY37" s="102"/>
      <c r="DZ37" s="102">
        <v>0</v>
      </c>
      <c r="EA37" s="102">
        <v>0</v>
      </c>
      <c r="EB37" s="102">
        <v>0</v>
      </c>
      <c r="EC37" s="102">
        <v>0</v>
      </c>
      <c r="ED37" s="102">
        <f t="shared" si="81"/>
        <v>0</v>
      </c>
      <c r="EE37" s="102"/>
      <c r="EF37" s="102">
        <v>0</v>
      </c>
      <c r="EG37" s="102">
        <v>0</v>
      </c>
      <c r="EH37" s="102">
        <v>0</v>
      </c>
      <c r="EI37" s="102">
        <v>0</v>
      </c>
      <c r="EJ37" s="102">
        <f t="shared" si="82"/>
        <v>0</v>
      </c>
      <c r="EK37" s="102"/>
      <c r="EL37" s="102">
        <v>0</v>
      </c>
      <c r="EM37" s="102">
        <v>0</v>
      </c>
      <c r="EN37" s="102">
        <v>0</v>
      </c>
      <c r="EO37" s="102">
        <v>0</v>
      </c>
      <c r="EP37" s="102">
        <f t="shared" si="83"/>
        <v>0</v>
      </c>
      <c r="EQ37" s="102"/>
      <c r="ER37" s="102">
        <v>0</v>
      </c>
      <c r="ES37" s="102">
        <v>200.07300000000001</v>
      </c>
      <c r="ET37" s="102">
        <v>200.42400000000001</v>
      </c>
      <c r="EU37" s="102">
        <v>200.77699999999999</v>
      </c>
      <c r="EV37" s="102">
        <f t="shared" si="84"/>
        <v>200.77699999999999</v>
      </c>
      <c r="EW37" s="30"/>
      <c r="EX37" s="102">
        <v>201.131</v>
      </c>
      <c r="EY37" s="102">
        <v>0</v>
      </c>
      <c r="EZ37" s="102">
        <v>0</v>
      </c>
      <c r="FA37" s="102">
        <f>'Other Accts'!FA42</f>
        <v>0</v>
      </c>
      <c r="FB37" s="543">
        <f t="shared" si="85"/>
        <v>0</v>
      </c>
      <c r="FC37" s="30"/>
      <c r="FD37" s="543">
        <f>'Other Accts'!FD42</f>
        <v>0</v>
      </c>
      <c r="FE37" s="102">
        <f>'Other Accts'!FE42</f>
        <v>0</v>
      </c>
      <c r="FF37" s="102">
        <f>'Other Accts'!FF42</f>
        <v>0</v>
      </c>
      <c r="FG37" s="102">
        <f>'Other Accts'!FG42</f>
        <v>0</v>
      </c>
      <c r="FH37" s="102">
        <f t="shared" si="86"/>
        <v>0</v>
      </c>
      <c r="FI37" s="30"/>
      <c r="FJ37" s="102">
        <f>'Other Accts'!FJ42</f>
        <v>0</v>
      </c>
      <c r="FK37" s="102">
        <f>'Other Accts'!FK42</f>
        <v>0</v>
      </c>
      <c r="FL37" s="102">
        <f>'Other Accts'!FL42</f>
        <v>0</v>
      </c>
      <c r="FM37" s="102">
        <f>'Other Accts'!FM42</f>
        <v>345</v>
      </c>
      <c r="FN37" s="102">
        <f t="shared" si="87"/>
        <v>345</v>
      </c>
      <c r="FO37" s="30"/>
      <c r="FP37" s="102">
        <f>'Other Accts'!FP42</f>
        <v>345</v>
      </c>
      <c r="FQ37" s="102">
        <f>'Other Accts'!FQ42</f>
        <v>345</v>
      </c>
      <c r="FR37" s="102">
        <f>'Other Accts'!FR42</f>
        <v>345</v>
      </c>
      <c r="FS37" s="102">
        <f>'Other Accts'!FS42</f>
        <v>0</v>
      </c>
      <c r="FT37" s="102">
        <f t="shared" si="88"/>
        <v>0</v>
      </c>
      <c r="FU37" s="30"/>
      <c r="FV37" s="102">
        <f>'Other Accts'!FV42</f>
        <v>0</v>
      </c>
      <c r="FW37" s="102">
        <f>'Other Accts'!FW42</f>
        <v>0</v>
      </c>
      <c r="FX37" s="102">
        <f>'Other Accts'!FX42</f>
        <v>0</v>
      </c>
      <c r="FY37" s="102">
        <f>'Other Accts'!FY42</f>
        <v>0</v>
      </c>
      <c r="FZ37" s="102">
        <f t="shared" si="89"/>
        <v>0</v>
      </c>
      <c r="GA37" s="30"/>
      <c r="GB37" s="102">
        <f>'Other Accts'!GB42</f>
        <v>0</v>
      </c>
      <c r="GC37" s="102">
        <f>'Other Accts'!GC42</f>
        <v>0</v>
      </c>
      <c r="GD37" s="102">
        <f>'Other Accts'!GD42</f>
        <v>0</v>
      </c>
      <c r="GE37" s="102">
        <f>'Other Accts'!GE42</f>
        <v>0</v>
      </c>
      <c r="GF37" s="102">
        <f t="shared" si="90"/>
        <v>0</v>
      </c>
      <c r="GG37" s="30"/>
      <c r="GH37" s="102">
        <f>'Other Accts'!GH42</f>
        <v>0</v>
      </c>
      <c r="GI37" s="102">
        <f>'Other Accts'!GI42</f>
        <v>0</v>
      </c>
      <c r="GJ37" s="102">
        <f>'Other Accts'!GJ42</f>
        <v>0</v>
      </c>
      <c r="GK37" s="102">
        <f>'Other Accts'!GK42</f>
        <v>0</v>
      </c>
      <c r="GL37" s="102">
        <f t="shared" si="91"/>
        <v>0</v>
      </c>
      <c r="GM37" s="30"/>
      <c r="GN37" s="102">
        <f>'Other Accts'!GN42</f>
        <v>0</v>
      </c>
      <c r="GO37" s="102">
        <f>'Other Accts'!GO42</f>
        <v>0</v>
      </c>
      <c r="GP37" s="102">
        <f>'Other Accts'!GP42</f>
        <v>0</v>
      </c>
      <c r="GQ37" s="102">
        <f>'Other Accts'!GQ42</f>
        <v>0</v>
      </c>
      <c r="GR37" s="102">
        <f t="shared" si="92"/>
        <v>0</v>
      </c>
      <c r="GS37" s="30"/>
      <c r="GT37" s="102">
        <f>'Other Accts'!GT42</f>
        <v>0</v>
      </c>
      <c r="GU37" s="102">
        <f>'Other Accts'!GU42</f>
        <v>0</v>
      </c>
      <c r="GV37" s="102">
        <f>'Other Accts'!GV42</f>
        <v>0</v>
      </c>
      <c r="GW37" s="102">
        <f>'Other Accts'!GW42</f>
        <v>0</v>
      </c>
      <c r="GX37" s="102">
        <f t="shared" si="93"/>
        <v>0</v>
      </c>
      <c r="GY37" s="30"/>
      <c r="GZ37" s="102">
        <f>'Other Accts'!GZ42</f>
        <v>0</v>
      </c>
      <c r="HA37" s="102">
        <f>'Other Accts'!HA42</f>
        <v>0</v>
      </c>
      <c r="HB37" s="102">
        <f>'Other Accts'!HB42</f>
        <v>0</v>
      </c>
      <c r="HC37" s="102">
        <f>'Other Accts'!HC42</f>
        <v>0</v>
      </c>
      <c r="HD37" s="102">
        <f t="shared" si="94"/>
        <v>0</v>
      </c>
      <c r="HF37" s="102">
        <f>'Other Accts'!HF42</f>
        <v>0</v>
      </c>
      <c r="HG37" s="102">
        <f>'Other Accts'!HG42</f>
        <v>0</v>
      </c>
      <c r="HH37" s="102">
        <f>'Other Accts'!HH42</f>
        <v>0</v>
      </c>
      <c r="HI37" s="102">
        <f>'Other Accts'!HI42</f>
        <v>0</v>
      </c>
      <c r="HJ37" s="102">
        <f t="shared" si="95"/>
        <v>0</v>
      </c>
    </row>
    <row r="38" spans="1:218">
      <c r="A38" s="30"/>
      <c r="B38" s="30" t="s">
        <v>483</v>
      </c>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118"/>
      <c r="BT38" s="118"/>
      <c r="BU38" s="30"/>
      <c r="BV38" s="30"/>
      <c r="BW38" s="30"/>
      <c r="BX38" s="118"/>
      <c r="BY38" s="30"/>
      <c r="BZ38" s="30"/>
      <c r="CA38" s="30"/>
      <c r="CB38" s="30"/>
      <c r="CC38" s="30"/>
      <c r="CD38" s="118"/>
      <c r="CE38" s="118"/>
      <c r="CF38" s="118"/>
      <c r="CG38" s="30"/>
      <c r="CH38" s="30"/>
      <c r="CI38" s="30"/>
      <c r="CJ38" s="30"/>
      <c r="CK38" s="30"/>
      <c r="CL38" s="30"/>
      <c r="CM38" s="30"/>
      <c r="CN38" s="30"/>
      <c r="CO38" s="30"/>
      <c r="CP38" s="30"/>
      <c r="CQ38" s="30"/>
      <c r="CR38" s="30"/>
      <c r="CS38" s="30"/>
      <c r="CT38" s="30"/>
      <c r="CU38" s="30"/>
      <c r="CV38" s="30"/>
      <c r="CW38" s="30"/>
      <c r="CX38" s="122"/>
      <c r="CY38" s="30"/>
      <c r="CZ38" s="30"/>
      <c r="DA38" s="30"/>
      <c r="DB38" s="30"/>
      <c r="DC38" s="30"/>
      <c r="DD38" s="30"/>
      <c r="DE38" s="30"/>
      <c r="DF38" s="30"/>
      <c r="DG38" s="30"/>
      <c r="DH38" s="102">
        <v>5.9880000000000004</v>
      </c>
      <c r="DI38" s="102">
        <v>5.8470000000000004</v>
      </c>
      <c r="DJ38" s="102">
        <v>6.6749999999999998</v>
      </c>
      <c r="DK38" s="102">
        <v>0</v>
      </c>
      <c r="DL38" s="102">
        <f t="shared" si="78"/>
        <v>0</v>
      </c>
      <c r="DM38" s="102"/>
      <c r="DN38" s="102">
        <v>3.62</v>
      </c>
      <c r="DO38" s="102">
        <v>3.4279999999999999</v>
      </c>
      <c r="DP38" s="102">
        <v>3.5270000000000001</v>
      </c>
      <c r="DQ38" s="102">
        <v>3.3809999999999998</v>
      </c>
      <c r="DR38" s="102">
        <f t="shared" si="79"/>
        <v>3.3809999999999998</v>
      </c>
      <c r="DS38" s="102"/>
      <c r="DT38" s="102">
        <v>4.5049999999999999</v>
      </c>
      <c r="DU38" s="102">
        <v>4.4960000000000004</v>
      </c>
      <c r="DV38" s="102">
        <v>4.7009999999999996</v>
      </c>
      <c r="DW38" s="102">
        <v>4.9669999999999996</v>
      </c>
      <c r="DX38" s="102">
        <f t="shared" si="80"/>
        <v>4.9669999999999996</v>
      </c>
      <c r="DY38" s="102"/>
      <c r="DZ38" s="102">
        <v>5.1109999999999998</v>
      </c>
      <c r="EA38" s="102">
        <v>5.6420000000000003</v>
      </c>
      <c r="EB38" s="102">
        <v>6.9880000000000004</v>
      </c>
      <c r="EC38" s="102">
        <v>6.8840000000000003</v>
      </c>
      <c r="ED38" s="102">
        <f t="shared" si="81"/>
        <v>6.8840000000000003</v>
      </c>
      <c r="EE38" s="102"/>
      <c r="EF38" s="102">
        <v>5.9580000000000002</v>
      </c>
      <c r="EG38" s="102">
        <v>5.7080000000000002</v>
      </c>
      <c r="EH38" s="102">
        <v>6.3789999999999996</v>
      </c>
      <c r="EI38" s="102">
        <v>6.5839999999999996</v>
      </c>
      <c r="EJ38" s="102">
        <f t="shared" si="82"/>
        <v>6.5839999999999996</v>
      </c>
      <c r="EK38" s="102"/>
      <c r="EL38" s="102">
        <v>6.9340000000000002</v>
      </c>
      <c r="EM38" s="102">
        <v>7.3540000000000001</v>
      </c>
      <c r="EN38" s="102">
        <v>6.2130000000000001</v>
      </c>
      <c r="EO38" s="102">
        <v>5.61</v>
      </c>
      <c r="EP38" s="102">
        <f t="shared" si="83"/>
        <v>5.61</v>
      </c>
      <c r="EQ38" s="102"/>
      <c r="ER38" s="102">
        <v>4.4870000000000001</v>
      </c>
      <c r="ES38" s="102">
        <v>3.5739999999999998</v>
      </c>
      <c r="ET38" s="421">
        <v>3.7160000000000002</v>
      </c>
      <c r="EU38" s="421">
        <v>3.3809999999999998</v>
      </c>
      <c r="EV38" s="102">
        <f t="shared" si="84"/>
        <v>3.3809999999999998</v>
      </c>
      <c r="EW38" s="30"/>
      <c r="EX38" s="102">
        <v>3.0750000000000002</v>
      </c>
      <c r="EY38" s="102">
        <v>4.0519999999999996</v>
      </c>
      <c r="EZ38" s="102">
        <v>4.5069999999999997</v>
      </c>
      <c r="FA38" s="102">
        <f>EZ38</f>
        <v>4.5069999999999997</v>
      </c>
      <c r="FB38" s="543">
        <f t="shared" si="85"/>
        <v>4.5069999999999997</v>
      </c>
      <c r="FC38" s="30"/>
      <c r="FD38" s="543">
        <f>FA38</f>
        <v>4.5069999999999997</v>
      </c>
      <c r="FE38" s="102">
        <f t="shared" ref="FE38:FG40" si="96">FD38</f>
        <v>4.5069999999999997</v>
      </c>
      <c r="FF38" s="102">
        <f t="shared" si="96"/>
        <v>4.5069999999999997</v>
      </c>
      <c r="FG38" s="102">
        <f t="shared" si="96"/>
        <v>4.5069999999999997</v>
      </c>
      <c r="FH38" s="102">
        <f t="shared" si="86"/>
        <v>4.5069999999999997</v>
      </c>
      <c r="FI38" s="30"/>
      <c r="FJ38" s="102">
        <f>FG38</f>
        <v>4.5069999999999997</v>
      </c>
      <c r="FK38" s="102">
        <f t="shared" ref="FK38:FM40" si="97">FJ38</f>
        <v>4.5069999999999997</v>
      </c>
      <c r="FL38" s="102">
        <f t="shared" si="97"/>
        <v>4.5069999999999997</v>
      </c>
      <c r="FM38" s="102">
        <f t="shared" si="97"/>
        <v>4.5069999999999997</v>
      </c>
      <c r="FN38" s="102">
        <f t="shared" si="87"/>
        <v>4.5069999999999997</v>
      </c>
      <c r="FO38" s="30"/>
      <c r="FP38" s="102">
        <f>FM38</f>
        <v>4.5069999999999997</v>
      </c>
      <c r="FQ38" s="102">
        <f t="shared" ref="FQ38:FS40" si="98">FP38</f>
        <v>4.5069999999999997</v>
      </c>
      <c r="FR38" s="102">
        <f t="shared" si="98"/>
        <v>4.5069999999999997</v>
      </c>
      <c r="FS38" s="102">
        <f t="shared" si="98"/>
        <v>4.5069999999999997</v>
      </c>
      <c r="FT38" s="102">
        <f t="shared" si="88"/>
        <v>4.5069999999999997</v>
      </c>
      <c r="FU38" s="30"/>
      <c r="FV38" s="102">
        <f>FS38</f>
        <v>4.5069999999999997</v>
      </c>
      <c r="FW38" s="102">
        <f t="shared" ref="FW38:FY40" si="99">FV38</f>
        <v>4.5069999999999997</v>
      </c>
      <c r="FX38" s="102">
        <f t="shared" si="99"/>
        <v>4.5069999999999997</v>
      </c>
      <c r="FY38" s="102">
        <f t="shared" si="99"/>
        <v>4.5069999999999997</v>
      </c>
      <c r="FZ38" s="102">
        <f t="shared" si="89"/>
        <v>4.5069999999999997</v>
      </c>
      <c r="GA38" s="30"/>
      <c r="GB38" s="102">
        <f>FY38</f>
        <v>4.5069999999999997</v>
      </c>
      <c r="GC38" s="102">
        <f t="shared" ref="GC38:GE40" si="100">GB38</f>
        <v>4.5069999999999997</v>
      </c>
      <c r="GD38" s="102">
        <f t="shared" si="100"/>
        <v>4.5069999999999997</v>
      </c>
      <c r="GE38" s="102">
        <f t="shared" si="100"/>
        <v>4.5069999999999997</v>
      </c>
      <c r="GF38" s="102">
        <f t="shared" si="90"/>
        <v>4.5069999999999997</v>
      </c>
      <c r="GG38" s="30"/>
      <c r="GH38" s="102">
        <f>GE38</f>
        <v>4.5069999999999997</v>
      </c>
      <c r="GI38" s="102">
        <f t="shared" ref="GI38:GK40" si="101">GH38</f>
        <v>4.5069999999999997</v>
      </c>
      <c r="GJ38" s="102">
        <f t="shared" si="101"/>
        <v>4.5069999999999997</v>
      </c>
      <c r="GK38" s="102">
        <f t="shared" si="101"/>
        <v>4.5069999999999997</v>
      </c>
      <c r="GL38" s="102">
        <f t="shared" si="91"/>
        <v>4.5069999999999997</v>
      </c>
      <c r="GM38" s="30"/>
      <c r="GN38" s="102">
        <f>GK38</f>
        <v>4.5069999999999997</v>
      </c>
      <c r="GO38" s="102">
        <f t="shared" ref="GO38:GQ40" si="102">GN38</f>
        <v>4.5069999999999997</v>
      </c>
      <c r="GP38" s="102">
        <f t="shared" si="102"/>
        <v>4.5069999999999997</v>
      </c>
      <c r="GQ38" s="102">
        <f t="shared" si="102"/>
        <v>4.5069999999999997</v>
      </c>
      <c r="GR38" s="102">
        <f t="shared" si="92"/>
        <v>4.5069999999999997</v>
      </c>
      <c r="GS38" s="30"/>
      <c r="GT38" s="102">
        <f>GQ38</f>
        <v>4.5069999999999997</v>
      </c>
      <c r="GU38" s="102">
        <f t="shared" ref="GU38:GW40" si="103">GT38</f>
        <v>4.5069999999999997</v>
      </c>
      <c r="GV38" s="102">
        <f t="shared" si="103"/>
        <v>4.5069999999999997</v>
      </c>
      <c r="GW38" s="102">
        <f t="shared" si="103"/>
        <v>4.5069999999999997</v>
      </c>
      <c r="GX38" s="102">
        <f t="shared" si="93"/>
        <v>4.5069999999999997</v>
      </c>
      <c r="GY38" s="30"/>
      <c r="GZ38" s="102">
        <f>GW38</f>
        <v>4.5069999999999997</v>
      </c>
      <c r="HA38" s="102">
        <f t="shared" ref="HA38:HC40" si="104">GZ38</f>
        <v>4.5069999999999997</v>
      </c>
      <c r="HB38" s="102">
        <f t="shared" si="104"/>
        <v>4.5069999999999997</v>
      </c>
      <c r="HC38" s="102">
        <f t="shared" si="104"/>
        <v>4.5069999999999997</v>
      </c>
      <c r="HD38" s="102">
        <f t="shared" si="94"/>
        <v>4.5069999999999997</v>
      </c>
      <c r="HF38" s="102">
        <f>HC38</f>
        <v>4.5069999999999997</v>
      </c>
      <c r="HG38" s="102">
        <f t="shared" ref="HG38:HG40" si="105">HF38</f>
        <v>4.5069999999999997</v>
      </c>
      <c r="HH38" s="102">
        <f t="shared" ref="HH38:HH40" si="106">HG38</f>
        <v>4.5069999999999997</v>
      </c>
      <c r="HI38" s="102">
        <f t="shared" ref="HI38:HI40" si="107">HH38</f>
        <v>4.5069999999999997</v>
      </c>
      <c r="HJ38" s="102">
        <f t="shared" si="95"/>
        <v>4.5069999999999997</v>
      </c>
    </row>
    <row r="39" spans="1:218">
      <c r="A39" s="30"/>
      <c r="B39" s="30" t="s">
        <v>484</v>
      </c>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118"/>
      <c r="BT39" s="118"/>
      <c r="BU39" s="30"/>
      <c r="BV39" s="30"/>
      <c r="BW39" s="30"/>
      <c r="BX39" s="118"/>
      <c r="BY39" s="30"/>
      <c r="BZ39" s="30"/>
      <c r="CA39" s="30"/>
      <c r="CB39" s="30"/>
      <c r="CC39" s="30"/>
      <c r="CD39" s="118"/>
      <c r="CE39" s="118"/>
      <c r="CF39" s="118"/>
      <c r="CG39" s="30"/>
      <c r="CH39" s="30"/>
      <c r="CI39" s="30"/>
      <c r="CJ39" s="30"/>
      <c r="CK39" s="30"/>
      <c r="CL39" s="30"/>
      <c r="CM39" s="30"/>
      <c r="CN39" s="30"/>
      <c r="CO39" s="30"/>
      <c r="CP39" s="30"/>
      <c r="CQ39" s="30"/>
      <c r="CR39" s="30"/>
      <c r="CS39" s="30"/>
      <c r="CT39" s="30"/>
      <c r="CU39" s="30"/>
      <c r="CV39" s="30"/>
      <c r="CW39" s="30"/>
      <c r="CX39" s="122"/>
      <c r="CY39" s="30"/>
      <c r="CZ39" s="30"/>
      <c r="DA39" s="30"/>
      <c r="DB39" s="30"/>
      <c r="DC39" s="30"/>
      <c r="DD39" s="30"/>
      <c r="DE39" s="30"/>
      <c r="DF39" s="30"/>
      <c r="DG39" s="30"/>
      <c r="DH39" s="102">
        <v>0</v>
      </c>
      <c r="DI39" s="102">
        <v>2.1549999999999998</v>
      </c>
      <c r="DJ39" s="102">
        <v>1.2589999999999999</v>
      </c>
      <c r="DK39" s="102">
        <v>0.92700000000000005</v>
      </c>
      <c r="DL39" s="102">
        <f t="shared" si="78"/>
        <v>0.92700000000000005</v>
      </c>
      <c r="DM39" s="102"/>
      <c r="DN39" s="102">
        <v>1.0169999999999999</v>
      </c>
      <c r="DO39" s="102">
        <v>1.069</v>
      </c>
      <c r="DP39" s="102">
        <v>1.1870000000000001</v>
      </c>
      <c r="DQ39" s="102">
        <v>1.61</v>
      </c>
      <c r="DR39" s="102">
        <f t="shared" si="79"/>
        <v>1.61</v>
      </c>
      <c r="DS39" s="102"/>
      <c r="DT39" s="102">
        <v>2.9740000000000002</v>
      </c>
      <c r="DU39" s="102">
        <v>3.57</v>
      </c>
      <c r="DV39" s="102">
        <v>3.7160000000000002</v>
      </c>
      <c r="DW39" s="102">
        <v>4.0289999999999999</v>
      </c>
      <c r="DX39" s="102">
        <f t="shared" si="80"/>
        <v>4.0289999999999999</v>
      </c>
      <c r="DY39" s="102"/>
      <c r="DZ39" s="102">
        <v>3.992</v>
      </c>
      <c r="EA39" s="102">
        <v>4.4969999999999999</v>
      </c>
      <c r="EB39" s="102">
        <v>5.2779999999999996</v>
      </c>
      <c r="EC39" s="102">
        <v>5.1920000000000002</v>
      </c>
      <c r="ED39" s="102">
        <f t="shared" si="81"/>
        <v>5.1920000000000002</v>
      </c>
      <c r="EE39" s="102"/>
      <c r="EF39" s="102">
        <v>6.1189999999999998</v>
      </c>
      <c r="EG39" s="102">
        <v>6.3479999999999999</v>
      </c>
      <c r="EH39" s="102">
        <v>6.3860000000000001</v>
      </c>
      <c r="EI39" s="102">
        <v>7.5570000000000004</v>
      </c>
      <c r="EJ39" s="102">
        <f t="shared" si="82"/>
        <v>7.5570000000000004</v>
      </c>
      <c r="EK39" s="102"/>
      <c r="EL39" s="102">
        <v>6.0670000000000002</v>
      </c>
      <c r="EM39" s="102">
        <v>5.7119999999999997</v>
      </c>
      <c r="EN39" s="102">
        <v>3.617</v>
      </c>
      <c r="EO39" s="102">
        <v>2.13</v>
      </c>
      <c r="EP39" s="102">
        <f t="shared" si="83"/>
        <v>2.13</v>
      </c>
      <c r="EQ39" s="102"/>
      <c r="ER39" s="102">
        <v>1.1439999999999999</v>
      </c>
      <c r="ES39" s="102">
        <v>0</v>
      </c>
      <c r="ET39" s="421">
        <v>0</v>
      </c>
      <c r="EU39" s="421">
        <v>0</v>
      </c>
      <c r="EV39" s="102">
        <f t="shared" si="84"/>
        <v>0</v>
      </c>
      <c r="EW39" s="30"/>
      <c r="EX39" s="102">
        <v>0</v>
      </c>
      <c r="EY39" s="102">
        <v>0</v>
      </c>
      <c r="EZ39" s="102">
        <v>0</v>
      </c>
      <c r="FA39" s="102">
        <f>EZ39</f>
        <v>0</v>
      </c>
      <c r="FB39" s="543">
        <f t="shared" si="85"/>
        <v>0</v>
      </c>
      <c r="FC39" s="30"/>
      <c r="FD39" s="543">
        <f>FA39</f>
        <v>0</v>
      </c>
      <c r="FE39" s="102">
        <f t="shared" si="96"/>
        <v>0</v>
      </c>
      <c r="FF39" s="102">
        <f t="shared" si="96"/>
        <v>0</v>
      </c>
      <c r="FG39" s="102">
        <f t="shared" si="96"/>
        <v>0</v>
      </c>
      <c r="FH39" s="102">
        <f t="shared" si="86"/>
        <v>0</v>
      </c>
      <c r="FI39" s="30"/>
      <c r="FJ39" s="102">
        <f>FG39</f>
        <v>0</v>
      </c>
      <c r="FK39" s="102">
        <f t="shared" si="97"/>
        <v>0</v>
      </c>
      <c r="FL39" s="102">
        <f t="shared" si="97"/>
        <v>0</v>
      </c>
      <c r="FM39" s="102">
        <f t="shared" si="97"/>
        <v>0</v>
      </c>
      <c r="FN39" s="102">
        <f t="shared" si="87"/>
        <v>0</v>
      </c>
      <c r="FO39" s="30"/>
      <c r="FP39" s="102">
        <f>FM39</f>
        <v>0</v>
      </c>
      <c r="FQ39" s="102">
        <f t="shared" si="98"/>
        <v>0</v>
      </c>
      <c r="FR39" s="102">
        <f t="shared" si="98"/>
        <v>0</v>
      </c>
      <c r="FS39" s="102">
        <f t="shared" si="98"/>
        <v>0</v>
      </c>
      <c r="FT39" s="102">
        <f t="shared" si="88"/>
        <v>0</v>
      </c>
      <c r="FU39" s="30"/>
      <c r="FV39" s="102">
        <f>FS39</f>
        <v>0</v>
      </c>
      <c r="FW39" s="102">
        <f t="shared" si="99"/>
        <v>0</v>
      </c>
      <c r="FX39" s="102">
        <f t="shared" si="99"/>
        <v>0</v>
      </c>
      <c r="FY39" s="102">
        <f t="shared" si="99"/>
        <v>0</v>
      </c>
      <c r="FZ39" s="102">
        <f t="shared" si="89"/>
        <v>0</v>
      </c>
      <c r="GA39" s="30"/>
      <c r="GB39" s="102">
        <f>FY39</f>
        <v>0</v>
      </c>
      <c r="GC39" s="102">
        <f t="shared" si="100"/>
        <v>0</v>
      </c>
      <c r="GD39" s="102">
        <f t="shared" si="100"/>
        <v>0</v>
      </c>
      <c r="GE39" s="102">
        <f t="shared" si="100"/>
        <v>0</v>
      </c>
      <c r="GF39" s="102">
        <f t="shared" si="90"/>
        <v>0</v>
      </c>
      <c r="GG39" s="30"/>
      <c r="GH39" s="102">
        <f>GE39</f>
        <v>0</v>
      </c>
      <c r="GI39" s="102">
        <f t="shared" si="101"/>
        <v>0</v>
      </c>
      <c r="GJ39" s="102">
        <f t="shared" si="101"/>
        <v>0</v>
      </c>
      <c r="GK39" s="102">
        <f t="shared" si="101"/>
        <v>0</v>
      </c>
      <c r="GL39" s="102">
        <f t="shared" si="91"/>
        <v>0</v>
      </c>
      <c r="GM39" s="30"/>
      <c r="GN39" s="102">
        <f>GK39</f>
        <v>0</v>
      </c>
      <c r="GO39" s="102">
        <f t="shared" si="102"/>
        <v>0</v>
      </c>
      <c r="GP39" s="102">
        <f t="shared" si="102"/>
        <v>0</v>
      </c>
      <c r="GQ39" s="102">
        <f t="shared" si="102"/>
        <v>0</v>
      </c>
      <c r="GR39" s="102">
        <f t="shared" si="92"/>
        <v>0</v>
      </c>
      <c r="GS39" s="30"/>
      <c r="GT39" s="102">
        <f>GQ39</f>
        <v>0</v>
      </c>
      <c r="GU39" s="102">
        <f t="shared" si="103"/>
        <v>0</v>
      </c>
      <c r="GV39" s="102">
        <f t="shared" si="103"/>
        <v>0</v>
      </c>
      <c r="GW39" s="102">
        <f t="shared" si="103"/>
        <v>0</v>
      </c>
      <c r="GX39" s="102">
        <f t="shared" si="93"/>
        <v>0</v>
      </c>
      <c r="GY39" s="30"/>
      <c r="GZ39" s="102">
        <f>GW39</f>
        <v>0</v>
      </c>
      <c r="HA39" s="102">
        <f t="shared" si="104"/>
        <v>0</v>
      </c>
      <c r="HB39" s="102">
        <f t="shared" si="104"/>
        <v>0</v>
      </c>
      <c r="HC39" s="102">
        <f t="shared" si="104"/>
        <v>0</v>
      </c>
      <c r="HD39" s="102">
        <f t="shared" si="94"/>
        <v>0</v>
      </c>
      <c r="HF39" s="102">
        <f>HC39</f>
        <v>0</v>
      </c>
      <c r="HG39" s="102">
        <f t="shared" si="105"/>
        <v>0</v>
      </c>
      <c r="HH39" s="102">
        <f t="shared" si="106"/>
        <v>0</v>
      </c>
      <c r="HI39" s="102">
        <f t="shared" si="107"/>
        <v>0</v>
      </c>
      <c r="HJ39" s="102">
        <f t="shared" si="95"/>
        <v>0</v>
      </c>
    </row>
    <row r="40" spans="1:218" outlineLevel="1">
      <c r="A40" s="30"/>
      <c r="B40" s="30" t="s">
        <v>496</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118"/>
      <c r="BT40" s="118"/>
      <c r="BU40" s="30"/>
      <c r="BV40" s="30"/>
      <c r="BW40" s="30"/>
      <c r="BX40" s="118"/>
      <c r="BY40" s="30"/>
      <c r="BZ40" s="30"/>
      <c r="CA40" s="30"/>
      <c r="CB40" s="30"/>
      <c r="CC40" s="30"/>
      <c r="CD40" s="118"/>
      <c r="CE40" s="118"/>
      <c r="CF40" s="118"/>
      <c r="CG40" s="30"/>
      <c r="CH40" s="30"/>
      <c r="CI40" s="30"/>
      <c r="CJ40" s="30"/>
      <c r="CK40" s="30"/>
      <c r="CL40" s="30"/>
      <c r="CM40" s="30"/>
      <c r="CN40" s="30"/>
      <c r="CO40" s="30"/>
      <c r="CP40" s="30"/>
      <c r="CQ40" s="30"/>
      <c r="CR40" s="30"/>
      <c r="CS40" s="30"/>
      <c r="CT40" s="30"/>
      <c r="CU40" s="30"/>
      <c r="CV40" s="30"/>
      <c r="CW40" s="30"/>
      <c r="CX40" s="122"/>
      <c r="CY40" s="30"/>
      <c r="CZ40" s="30"/>
      <c r="DA40" s="30"/>
      <c r="DB40" s="30"/>
      <c r="DC40" s="30"/>
      <c r="DD40" s="30"/>
      <c r="DE40" s="30"/>
      <c r="DF40" s="30"/>
      <c r="DG40" s="30"/>
      <c r="DH40" s="102">
        <v>0</v>
      </c>
      <c r="DI40" s="102">
        <v>0</v>
      </c>
      <c r="DJ40" s="102">
        <v>0</v>
      </c>
      <c r="DK40" s="102">
        <v>6.298</v>
      </c>
      <c r="DL40" s="102">
        <f t="shared" si="78"/>
        <v>6.298</v>
      </c>
      <c r="DM40" s="102"/>
      <c r="DN40" s="102">
        <v>6.5010000000000003</v>
      </c>
      <c r="DO40" s="102">
        <v>5.8250000000000002</v>
      </c>
      <c r="DP40" s="102">
        <v>5.75</v>
      </c>
      <c r="DQ40" s="102">
        <v>5.4320000000000004</v>
      </c>
      <c r="DR40" s="102">
        <f t="shared" si="79"/>
        <v>5.4320000000000004</v>
      </c>
      <c r="DS40" s="102"/>
      <c r="DT40" s="102">
        <v>4.9409999999999998</v>
      </c>
      <c r="DU40" s="102">
        <v>4.4580000000000002</v>
      </c>
      <c r="DV40" s="102">
        <v>3.7</v>
      </c>
      <c r="DW40" s="102">
        <v>2.8410000000000002</v>
      </c>
      <c r="DX40" s="102">
        <f t="shared" si="80"/>
        <v>2.8410000000000002</v>
      </c>
      <c r="DY40" s="102"/>
      <c r="DZ40" s="102">
        <v>2.089</v>
      </c>
      <c r="EA40" s="102">
        <v>1.913</v>
      </c>
      <c r="EB40" s="102">
        <v>1.5640000000000001</v>
      </c>
      <c r="EC40" s="102">
        <v>1.135</v>
      </c>
      <c r="ED40" s="102">
        <f t="shared" si="81"/>
        <v>1.135</v>
      </c>
      <c r="EE40" s="102"/>
      <c r="EF40" s="102">
        <v>0.621</v>
      </c>
      <c r="EG40" s="102">
        <v>0.41</v>
      </c>
      <c r="EH40" s="102">
        <v>0.11799999999999999</v>
      </c>
      <c r="EI40" s="102">
        <v>7.0000000000000007E-2</v>
      </c>
      <c r="EJ40" s="102">
        <f t="shared" si="82"/>
        <v>7.0000000000000007E-2</v>
      </c>
      <c r="EK40" s="102"/>
      <c r="EL40" s="102">
        <v>3.7999999999999999E-2</v>
      </c>
      <c r="EM40" s="102">
        <v>1.0999999999999999E-2</v>
      </c>
      <c r="EN40" s="102">
        <v>4.0000000000000001E-3</v>
      </c>
      <c r="EO40" s="102">
        <v>0</v>
      </c>
      <c r="EP40" s="102">
        <f t="shared" si="83"/>
        <v>0</v>
      </c>
      <c r="EQ40" s="102"/>
      <c r="ER40" s="102">
        <v>0</v>
      </c>
      <c r="ES40" s="102">
        <v>0</v>
      </c>
      <c r="ET40" s="421">
        <v>0</v>
      </c>
      <c r="EU40" s="421">
        <v>0</v>
      </c>
      <c r="EV40" s="102">
        <f t="shared" si="84"/>
        <v>0</v>
      </c>
      <c r="EW40" s="30"/>
      <c r="EX40" s="102">
        <v>0</v>
      </c>
      <c r="EY40" s="102">
        <v>0</v>
      </c>
      <c r="EZ40" s="102">
        <v>0</v>
      </c>
      <c r="FA40" s="102">
        <f>EZ40</f>
        <v>0</v>
      </c>
      <c r="FB40" s="543">
        <f t="shared" si="85"/>
        <v>0</v>
      </c>
      <c r="FC40" s="30"/>
      <c r="FD40" s="543">
        <f>FA40</f>
        <v>0</v>
      </c>
      <c r="FE40" s="102">
        <f t="shared" si="96"/>
        <v>0</v>
      </c>
      <c r="FF40" s="102">
        <f t="shared" si="96"/>
        <v>0</v>
      </c>
      <c r="FG40" s="102">
        <f t="shared" si="96"/>
        <v>0</v>
      </c>
      <c r="FH40" s="102">
        <f t="shared" si="86"/>
        <v>0</v>
      </c>
      <c r="FI40" s="30"/>
      <c r="FJ40" s="102">
        <f>FG40</f>
        <v>0</v>
      </c>
      <c r="FK40" s="102">
        <f t="shared" si="97"/>
        <v>0</v>
      </c>
      <c r="FL40" s="102">
        <f t="shared" si="97"/>
        <v>0</v>
      </c>
      <c r="FM40" s="102">
        <f t="shared" si="97"/>
        <v>0</v>
      </c>
      <c r="FN40" s="102">
        <f t="shared" si="87"/>
        <v>0</v>
      </c>
      <c r="FO40" s="30"/>
      <c r="FP40" s="102">
        <f>FM40</f>
        <v>0</v>
      </c>
      <c r="FQ40" s="102">
        <f t="shared" si="98"/>
        <v>0</v>
      </c>
      <c r="FR40" s="102">
        <f t="shared" si="98"/>
        <v>0</v>
      </c>
      <c r="FS40" s="102">
        <f t="shared" si="98"/>
        <v>0</v>
      </c>
      <c r="FT40" s="102">
        <f t="shared" si="88"/>
        <v>0</v>
      </c>
      <c r="FU40" s="30"/>
      <c r="FV40" s="102">
        <f>FS40</f>
        <v>0</v>
      </c>
      <c r="FW40" s="102">
        <f t="shared" si="99"/>
        <v>0</v>
      </c>
      <c r="FX40" s="102">
        <f t="shared" si="99"/>
        <v>0</v>
      </c>
      <c r="FY40" s="102">
        <f t="shared" si="99"/>
        <v>0</v>
      </c>
      <c r="FZ40" s="102">
        <f t="shared" si="89"/>
        <v>0</v>
      </c>
      <c r="GA40" s="30"/>
      <c r="GB40" s="102">
        <f>FY40</f>
        <v>0</v>
      </c>
      <c r="GC40" s="102">
        <f t="shared" si="100"/>
        <v>0</v>
      </c>
      <c r="GD40" s="102">
        <f t="shared" si="100"/>
        <v>0</v>
      </c>
      <c r="GE40" s="102">
        <f t="shared" si="100"/>
        <v>0</v>
      </c>
      <c r="GF40" s="102">
        <f t="shared" si="90"/>
        <v>0</v>
      </c>
      <c r="GG40" s="30"/>
      <c r="GH40" s="102">
        <f>GE40</f>
        <v>0</v>
      </c>
      <c r="GI40" s="102">
        <f t="shared" si="101"/>
        <v>0</v>
      </c>
      <c r="GJ40" s="102">
        <f t="shared" si="101"/>
        <v>0</v>
      </c>
      <c r="GK40" s="102">
        <f t="shared" si="101"/>
        <v>0</v>
      </c>
      <c r="GL40" s="102">
        <f t="shared" si="91"/>
        <v>0</v>
      </c>
      <c r="GM40" s="30"/>
      <c r="GN40" s="102">
        <f>GK40</f>
        <v>0</v>
      </c>
      <c r="GO40" s="102">
        <f t="shared" si="102"/>
        <v>0</v>
      </c>
      <c r="GP40" s="102">
        <f t="shared" si="102"/>
        <v>0</v>
      </c>
      <c r="GQ40" s="102">
        <f t="shared" si="102"/>
        <v>0</v>
      </c>
      <c r="GR40" s="102">
        <f t="shared" si="92"/>
        <v>0</v>
      </c>
      <c r="GS40" s="30"/>
      <c r="GT40" s="102">
        <f>GQ40</f>
        <v>0</v>
      </c>
      <c r="GU40" s="102">
        <f t="shared" si="103"/>
        <v>0</v>
      </c>
      <c r="GV40" s="102">
        <f t="shared" si="103"/>
        <v>0</v>
      </c>
      <c r="GW40" s="102">
        <f t="shared" si="103"/>
        <v>0</v>
      </c>
      <c r="GX40" s="102">
        <f t="shared" si="93"/>
        <v>0</v>
      </c>
      <c r="GY40" s="30"/>
      <c r="GZ40" s="102">
        <f>GW40</f>
        <v>0</v>
      </c>
      <c r="HA40" s="102">
        <f t="shared" si="104"/>
        <v>0</v>
      </c>
      <c r="HB40" s="102">
        <f t="shared" si="104"/>
        <v>0</v>
      </c>
      <c r="HC40" s="102">
        <f t="shared" si="104"/>
        <v>0</v>
      </c>
      <c r="HD40" s="102">
        <f t="shared" si="94"/>
        <v>0</v>
      </c>
      <c r="HF40" s="102">
        <f>HC40</f>
        <v>0</v>
      </c>
      <c r="HG40" s="102">
        <f t="shared" si="105"/>
        <v>0</v>
      </c>
      <c r="HH40" s="102">
        <f t="shared" si="106"/>
        <v>0</v>
      </c>
      <c r="HI40" s="102">
        <f t="shared" si="107"/>
        <v>0</v>
      </c>
      <c r="HJ40" s="102">
        <f t="shared" si="95"/>
        <v>0</v>
      </c>
    </row>
    <row r="41" spans="1:218">
      <c r="A41" s="30"/>
      <c r="B41" s="30" t="s">
        <v>487</v>
      </c>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118"/>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432">
        <v>9.8840000000000003</v>
      </c>
      <c r="DI41" s="432">
        <v>9.8889999999999993</v>
      </c>
      <c r="DJ41" s="432">
        <v>7.5170000000000003</v>
      </c>
      <c r="DK41" s="432">
        <v>8.9860000000000007</v>
      </c>
      <c r="DL41" s="432">
        <f t="shared" si="78"/>
        <v>8.9860000000000007</v>
      </c>
      <c r="DM41" s="432"/>
      <c r="DN41" s="432">
        <v>18.327000000000002</v>
      </c>
      <c r="DO41" s="432">
        <v>7.8929999999999998</v>
      </c>
      <c r="DP41" s="432">
        <v>7.9</v>
      </c>
      <c r="DQ41" s="432">
        <v>7.548</v>
      </c>
      <c r="DR41" s="432">
        <f t="shared" si="79"/>
        <v>7.548</v>
      </c>
      <c r="DS41" s="432"/>
      <c r="DT41" s="432">
        <v>8.9659999999999993</v>
      </c>
      <c r="DU41" s="432">
        <v>7.9130000000000003</v>
      </c>
      <c r="DV41" s="432">
        <v>8.6769999999999996</v>
      </c>
      <c r="DW41" s="432">
        <v>11.654</v>
      </c>
      <c r="DX41" s="432">
        <f t="shared" si="80"/>
        <v>11.654</v>
      </c>
      <c r="DY41" s="432"/>
      <c r="DZ41" s="432">
        <v>14.018000000000001</v>
      </c>
      <c r="EA41" s="432">
        <v>25.303999999999998</v>
      </c>
      <c r="EB41" s="432">
        <v>18.088000000000001</v>
      </c>
      <c r="EC41" s="432">
        <v>17.795999999999999</v>
      </c>
      <c r="ED41" s="432">
        <f t="shared" si="81"/>
        <v>17.795999999999999</v>
      </c>
      <c r="EE41" s="432"/>
      <c r="EF41" s="432">
        <v>16.571000000000002</v>
      </c>
      <c r="EG41" s="432">
        <v>16.074999999999999</v>
      </c>
      <c r="EH41" s="432">
        <v>20.420000000000002</v>
      </c>
      <c r="EI41" s="432">
        <v>15.07</v>
      </c>
      <c r="EJ41" s="432">
        <f t="shared" si="82"/>
        <v>15.07</v>
      </c>
      <c r="EK41" s="432"/>
      <c r="EL41" s="432">
        <v>17.963999999999999</v>
      </c>
      <c r="EM41" s="432">
        <v>18.172000000000001</v>
      </c>
      <c r="EN41" s="432">
        <v>18.678999999999998</v>
      </c>
      <c r="EO41" s="432">
        <v>15.069000000000001</v>
      </c>
      <c r="EP41" s="432">
        <f t="shared" si="83"/>
        <v>15.069000000000001</v>
      </c>
      <c r="EQ41" s="432"/>
      <c r="ER41" s="432">
        <v>18.134</v>
      </c>
      <c r="ES41" s="432">
        <f>17.274+0.972</f>
        <v>18.246000000000002</v>
      </c>
      <c r="ET41" s="432">
        <f>22.998+0.589</f>
        <v>23.587</v>
      </c>
      <c r="EU41" s="432">
        <f>12.624+0.409</f>
        <v>13.033000000000001</v>
      </c>
      <c r="EV41" s="432">
        <f t="shared" si="84"/>
        <v>13.033000000000001</v>
      </c>
      <c r="EW41" s="36"/>
      <c r="EX41" s="432">
        <f>18.628+1.163</f>
        <v>19.791</v>
      </c>
      <c r="EY41" s="432">
        <f>18.479+1.084+0.456</f>
        <v>20.018999999999998</v>
      </c>
      <c r="EZ41" s="432">
        <f>0.478+1.576+17.393</f>
        <v>19.447000000000003</v>
      </c>
      <c r="FA41" s="432">
        <f>FA90/365*FA77</f>
        <v>19.106325388584484</v>
      </c>
      <c r="FB41" s="545">
        <f t="shared" si="85"/>
        <v>19.106325388584484</v>
      </c>
      <c r="FC41" s="36"/>
      <c r="FD41" s="545">
        <f>FD90/365*FD77</f>
        <v>19.542046708861371</v>
      </c>
      <c r="FE41" s="432">
        <f>FE90/365*FE77</f>
        <v>19.929264297691663</v>
      </c>
      <c r="FF41" s="432">
        <f>FF90/365*FF77</f>
        <v>20.39642940789625</v>
      </c>
      <c r="FG41" s="432">
        <f>FG90/365*FG77</f>
        <v>20.945976513514207</v>
      </c>
      <c r="FH41" s="432">
        <f t="shared" si="86"/>
        <v>20.945976513514207</v>
      </c>
      <c r="FI41" s="36"/>
      <c r="FJ41" s="432">
        <f>FJ90/365*FJ77</f>
        <v>21.419078703934233</v>
      </c>
      <c r="FK41" s="432">
        <f>FK90/365*FK77</f>
        <v>21.922888051045938</v>
      </c>
      <c r="FL41" s="432">
        <f>FL90/365*FL77</f>
        <v>22.451180623741887</v>
      </c>
      <c r="FM41" s="432">
        <f>FM90/365*FM77</f>
        <v>22.993974278065494</v>
      </c>
      <c r="FN41" s="432">
        <f t="shared" si="87"/>
        <v>22.993974278065494</v>
      </c>
      <c r="FO41" s="36"/>
      <c r="FP41" s="432">
        <f>FP90/365*FP77</f>
        <v>23.514264579076293</v>
      </c>
      <c r="FQ41" s="432">
        <f>FQ90/365*FQ77</f>
        <v>24.068396652195936</v>
      </c>
      <c r="FR41" s="432">
        <f>FR90/365*FR77</f>
        <v>24.649459807884256</v>
      </c>
      <c r="FS41" s="432">
        <f>FS90/365*FS77</f>
        <v>25.24649040304195</v>
      </c>
      <c r="FT41" s="432">
        <f t="shared" si="88"/>
        <v>25.24649040304195</v>
      </c>
      <c r="FU41" s="36"/>
      <c r="FV41" s="432">
        <f>FV90/365*FV77</f>
        <v>25.789684212351691</v>
      </c>
      <c r="FW41" s="432">
        <f>FW90/365*FW77</f>
        <v>26.366836013650083</v>
      </c>
      <c r="FX41" s="432">
        <f>FX90/365*FX77</f>
        <v>26.971991786177998</v>
      </c>
      <c r="FY41" s="432">
        <f>FY90/365*FY77</f>
        <v>27.593433142240343</v>
      </c>
      <c r="FZ41" s="432">
        <f t="shared" si="89"/>
        <v>27.593433142240343</v>
      </c>
      <c r="GA41" s="36"/>
      <c r="GB41" s="432">
        <f>GB90/365*GB77</f>
        <v>28.155190729195716</v>
      </c>
      <c r="GC41" s="432">
        <f>GC90/365*GC77</f>
        <v>28.752066830593723</v>
      </c>
      <c r="GD41" s="432">
        <f>GD90/365*GD77</f>
        <v>29.377903945599485</v>
      </c>
      <c r="GE41" s="432">
        <f>GE90/365*GE77</f>
        <v>30.020583207830903</v>
      </c>
      <c r="GF41" s="432">
        <f t="shared" si="90"/>
        <v>30.020583207830903</v>
      </c>
      <c r="GG41" s="36"/>
      <c r="GH41" s="432">
        <f>GH90/365*GH77</f>
        <v>30.583116334422069</v>
      </c>
      <c r="GI41" s="432">
        <f>GI90/365*GI77</f>
        <v>31.180816458646014</v>
      </c>
      <c r="GJ41" s="432">
        <f>GJ90/365*GJ77</f>
        <v>31.807517578873082</v>
      </c>
      <c r="GK41" s="432">
        <f>GK90/365*GK77</f>
        <v>32.45108409790803</v>
      </c>
      <c r="GL41" s="432">
        <f t="shared" si="91"/>
        <v>32.45108409790803</v>
      </c>
      <c r="GM41" s="36"/>
      <c r="GN41" s="432">
        <f>GN90/365*GN77</f>
        <v>33.021606956200429</v>
      </c>
      <c r="GO41" s="432">
        <f>GO90/365*GO77</f>
        <v>33.627796293600625</v>
      </c>
      <c r="GP41" s="432">
        <f>GP90/365*GP77</f>
        <v>34.26339853194996</v>
      </c>
      <c r="GQ41" s="432">
        <f>GQ90/365*GQ77</f>
        <v>34.916105710576176</v>
      </c>
      <c r="GR41" s="432">
        <f t="shared" si="92"/>
        <v>34.916105710576176</v>
      </c>
      <c r="GS41" s="36"/>
      <c r="GT41" s="432">
        <f>GT90/365*GT77</f>
        <v>35.489559929840262</v>
      </c>
      <c r="GU41" s="432">
        <f>GU90/365*GU77</f>
        <v>36.098863883489898</v>
      </c>
      <c r="GV41" s="432">
        <f>GV90/365*GV77</f>
        <v>36.737731862322605</v>
      </c>
      <c r="GW41" s="432">
        <f>GW90/365*GW77</f>
        <v>37.393792667050846</v>
      </c>
      <c r="GX41" s="432">
        <f t="shared" si="93"/>
        <v>37.393792667050846</v>
      </c>
      <c r="GY41" s="36"/>
      <c r="GZ41" s="432">
        <f>GZ90/365*GZ77</f>
        <v>37.96466637463957</v>
      </c>
      <c r="HA41" s="432">
        <f>HA90/365*HA77</f>
        <v>38.571228494829057</v>
      </c>
      <c r="HB41" s="432">
        <f>HB90/365*HB77</f>
        <v>39.207221603754078</v>
      </c>
      <c r="HC41" s="432">
        <f>HC90/365*HC77</f>
        <v>39.860330171826838</v>
      </c>
      <c r="HD41" s="432">
        <f t="shared" si="94"/>
        <v>39.860330171826838</v>
      </c>
      <c r="HF41" s="432">
        <f>HF90/365*HF77</f>
        <v>40.422731514592542</v>
      </c>
      <c r="HG41" s="432">
        <f>HG90/365*HG77</f>
        <v>41.020291616469123</v>
      </c>
      <c r="HH41" s="432">
        <f>HH90/365*HH77</f>
        <v>41.646845920327273</v>
      </c>
      <c r="HI41" s="432">
        <f>HI90/365*HI77</f>
        <v>42.290261671960593</v>
      </c>
      <c r="HJ41" s="432">
        <f t="shared" si="95"/>
        <v>42.290261671960593</v>
      </c>
    </row>
    <row r="42" spans="1:218">
      <c r="A42" s="30" t="s">
        <v>54</v>
      </c>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118"/>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102">
        <f>SUM(DH35:DH41)</f>
        <v>43.303000000000004</v>
      </c>
      <c r="DI42" s="102">
        <f>SUM(DI35:DI41)</f>
        <v>47.974000000000004</v>
      </c>
      <c r="DJ42" s="102">
        <f>SUM(DJ35:DJ41)</f>
        <v>47.055</v>
      </c>
      <c r="DK42" s="102">
        <f>SUM(DK35:DK41)</f>
        <v>60.924999999999997</v>
      </c>
      <c r="DL42" s="102">
        <f>SUM(DL35:DL41)</f>
        <v>60.924999999999997</v>
      </c>
      <c r="DM42" s="102"/>
      <c r="DN42" s="102">
        <f>SUM(DN35:DN41)</f>
        <v>72.702999999999989</v>
      </c>
      <c r="DO42" s="102">
        <f>SUM(DO35:DO41)</f>
        <v>59.162000000000006</v>
      </c>
      <c r="DP42" s="102">
        <f>SUM(DP35:DP41)</f>
        <v>68.906999999999996</v>
      </c>
      <c r="DQ42" s="102">
        <f>SUM(DQ35:DQ41)</f>
        <v>63.904000000000003</v>
      </c>
      <c r="DR42" s="102">
        <f>SUM(DR35:DR41)</f>
        <v>63.904000000000003</v>
      </c>
      <c r="DS42" s="102"/>
      <c r="DT42" s="102">
        <f>SUM(DT35:DT41)</f>
        <v>67.649000000000001</v>
      </c>
      <c r="DU42" s="102">
        <f>SUM(DU35:DU41)</f>
        <v>61.7</v>
      </c>
      <c r="DV42" s="102">
        <f>SUM(DV35:DV41)</f>
        <v>64.611999999999995</v>
      </c>
      <c r="DW42" s="102">
        <f>SUM(DW35:DW41)</f>
        <v>73.183000000000007</v>
      </c>
      <c r="DX42" s="102">
        <f>SUM(DX35:DX41)</f>
        <v>73.183000000000007</v>
      </c>
      <c r="DY42" s="102"/>
      <c r="DZ42" s="102">
        <f>SUM(DZ35:DZ41)</f>
        <v>67.75</v>
      </c>
      <c r="EA42" s="102">
        <f>SUM(EA35:EA41)</f>
        <v>99.131</v>
      </c>
      <c r="EB42" s="102">
        <f>SUM(EB35:EB41)</f>
        <v>92.736999999999995</v>
      </c>
      <c r="EC42" s="102">
        <f>SUM(EC35:EC41)</f>
        <v>87.231999999999999</v>
      </c>
      <c r="ED42" s="102">
        <f>SUM(ED35:ED41)</f>
        <v>87.231999999999999</v>
      </c>
      <c r="EE42" s="102"/>
      <c r="EF42" s="102">
        <f>SUM(EF35:EF41)</f>
        <v>82.07</v>
      </c>
      <c r="EG42" s="102">
        <f>SUM(EG35:EG41)</f>
        <v>82.67</v>
      </c>
      <c r="EH42" s="102">
        <f>SUM(EH35:EH41)</f>
        <v>85.002999999999986</v>
      </c>
      <c r="EI42" s="102">
        <f>SUM(EI35:EI41)</f>
        <v>89.931999999999988</v>
      </c>
      <c r="EJ42" s="102">
        <f>SUM(EJ35:EJ41)</f>
        <v>89.931999999999988</v>
      </c>
      <c r="EK42" s="102"/>
      <c r="EL42" s="102">
        <f>SUM(EL35:EL41)</f>
        <v>86.60599999999998</v>
      </c>
      <c r="EM42" s="102">
        <f>SUM(EM35:EM41)</f>
        <v>94.847999999999999</v>
      </c>
      <c r="EN42" s="102">
        <f>SUM(EN35:EN41)</f>
        <v>92.926000000000002</v>
      </c>
      <c r="EO42" s="102">
        <f>SUM(EO35:EO41)</f>
        <v>96.304000000000002</v>
      </c>
      <c r="EP42" s="102">
        <f>SUM(EP35:EP41)</f>
        <v>96.304000000000002</v>
      </c>
      <c r="EQ42" s="102"/>
      <c r="ER42" s="102">
        <f>SUM(ER35:ER41)</f>
        <v>76.710000000000008</v>
      </c>
      <c r="ES42" s="102">
        <f>SUM(ES35:ES41)</f>
        <v>289.959</v>
      </c>
      <c r="ET42" s="102">
        <f>SUM(ET35:ET41)</f>
        <v>296.40600000000001</v>
      </c>
      <c r="EU42" s="102">
        <f>SUM(EU35:EU41)</f>
        <v>301.24099999999999</v>
      </c>
      <c r="EV42" s="102">
        <f>SUM(EV35:EV41)</f>
        <v>301.24099999999999</v>
      </c>
      <c r="EW42" s="30"/>
      <c r="EX42" s="102">
        <f>SUM(EX35:EX41)</f>
        <v>279.69499999999999</v>
      </c>
      <c r="EY42" s="102">
        <f>SUM(EY35:EY41)</f>
        <v>100.12</v>
      </c>
      <c r="EZ42" s="102">
        <f>SUM(EZ35:EZ41)</f>
        <v>97.866000000000014</v>
      </c>
      <c r="FA42" s="102">
        <f>SUM(FA35:FA41)</f>
        <v>95.97470879036041</v>
      </c>
      <c r="FB42" s="543">
        <f>SUM(FB35:FB41)</f>
        <v>95.97470879036041</v>
      </c>
      <c r="FC42" s="30"/>
      <c r="FD42" s="543">
        <f>SUM(FD35:FD41)</f>
        <v>97.940220388918988</v>
      </c>
      <c r="FE42" s="102">
        <f>SUM(FE35:FE41)</f>
        <v>99.667273795791843</v>
      </c>
      <c r="FF42" s="102">
        <f>SUM(FF35:FF41)</f>
        <v>101.78381647024274</v>
      </c>
      <c r="FG42" s="102">
        <f>SUM(FG35:FG41)</f>
        <v>104.28007756132911</v>
      </c>
      <c r="FH42" s="102">
        <f>SUM(FH35:FH41)</f>
        <v>104.28007756132911</v>
      </c>
      <c r="FI42" s="30"/>
      <c r="FJ42" s="102">
        <f>SUM(FJ35:FJ41)</f>
        <v>107.63881407451147</v>
      </c>
      <c r="FK42" s="102">
        <f>SUM(FK35:FK41)</f>
        <v>109.8307248192742</v>
      </c>
      <c r="FL42" s="102">
        <f>SUM(FL35:FL41)</f>
        <v>112.12207183834185</v>
      </c>
      <c r="FM42" s="102">
        <f>SUM(FM35:FM41)</f>
        <v>459.60640739180775</v>
      </c>
      <c r="FN42" s="102">
        <f>SUM(FN35:FN41)</f>
        <v>459.60640739180775</v>
      </c>
      <c r="FO42" s="30"/>
      <c r="FP42" s="102">
        <f>SUM(FP35:FP41)</f>
        <v>463.18060884782199</v>
      </c>
      <c r="FQ42" s="102">
        <f>SUM(FQ35:FQ41)</f>
        <v>465.66690945691909</v>
      </c>
      <c r="FR42" s="102">
        <f>SUM(FR35:FR41)</f>
        <v>468.27406110991683</v>
      </c>
      <c r="FS42" s="102">
        <f>SUM(FS35:FS41)</f>
        <v>125.95297381363906</v>
      </c>
      <c r="FT42" s="102">
        <f>SUM(FT35:FT41)</f>
        <v>125.95297381363906</v>
      </c>
      <c r="FU42" s="30"/>
      <c r="FV42" s="102">
        <f>SUM(FV35:FV41)</f>
        <v>132.40219674545091</v>
      </c>
      <c r="FW42" s="102">
        <f>SUM(FW35:FW41)</f>
        <v>135.04508234668938</v>
      </c>
      <c r="FX42" s="102">
        <f>SUM(FX35:FX41)</f>
        <v>137.81620334834338</v>
      </c>
      <c r="FY42" s="102">
        <f>SUM(FY35:FY41)</f>
        <v>140.66189907043326</v>
      </c>
      <c r="FZ42" s="102">
        <f>SUM(FZ35:FZ41)</f>
        <v>140.66189907043326</v>
      </c>
      <c r="GA42" s="30"/>
      <c r="GB42" s="102">
        <f>SUM(GB35:GB41)</f>
        <v>147.57693065586744</v>
      </c>
      <c r="GC42" s="102">
        <f>SUM(GC35:GC41)</f>
        <v>150.36164597348355</v>
      </c>
      <c r="GD42" s="102">
        <f>SUM(GD35:GD41)</f>
        <v>153.2814784084014</v>
      </c>
      <c r="GE42" s="102">
        <f>SUM(GE35:GE41)</f>
        <v>156.2798875952632</v>
      </c>
      <c r="GF42" s="102">
        <f>SUM(GF35:GF41)</f>
        <v>156.2798875952632</v>
      </c>
      <c r="GG42" s="30"/>
      <c r="GH42" s="102">
        <f>SUM(GH35:GH41)</f>
        <v>163.57585693746853</v>
      </c>
      <c r="GI42" s="102">
        <f>SUM(GI35:GI41)</f>
        <v>166.40557594567761</v>
      </c>
      <c r="GJ42" s="102">
        <f>SUM(GJ35:GJ41)</f>
        <v>169.37259569437688</v>
      </c>
      <c r="GK42" s="102">
        <f>SUM(GK35:GK41)</f>
        <v>172.4194620712656</v>
      </c>
      <c r="GL42" s="102">
        <f>SUM(GL35:GL41)</f>
        <v>172.4194620712656</v>
      </c>
      <c r="GM42" s="30"/>
      <c r="GN42" s="102">
        <f>SUM(GN35:GN41)</f>
        <v>180.12594150095876</v>
      </c>
      <c r="GO42" s="102">
        <f>SUM(GO35:GO41)</f>
        <v>183.03826458272619</v>
      </c>
      <c r="GP42" s="102">
        <f>SUM(GP35:GP41)</f>
        <v>186.0918964356166</v>
      </c>
      <c r="GQ42" s="102">
        <f>SUM(GQ35:GQ41)</f>
        <v>189.22770576888684</v>
      </c>
      <c r="GR42" s="102">
        <f>SUM(GR35:GR41)</f>
        <v>189.22770576888684</v>
      </c>
      <c r="GS42" s="30"/>
      <c r="GT42" s="102">
        <f>SUM(GT35:GT41)</f>
        <v>197.31483483628205</v>
      </c>
      <c r="GU42" s="102">
        <f>SUM(GU35:GU41)</f>
        <v>200.27920359548455</v>
      </c>
      <c r="GV42" s="102">
        <f>SUM(GV35:GV41)</f>
        <v>203.38740643310393</v>
      </c>
      <c r="GW42" s="102">
        <f>SUM(GW35:GW41)</f>
        <v>206.5792553322035</v>
      </c>
      <c r="GX42" s="102">
        <f>SUM(GX35:GX41)</f>
        <v>206.5792553322035</v>
      </c>
      <c r="GY42" s="30"/>
      <c r="GZ42" s="102">
        <f>SUM(GZ35:GZ41)</f>
        <v>215.00967406987155</v>
      </c>
      <c r="HA42" s="102">
        <f>SUM(HA35:HA41)</f>
        <v>217.99119793217281</v>
      </c>
      <c r="HB42" s="102">
        <f>SUM(HB35:HB41)</f>
        <v>221.11738825531194</v>
      </c>
      <c r="HC42" s="102">
        <f>SUM(HC35:HC41)</f>
        <v>224.32770870818496</v>
      </c>
      <c r="HD42" s="102">
        <f>SUM(HD35:HD41)</f>
        <v>224.32770870818496</v>
      </c>
      <c r="HF42" s="102">
        <f>SUM(HF35:HF41)</f>
        <v>233.05672049030272</v>
      </c>
      <c r="HG42" s="102">
        <f>SUM(HG35:HG41)</f>
        <v>236.01653907010143</v>
      </c>
      <c r="HH42" s="102">
        <f>SUM(HH35:HH41)</f>
        <v>239.11997094915142</v>
      </c>
      <c r="HI42" s="102">
        <f>SUM(HI35:HI41)</f>
        <v>242.30692049655073</v>
      </c>
      <c r="HJ42" s="102">
        <f>SUM(HJ35:HJ41)</f>
        <v>242.30692049655073</v>
      </c>
    </row>
    <row r="43" spans="1:218" ht="9.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118"/>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c r="EO43" s="102"/>
      <c r="EP43" s="102"/>
      <c r="EQ43" s="102"/>
      <c r="ER43" s="102"/>
      <c r="ES43" s="102"/>
      <c r="ET43" s="102"/>
      <c r="EU43" s="102"/>
      <c r="EV43" s="102"/>
      <c r="EW43" s="30"/>
      <c r="EX43" s="102"/>
      <c r="EY43" s="102"/>
      <c r="EZ43" s="102"/>
      <c r="FA43" s="102"/>
      <c r="FB43" s="543"/>
      <c r="FC43" s="30"/>
      <c r="FD43" s="543"/>
      <c r="FE43" s="102"/>
      <c r="FF43" s="102"/>
      <c r="FG43" s="102"/>
      <c r="FH43" s="102"/>
      <c r="FI43" s="30"/>
      <c r="FJ43" s="102"/>
      <c r="FK43" s="102"/>
      <c r="FL43" s="102"/>
      <c r="FM43" s="102"/>
      <c r="FN43" s="102"/>
      <c r="FO43" s="30"/>
      <c r="FP43" s="102"/>
      <c r="FQ43" s="102"/>
      <c r="FR43" s="102"/>
      <c r="FS43" s="102"/>
      <c r="FT43" s="102"/>
      <c r="FU43" s="30"/>
      <c r="FV43" s="102"/>
      <c r="FW43" s="102"/>
      <c r="FX43" s="102"/>
      <c r="FY43" s="102"/>
      <c r="FZ43" s="102"/>
      <c r="GA43" s="30"/>
      <c r="GB43" s="102"/>
      <c r="GC43" s="102"/>
      <c r="GD43" s="102"/>
      <c r="GE43" s="102"/>
      <c r="GF43" s="102"/>
      <c r="GG43" s="30"/>
      <c r="GH43" s="102"/>
      <c r="GI43" s="102"/>
      <c r="GJ43" s="102"/>
      <c r="GK43" s="102"/>
      <c r="GL43" s="102"/>
      <c r="GM43" s="30"/>
      <c r="GN43" s="102"/>
      <c r="GO43" s="102"/>
      <c r="GP43" s="102"/>
      <c r="GQ43" s="102"/>
      <c r="GR43" s="102"/>
      <c r="GS43" s="30"/>
      <c r="GT43" s="102"/>
      <c r="GU43" s="102"/>
      <c r="GV43" s="102"/>
      <c r="GW43" s="102"/>
      <c r="GX43" s="102"/>
      <c r="GY43" s="30"/>
      <c r="GZ43" s="102"/>
      <c r="HA43" s="102"/>
      <c r="HB43" s="102"/>
      <c r="HC43" s="102"/>
      <c r="HD43" s="102"/>
    </row>
    <row r="44" spans="1:218">
      <c r="A44" s="30"/>
      <c r="B44" s="30" t="s">
        <v>55</v>
      </c>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118"/>
      <c r="BU44" s="118"/>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102">
        <v>0</v>
      </c>
      <c r="DI44" s="102">
        <v>0</v>
      </c>
      <c r="DJ44" s="102">
        <v>0</v>
      </c>
      <c r="DK44" s="102">
        <v>0</v>
      </c>
      <c r="DL44" s="102">
        <f>DK44</f>
        <v>0</v>
      </c>
      <c r="DM44" s="102"/>
      <c r="DN44" s="102">
        <v>16.648</v>
      </c>
      <c r="DO44" s="102">
        <v>24.178999999999998</v>
      </c>
      <c r="DP44" s="102">
        <v>23.87</v>
      </c>
      <c r="DQ44" s="102">
        <v>24.033999999999999</v>
      </c>
      <c r="DR44" s="102">
        <f>DQ44</f>
        <v>24.033999999999999</v>
      </c>
      <c r="DS44" s="102"/>
      <c r="DT44" s="102">
        <v>45.91</v>
      </c>
      <c r="DU44" s="102">
        <v>44.524000000000001</v>
      </c>
      <c r="DV44" s="102">
        <v>43.122999999999998</v>
      </c>
      <c r="DW44" s="102">
        <v>42.295999999999999</v>
      </c>
      <c r="DX44" s="102">
        <f>DW44</f>
        <v>42.295999999999999</v>
      </c>
      <c r="DY44" s="102"/>
      <c r="DZ44" s="102">
        <v>46.436999999999998</v>
      </c>
      <c r="EA44" s="102">
        <v>49.624000000000002</v>
      </c>
      <c r="EB44" s="102">
        <v>72.335999999999999</v>
      </c>
      <c r="EC44" s="102">
        <v>72.289000000000001</v>
      </c>
      <c r="ED44" s="102">
        <f>EC44</f>
        <v>72.289000000000001</v>
      </c>
      <c r="EE44" s="102"/>
      <c r="EF44" s="102">
        <v>73.433999999999997</v>
      </c>
      <c r="EG44" s="102">
        <v>71.882000000000005</v>
      </c>
      <c r="EH44" s="102">
        <v>70.471000000000004</v>
      </c>
      <c r="EI44" s="102">
        <v>68.951999999999998</v>
      </c>
      <c r="EJ44" s="102">
        <f>EI44</f>
        <v>68.951999999999998</v>
      </c>
      <c r="EK44" s="102"/>
      <c r="EL44" s="102">
        <v>67.319000000000003</v>
      </c>
      <c r="EM44" s="102">
        <v>65.468000000000004</v>
      </c>
      <c r="EN44" s="102">
        <v>62.006999999999998</v>
      </c>
      <c r="EO44" s="102">
        <v>67.870999999999995</v>
      </c>
      <c r="EP44" s="102">
        <f>EO44</f>
        <v>67.870999999999995</v>
      </c>
      <c r="EQ44" s="102"/>
      <c r="ER44" s="102">
        <v>64.772999999999996</v>
      </c>
      <c r="ES44" s="421">
        <v>63.293999999999997</v>
      </c>
      <c r="ET44" s="421">
        <v>62.171999999999997</v>
      </c>
      <c r="EU44" s="421">
        <v>60.841000000000001</v>
      </c>
      <c r="EV44" s="421">
        <f>EU44</f>
        <v>60.841000000000001</v>
      </c>
      <c r="EW44" s="30"/>
      <c r="EX44" s="421">
        <v>59.860999999999997</v>
      </c>
      <c r="EY44" s="421">
        <v>66.616</v>
      </c>
      <c r="EZ44" s="421">
        <v>64.325000000000003</v>
      </c>
      <c r="FA44" s="421">
        <f>EZ44</f>
        <v>64.325000000000003</v>
      </c>
      <c r="FB44" s="544">
        <f>FA44</f>
        <v>64.325000000000003</v>
      </c>
      <c r="FC44" s="30"/>
      <c r="FD44" s="544">
        <f>FA44</f>
        <v>64.325000000000003</v>
      </c>
      <c r="FE44" s="421">
        <f>FD44</f>
        <v>64.325000000000003</v>
      </c>
      <c r="FF44" s="421">
        <f>FE44</f>
        <v>64.325000000000003</v>
      </c>
      <c r="FG44" s="421">
        <f>FF44</f>
        <v>64.325000000000003</v>
      </c>
      <c r="FH44" s="421">
        <f>FG44</f>
        <v>64.325000000000003</v>
      </c>
      <c r="FI44" s="30"/>
      <c r="FJ44" s="421">
        <f>FG44</f>
        <v>64.325000000000003</v>
      </c>
      <c r="FK44" s="421">
        <f>FJ44</f>
        <v>64.325000000000003</v>
      </c>
      <c r="FL44" s="421">
        <f>FK44</f>
        <v>64.325000000000003</v>
      </c>
      <c r="FM44" s="421">
        <f>FL44</f>
        <v>64.325000000000003</v>
      </c>
      <c r="FN44" s="421">
        <f>FM44</f>
        <v>64.325000000000003</v>
      </c>
      <c r="FO44" s="30"/>
      <c r="FP44" s="421">
        <f>FM44</f>
        <v>64.325000000000003</v>
      </c>
      <c r="FQ44" s="421">
        <f>FP44</f>
        <v>64.325000000000003</v>
      </c>
      <c r="FR44" s="421">
        <f>FQ44</f>
        <v>64.325000000000003</v>
      </c>
      <c r="FS44" s="421">
        <f>FR44</f>
        <v>64.325000000000003</v>
      </c>
      <c r="FT44" s="421">
        <f>FS44</f>
        <v>64.325000000000003</v>
      </c>
      <c r="FU44" s="30"/>
      <c r="FV44" s="421">
        <f>FS44</f>
        <v>64.325000000000003</v>
      </c>
      <c r="FW44" s="421">
        <f>FV44</f>
        <v>64.325000000000003</v>
      </c>
      <c r="FX44" s="421">
        <f>FW44</f>
        <v>64.325000000000003</v>
      </c>
      <c r="FY44" s="421">
        <f>FX44</f>
        <v>64.325000000000003</v>
      </c>
      <c r="FZ44" s="421">
        <f>FY44</f>
        <v>64.325000000000003</v>
      </c>
      <c r="GA44" s="30"/>
      <c r="GB44" s="421">
        <f>FY44</f>
        <v>64.325000000000003</v>
      </c>
      <c r="GC44" s="421">
        <f>GB44</f>
        <v>64.325000000000003</v>
      </c>
      <c r="GD44" s="421">
        <f>GC44</f>
        <v>64.325000000000003</v>
      </c>
      <c r="GE44" s="421">
        <f>GD44</f>
        <v>64.325000000000003</v>
      </c>
      <c r="GF44" s="421">
        <f>GE44</f>
        <v>64.325000000000003</v>
      </c>
      <c r="GG44" s="30"/>
      <c r="GH44" s="421">
        <f>GE44</f>
        <v>64.325000000000003</v>
      </c>
      <c r="GI44" s="421">
        <f>GH44</f>
        <v>64.325000000000003</v>
      </c>
      <c r="GJ44" s="421">
        <f>GI44</f>
        <v>64.325000000000003</v>
      </c>
      <c r="GK44" s="421">
        <f>GJ44</f>
        <v>64.325000000000003</v>
      </c>
      <c r="GL44" s="421">
        <f>GK44</f>
        <v>64.325000000000003</v>
      </c>
      <c r="GM44" s="30"/>
      <c r="GN44" s="421">
        <f>GK44</f>
        <v>64.325000000000003</v>
      </c>
      <c r="GO44" s="421">
        <f>GN44</f>
        <v>64.325000000000003</v>
      </c>
      <c r="GP44" s="421">
        <f>GO44</f>
        <v>64.325000000000003</v>
      </c>
      <c r="GQ44" s="421">
        <f>GP44</f>
        <v>64.325000000000003</v>
      </c>
      <c r="GR44" s="421">
        <f>GQ44</f>
        <v>64.325000000000003</v>
      </c>
      <c r="GS44" s="30"/>
      <c r="GT44" s="421">
        <f>GQ44</f>
        <v>64.325000000000003</v>
      </c>
      <c r="GU44" s="421">
        <f>GT44</f>
        <v>64.325000000000003</v>
      </c>
      <c r="GV44" s="421">
        <f>GU44</f>
        <v>64.325000000000003</v>
      </c>
      <c r="GW44" s="421">
        <f>GV44</f>
        <v>64.325000000000003</v>
      </c>
      <c r="GX44" s="421">
        <f>GW44</f>
        <v>64.325000000000003</v>
      </c>
      <c r="GY44" s="30"/>
      <c r="GZ44" s="421">
        <f>GW44</f>
        <v>64.325000000000003</v>
      </c>
      <c r="HA44" s="421">
        <f>GZ44</f>
        <v>64.325000000000003</v>
      </c>
      <c r="HB44" s="421">
        <f>HA44</f>
        <v>64.325000000000003</v>
      </c>
      <c r="HC44" s="421">
        <f>HB44</f>
        <v>64.325000000000003</v>
      </c>
      <c r="HD44" s="421">
        <f>HC44</f>
        <v>64.325000000000003</v>
      </c>
      <c r="HF44" s="421">
        <f>HC44</f>
        <v>64.325000000000003</v>
      </c>
      <c r="HG44" s="421">
        <f>HF44</f>
        <v>64.325000000000003</v>
      </c>
      <c r="HH44" s="421">
        <f>HG44</f>
        <v>64.325000000000003</v>
      </c>
      <c r="HI44" s="421">
        <f>HH44</f>
        <v>64.325000000000003</v>
      </c>
      <c r="HJ44" s="421">
        <f>HI44</f>
        <v>64.325000000000003</v>
      </c>
    </row>
    <row r="45" spans="1:218">
      <c r="A45" s="30"/>
      <c r="B45" s="30" t="s">
        <v>545</v>
      </c>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118"/>
      <c r="BU45" s="118"/>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102">
        <f>65.208+19.114</f>
        <v>84.322000000000003</v>
      </c>
      <c r="DI45" s="102">
        <f>91.535+29.176</f>
        <v>120.711</v>
      </c>
      <c r="DJ45" s="102">
        <v>89.763999999999996</v>
      </c>
      <c r="DK45" s="102">
        <f>87.88+5</f>
        <v>92.88</v>
      </c>
      <c r="DL45" s="102">
        <f>DK45</f>
        <v>92.88</v>
      </c>
      <c r="DM45" s="102"/>
      <c r="DN45" s="102">
        <f>85.995+5</f>
        <v>90.995000000000005</v>
      </c>
      <c r="DO45" s="102">
        <v>94.25</v>
      </c>
      <c r="DP45" s="102">
        <v>93.027000000000001</v>
      </c>
      <c r="DQ45" s="102">
        <v>91.828999999999994</v>
      </c>
      <c r="DR45" s="102">
        <f>DQ45</f>
        <v>91.828999999999994</v>
      </c>
      <c r="DS45" s="102"/>
      <c r="DT45" s="102">
        <v>90.605000000000004</v>
      </c>
      <c r="DU45" s="102">
        <v>164.54400000000001</v>
      </c>
      <c r="DV45" s="102">
        <v>166.44</v>
      </c>
      <c r="DW45" s="102">
        <v>168.12</v>
      </c>
      <c r="DX45" s="102">
        <f>DW45</f>
        <v>168.12</v>
      </c>
      <c r="DY45" s="102"/>
      <c r="DZ45" s="102">
        <v>530.37800000000004</v>
      </c>
      <c r="EA45" s="102">
        <v>531.077</v>
      </c>
      <c r="EB45" s="102">
        <v>531.779</v>
      </c>
      <c r="EC45" s="102">
        <v>532.48299999999995</v>
      </c>
      <c r="ED45" s="102">
        <f>EC45</f>
        <v>532.48299999999995</v>
      </c>
      <c r="EE45" s="102"/>
      <c r="EF45" s="102">
        <v>533.18899999999996</v>
      </c>
      <c r="EG45" s="102">
        <v>533.89800000000002</v>
      </c>
      <c r="EH45" s="102">
        <v>534.60900000000004</v>
      </c>
      <c r="EI45" s="102">
        <v>535.322</v>
      </c>
      <c r="EJ45" s="102">
        <f>EI45</f>
        <v>535.322</v>
      </c>
      <c r="EK45" s="102"/>
      <c r="EL45" s="102">
        <v>536.03700000000003</v>
      </c>
      <c r="EM45" s="102">
        <v>536.755</v>
      </c>
      <c r="EN45" s="102">
        <v>537.47500000000002</v>
      </c>
      <c r="EO45" s="102">
        <v>538.19799999999998</v>
      </c>
      <c r="EP45" s="102">
        <f>EO45</f>
        <v>538.19799999999998</v>
      </c>
      <c r="EQ45" s="102"/>
      <c r="ER45" s="102">
        <v>538.923</v>
      </c>
      <c r="ES45" s="421">
        <v>339.577</v>
      </c>
      <c r="ET45" s="421">
        <v>339.95600000000002</v>
      </c>
      <c r="EU45" s="421">
        <v>340.33499999999998</v>
      </c>
      <c r="EV45" s="102">
        <f>EU45</f>
        <v>340.33499999999998</v>
      </c>
      <c r="EW45" s="30"/>
      <c r="EX45" s="421">
        <v>340.714</v>
      </c>
      <c r="EY45" s="421">
        <v>341.09500000000003</v>
      </c>
      <c r="EZ45" s="421">
        <v>341.476</v>
      </c>
      <c r="FA45" s="421">
        <f>'Other Accts'!FA43</f>
        <v>341.57059999999996</v>
      </c>
      <c r="FB45" s="543">
        <f>FA45</f>
        <v>341.57059999999996</v>
      </c>
      <c r="FC45" s="30"/>
      <c r="FD45" s="544">
        <f>'Other Accts'!FD43</f>
        <v>341.87949999999995</v>
      </c>
      <c r="FE45" s="421">
        <f>'Other Accts'!FE43</f>
        <v>342.1884</v>
      </c>
      <c r="FF45" s="421">
        <f>'Other Accts'!FF43</f>
        <v>342.4973</v>
      </c>
      <c r="FG45" s="421">
        <f>'Other Accts'!FG43</f>
        <v>342.80619999999999</v>
      </c>
      <c r="FH45" s="102">
        <f>FG45</f>
        <v>342.80619999999999</v>
      </c>
      <c r="FI45" s="30"/>
      <c r="FJ45" s="421">
        <f>'Other Accts'!FJ43</f>
        <v>343.11509999999998</v>
      </c>
      <c r="FK45" s="421">
        <f>'Other Accts'!FK43</f>
        <v>343.42399999999998</v>
      </c>
      <c r="FL45" s="421">
        <f>'Other Accts'!FL43</f>
        <v>343.73289999999997</v>
      </c>
      <c r="FM45" s="421">
        <f>'Other Accts'!FM43</f>
        <v>344.04179999999997</v>
      </c>
      <c r="FN45" s="102">
        <f>FM45</f>
        <v>344.04179999999997</v>
      </c>
      <c r="FO45" s="30"/>
      <c r="FP45" s="421">
        <f>'Other Accts'!FP43</f>
        <v>344.35069999999996</v>
      </c>
      <c r="FQ45" s="421">
        <f>'Other Accts'!FQ43</f>
        <v>344.65959999999995</v>
      </c>
      <c r="FR45" s="421">
        <f>'Other Accts'!FR43</f>
        <v>344.96849999999995</v>
      </c>
      <c r="FS45" s="421">
        <f>'Other Accts'!FS43</f>
        <v>345</v>
      </c>
      <c r="FT45" s="102">
        <f>FS45</f>
        <v>345</v>
      </c>
      <c r="FU45" s="30"/>
      <c r="FV45" s="421">
        <f>'Other Accts'!FV43</f>
        <v>345</v>
      </c>
      <c r="FW45" s="421">
        <f>'Other Accts'!FW43</f>
        <v>345</v>
      </c>
      <c r="FX45" s="421">
        <f>'Other Accts'!FX43</f>
        <v>345</v>
      </c>
      <c r="FY45" s="421">
        <f>'Other Accts'!FY43</f>
        <v>345</v>
      </c>
      <c r="FZ45" s="102">
        <f>FY45</f>
        <v>345</v>
      </c>
      <c r="GA45" s="30"/>
      <c r="GB45" s="421">
        <f>'Other Accts'!GB43</f>
        <v>345</v>
      </c>
      <c r="GC45" s="421">
        <f>'Other Accts'!GC43</f>
        <v>345</v>
      </c>
      <c r="GD45" s="421">
        <f>'Other Accts'!GD43</f>
        <v>345</v>
      </c>
      <c r="GE45" s="421">
        <f>'Other Accts'!GE43</f>
        <v>345</v>
      </c>
      <c r="GF45" s="102">
        <f>GE45</f>
        <v>345</v>
      </c>
      <c r="GG45" s="30"/>
      <c r="GH45" s="421">
        <f>'Other Accts'!GH43</f>
        <v>345</v>
      </c>
      <c r="GI45" s="421">
        <f>'Other Accts'!GI43</f>
        <v>345</v>
      </c>
      <c r="GJ45" s="421">
        <f>'Other Accts'!GJ43</f>
        <v>345</v>
      </c>
      <c r="GK45" s="421">
        <f>'Other Accts'!GK43</f>
        <v>0</v>
      </c>
      <c r="GL45" s="102">
        <f>GK45</f>
        <v>0</v>
      </c>
      <c r="GM45" s="30"/>
      <c r="GN45" s="421">
        <f>'Other Accts'!GN43</f>
        <v>0</v>
      </c>
      <c r="GO45" s="421">
        <f>'Other Accts'!GO43</f>
        <v>0</v>
      </c>
      <c r="GP45" s="421">
        <f>'Other Accts'!GP43</f>
        <v>0</v>
      </c>
      <c r="GQ45" s="421">
        <f>'Other Accts'!GQ43</f>
        <v>0</v>
      </c>
      <c r="GR45" s="102">
        <f>GQ45</f>
        <v>0</v>
      </c>
      <c r="GS45" s="30"/>
      <c r="GT45" s="421">
        <f>'Other Accts'!GT43</f>
        <v>0</v>
      </c>
      <c r="GU45" s="421">
        <f>'Other Accts'!GU43</f>
        <v>0</v>
      </c>
      <c r="GV45" s="421">
        <f>'Other Accts'!GV43</f>
        <v>0</v>
      </c>
      <c r="GW45" s="421">
        <f>'Other Accts'!GW43</f>
        <v>0</v>
      </c>
      <c r="GX45" s="102">
        <f>GW45</f>
        <v>0</v>
      </c>
      <c r="GY45" s="30"/>
      <c r="GZ45" s="421">
        <f>'Other Accts'!GZ43</f>
        <v>0</v>
      </c>
      <c r="HA45" s="421">
        <f>'Other Accts'!HA43</f>
        <v>0</v>
      </c>
      <c r="HB45" s="421">
        <f>'Other Accts'!HB43</f>
        <v>0</v>
      </c>
      <c r="HC45" s="421">
        <f>'Other Accts'!HC43</f>
        <v>0</v>
      </c>
      <c r="HD45" s="102">
        <f>HC45</f>
        <v>0</v>
      </c>
      <c r="HF45" s="421">
        <f>'Other Accts'!HF43</f>
        <v>0</v>
      </c>
      <c r="HG45" s="421">
        <f>'Other Accts'!HG43</f>
        <v>0</v>
      </c>
      <c r="HH45" s="421">
        <f>'Other Accts'!HH43</f>
        <v>0</v>
      </c>
      <c r="HI45" s="421">
        <f>'Other Accts'!HI43</f>
        <v>0</v>
      </c>
      <c r="HJ45" s="102">
        <f>HI45</f>
        <v>0</v>
      </c>
    </row>
    <row r="46" spans="1:218">
      <c r="A46" s="30"/>
      <c r="B46" s="30" t="s">
        <v>497</v>
      </c>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118"/>
      <c r="BU46" s="118"/>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102">
        <v>6.5149999999999997</v>
      </c>
      <c r="DI46" s="102">
        <v>5.4139999999999997</v>
      </c>
      <c r="DJ46" s="102">
        <v>6.6630000000000003</v>
      </c>
      <c r="DK46" s="102">
        <v>5.25</v>
      </c>
      <c r="DL46" s="102">
        <f>DK46</f>
        <v>5.25</v>
      </c>
      <c r="DM46" s="102"/>
      <c r="DN46" s="102">
        <v>5.2530000000000001</v>
      </c>
      <c r="DO46" s="102">
        <v>4.782</v>
      </c>
      <c r="DP46" s="102">
        <v>3.9820000000000002</v>
      </c>
      <c r="DQ46" s="102">
        <v>3.1989999999999998</v>
      </c>
      <c r="DR46" s="102">
        <f>DQ46</f>
        <v>3.1989999999999998</v>
      </c>
      <c r="DS46" s="102"/>
      <c r="DT46" s="102">
        <v>2.4279999999999999</v>
      </c>
      <c r="DU46" s="102">
        <v>1.911</v>
      </c>
      <c r="DV46" s="102">
        <v>1.399</v>
      </c>
      <c r="DW46" s="102">
        <v>0.96699999999999997</v>
      </c>
      <c r="DX46" s="102">
        <f>DW46</f>
        <v>0.96699999999999997</v>
      </c>
      <c r="DY46" s="102"/>
      <c r="DZ46" s="102">
        <v>0.68300000000000005</v>
      </c>
      <c r="EA46" s="102">
        <v>0.44800000000000001</v>
      </c>
      <c r="EB46" s="102">
        <v>0.152</v>
      </c>
      <c r="EC46" s="102">
        <v>7.0999999999999994E-2</v>
      </c>
      <c r="ED46" s="102">
        <f>EC46</f>
        <v>7.0999999999999994E-2</v>
      </c>
      <c r="EE46" s="102"/>
      <c r="EF46" s="102">
        <v>0</v>
      </c>
      <c r="EG46" s="102">
        <v>0</v>
      </c>
      <c r="EH46" s="102">
        <v>0</v>
      </c>
      <c r="EI46" s="102">
        <v>0</v>
      </c>
      <c r="EJ46" s="102">
        <f>EI46</f>
        <v>0</v>
      </c>
      <c r="EK46" s="102"/>
      <c r="EL46" s="102">
        <v>0</v>
      </c>
      <c r="EM46" s="102">
        <v>0</v>
      </c>
      <c r="EN46" s="102">
        <v>0</v>
      </c>
      <c r="EO46" s="102">
        <v>0</v>
      </c>
      <c r="EP46" s="102">
        <f>EO46</f>
        <v>0</v>
      </c>
      <c r="EQ46" s="102"/>
      <c r="ER46" s="102">
        <v>0</v>
      </c>
      <c r="ES46" s="421">
        <f>ER46</f>
        <v>0</v>
      </c>
      <c r="ET46" s="421">
        <v>0</v>
      </c>
      <c r="EU46" s="421">
        <v>0</v>
      </c>
      <c r="EV46" s="102">
        <f>EU46</f>
        <v>0</v>
      </c>
      <c r="EW46" s="30"/>
      <c r="EX46" s="102">
        <v>0</v>
      </c>
      <c r="EY46" s="421">
        <v>0</v>
      </c>
      <c r="EZ46" s="421">
        <v>0</v>
      </c>
      <c r="FA46" s="421">
        <f>EZ46</f>
        <v>0</v>
      </c>
      <c r="FB46" s="543">
        <f>FA46</f>
        <v>0</v>
      </c>
      <c r="FC46" s="30"/>
      <c r="FD46" s="543">
        <f>EX46</f>
        <v>0</v>
      </c>
      <c r="FE46" s="421">
        <f t="shared" ref="FE46:FG48" si="108">FD46</f>
        <v>0</v>
      </c>
      <c r="FF46" s="421">
        <f t="shared" si="108"/>
        <v>0</v>
      </c>
      <c r="FG46" s="421">
        <f t="shared" si="108"/>
        <v>0</v>
      </c>
      <c r="FH46" s="102">
        <f>FG46</f>
        <v>0</v>
      </c>
      <c r="FI46" s="30"/>
      <c r="FJ46" s="102">
        <f>FD46</f>
        <v>0</v>
      </c>
      <c r="FK46" s="421">
        <f t="shared" ref="FK46:FM48" si="109">FJ46</f>
        <v>0</v>
      </c>
      <c r="FL46" s="421">
        <f t="shared" si="109"/>
        <v>0</v>
      </c>
      <c r="FM46" s="421">
        <f t="shared" si="109"/>
        <v>0</v>
      </c>
      <c r="FN46" s="102">
        <f>FM46</f>
        <v>0</v>
      </c>
      <c r="FO46" s="30"/>
      <c r="FP46" s="102">
        <f>FJ46</f>
        <v>0</v>
      </c>
      <c r="FQ46" s="421">
        <f t="shared" ref="FQ46:FS48" si="110">FP46</f>
        <v>0</v>
      </c>
      <c r="FR46" s="421">
        <f t="shared" si="110"/>
        <v>0</v>
      </c>
      <c r="FS46" s="421">
        <f t="shared" si="110"/>
        <v>0</v>
      </c>
      <c r="FT46" s="102">
        <f>FS46</f>
        <v>0</v>
      </c>
      <c r="FU46" s="30"/>
      <c r="FV46" s="102">
        <f>FP46</f>
        <v>0</v>
      </c>
      <c r="FW46" s="421">
        <f t="shared" ref="FW46:FY48" si="111">FV46</f>
        <v>0</v>
      </c>
      <c r="FX46" s="421">
        <f t="shared" si="111"/>
        <v>0</v>
      </c>
      <c r="FY46" s="421">
        <f t="shared" si="111"/>
        <v>0</v>
      </c>
      <c r="FZ46" s="102">
        <f>FY46</f>
        <v>0</v>
      </c>
      <c r="GA46" s="30"/>
      <c r="GB46" s="102">
        <f>FV46</f>
        <v>0</v>
      </c>
      <c r="GC46" s="421">
        <f t="shared" ref="GC46:GE48" si="112">GB46</f>
        <v>0</v>
      </c>
      <c r="GD46" s="421">
        <f t="shared" si="112"/>
        <v>0</v>
      </c>
      <c r="GE46" s="421">
        <f t="shared" si="112"/>
        <v>0</v>
      </c>
      <c r="GF46" s="102">
        <f>GE46</f>
        <v>0</v>
      </c>
      <c r="GG46" s="30"/>
      <c r="GH46" s="102">
        <f>GB46</f>
        <v>0</v>
      </c>
      <c r="GI46" s="421">
        <f t="shared" ref="GI46:GK48" si="113">GH46</f>
        <v>0</v>
      </c>
      <c r="GJ46" s="421">
        <f t="shared" si="113"/>
        <v>0</v>
      </c>
      <c r="GK46" s="421">
        <f t="shared" si="113"/>
        <v>0</v>
      </c>
      <c r="GL46" s="102">
        <f>GK46</f>
        <v>0</v>
      </c>
      <c r="GM46" s="30"/>
      <c r="GN46" s="102">
        <f>GH46</f>
        <v>0</v>
      </c>
      <c r="GO46" s="421">
        <f t="shared" ref="GO46:GQ48" si="114">GN46</f>
        <v>0</v>
      </c>
      <c r="GP46" s="421">
        <f t="shared" si="114"/>
        <v>0</v>
      </c>
      <c r="GQ46" s="421">
        <f t="shared" si="114"/>
        <v>0</v>
      </c>
      <c r="GR46" s="102">
        <f>GQ46</f>
        <v>0</v>
      </c>
      <c r="GS46" s="30"/>
      <c r="GT46" s="102">
        <f>GN46</f>
        <v>0</v>
      </c>
      <c r="GU46" s="421">
        <f t="shared" ref="GU46:GW48" si="115">GT46</f>
        <v>0</v>
      </c>
      <c r="GV46" s="421">
        <f t="shared" si="115"/>
        <v>0</v>
      </c>
      <c r="GW46" s="421">
        <f t="shared" si="115"/>
        <v>0</v>
      </c>
      <c r="GX46" s="102">
        <f>GW46</f>
        <v>0</v>
      </c>
      <c r="GY46" s="30"/>
      <c r="GZ46" s="102">
        <f>GT46</f>
        <v>0</v>
      </c>
      <c r="HA46" s="421">
        <f t="shared" ref="HA46:HC48" si="116">GZ46</f>
        <v>0</v>
      </c>
      <c r="HB46" s="421">
        <f t="shared" si="116"/>
        <v>0</v>
      </c>
      <c r="HC46" s="421">
        <f t="shared" si="116"/>
        <v>0</v>
      </c>
      <c r="HD46" s="102">
        <f>HC46</f>
        <v>0</v>
      </c>
      <c r="HF46" s="102">
        <f>GZ46</f>
        <v>0</v>
      </c>
      <c r="HG46" s="421">
        <f t="shared" ref="HG46:HG48" si="117">HF46</f>
        <v>0</v>
      </c>
      <c r="HH46" s="421">
        <f t="shared" ref="HH46:HH48" si="118">HG46</f>
        <v>0</v>
      </c>
      <c r="HI46" s="421">
        <f t="shared" ref="HI46:HI48" si="119">HH46</f>
        <v>0</v>
      </c>
      <c r="HJ46" s="102">
        <f>HI46</f>
        <v>0</v>
      </c>
    </row>
    <row r="47" spans="1:218">
      <c r="A47" s="30"/>
      <c r="B47" s="30" t="s">
        <v>485</v>
      </c>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118"/>
      <c r="BU47" s="118"/>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102">
        <v>6.5940000000000003</v>
      </c>
      <c r="DI47" s="102">
        <v>6.827</v>
      </c>
      <c r="DJ47" s="102">
        <v>6.899</v>
      </c>
      <c r="DK47" s="102">
        <v>22.457000000000001</v>
      </c>
      <c r="DL47" s="102">
        <f>DK47</f>
        <v>22.457000000000001</v>
      </c>
      <c r="DM47" s="102"/>
      <c r="DN47" s="102">
        <v>20.155999999999999</v>
      </c>
      <c r="DO47" s="102">
        <v>20.117000000000001</v>
      </c>
      <c r="DP47" s="102">
        <v>19.687999999999999</v>
      </c>
      <c r="DQ47" s="102">
        <v>15.566000000000001</v>
      </c>
      <c r="DR47" s="102">
        <f>DQ47</f>
        <v>15.566000000000001</v>
      </c>
      <c r="DS47" s="102"/>
      <c r="DT47" s="102">
        <v>16.376999999999999</v>
      </c>
      <c r="DU47" s="102">
        <v>15.422000000000001</v>
      </c>
      <c r="DV47" s="102">
        <v>13.554</v>
      </c>
      <c r="DW47" s="102">
        <v>5.415</v>
      </c>
      <c r="DX47" s="102">
        <f>DW47</f>
        <v>5.415</v>
      </c>
      <c r="DY47" s="102"/>
      <c r="DZ47" s="102">
        <v>1.744</v>
      </c>
      <c r="EA47" s="102">
        <v>63.877000000000002</v>
      </c>
      <c r="EB47" s="102">
        <v>57.706000000000003</v>
      </c>
      <c r="EC47" s="102">
        <v>55.475000000000001</v>
      </c>
      <c r="ED47" s="102">
        <f>EC47</f>
        <v>55.475000000000001</v>
      </c>
      <c r="EE47" s="102"/>
      <c r="EF47" s="102">
        <v>51.709000000000003</v>
      </c>
      <c r="EG47" s="102">
        <v>45.978999999999999</v>
      </c>
      <c r="EH47" s="102">
        <v>38.344999999999999</v>
      </c>
      <c r="EI47" s="102">
        <v>34.75</v>
      </c>
      <c r="EJ47" s="102">
        <f>EI47</f>
        <v>34.75</v>
      </c>
      <c r="EK47" s="102"/>
      <c r="EL47" s="102">
        <v>31.715</v>
      </c>
      <c r="EM47" s="102">
        <v>28.811</v>
      </c>
      <c r="EN47" s="102">
        <v>25.37</v>
      </c>
      <c r="EO47" s="102">
        <v>24.285</v>
      </c>
      <c r="EP47" s="102">
        <f>EO47</f>
        <v>24.285</v>
      </c>
      <c r="EQ47" s="102"/>
      <c r="ER47" s="102">
        <v>23.49</v>
      </c>
      <c r="ES47" s="421">
        <v>23.015000000000001</v>
      </c>
      <c r="ET47" s="421">
        <v>22.771000000000001</v>
      </c>
      <c r="EU47" s="421">
        <v>21.51</v>
      </c>
      <c r="EV47" s="102">
        <f>EU47</f>
        <v>21.51</v>
      </c>
      <c r="EW47" s="30"/>
      <c r="EX47" s="102">
        <v>20.97</v>
      </c>
      <c r="EY47" s="421">
        <v>19.975999999999999</v>
      </c>
      <c r="EZ47" s="421">
        <v>20.846</v>
      </c>
      <c r="FA47" s="421">
        <f>EZ47</f>
        <v>20.846</v>
      </c>
      <c r="FB47" s="543">
        <f>FA47</f>
        <v>20.846</v>
      </c>
      <c r="FC47" s="30"/>
      <c r="FD47" s="543">
        <f>FA47</f>
        <v>20.846</v>
      </c>
      <c r="FE47" s="421">
        <f t="shared" si="108"/>
        <v>20.846</v>
      </c>
      <c r="FF47" s="421">
        <f t="shared" si="108"/>
        <v>20.846</v>
      </c>
      <c r="FG47" s="421">
        <f t="shared" si="108"/>
        <v>20.846</v>
      </c>
      <c r="FH47" s="102">
        <f>FG47</f>
        <v>20.846</v>
      </c>
      <c r="FI47" s="30"/>
      <c r="FJ47" s="102">
        <f>FG47</f>
        <v>20.846</v>
      </c>
      <c r="FK47" s="421">
        <f t="shared" si="109"/>
        <v>20.846</v>
      </c>
      <c r="FL47" s="421">
        <f t="shared" si="109"/>
        <v>20.846</v>
      </c>
      <c r="FM47" s="421">
        <f t="shared" si="109"/>
        <v>20.846</v>
      </c>
      <c r="FN47" s="102">
        <f>FM47</f>
        <v>20.846</v>
      </c>
      <c r="FO47" s="30"/>
      <c r="FP47" s="102">
        <f>FM47</f>
        <v>20.846</v>
      </c>
      <c r="FQ47" s="421">
        <f t="shared" si="110"/>
        <v>20.846</v>
      </c>
      <c r="FR47" s="421">
        <f t="shared" si="110"/>
        <v>20.846</v>
      </c>
      <c r="FS47" s="421">
        <f t="shared" si="110"/>
        <v>20.846</v>
      </c>
      <c r="FT47" s="102">
        <f>FS47</f>
        <v>20.846</v>
      </c>
      <c r="FU47" s="30"/>
      <c r="FV47" s="102">
        <f>FS47</f>
        <v>20.846</v>
      </c>
      <c r="FW47" s="421">
        <f t="shared" si="111"/>
        <v>20.846</v>
      </c>
      <c r="FX47" s="421">
        <f t="shared" si="111"/>
        <v>20.846</v>
      </c>
      <c r="FY47" s="421">
        <f t="shared" si="111"/>
        <v>20.846</v>
      </c>
      <c r="FZ47" s="102">
        <f>FY47</f>
        <v>20.846</v>
      </c>
      <c r="GA47" s="30"/>
      <c r="GB47" s="102">
        <f>FY47</f>
        <v>20.846</v>
      </c>
      <c r="GC47" s="421">
        <f t="shared" si="112"/>
        <v>20.846</v>
      </c>
      <c r="GD47" s="421">
        <f t="shared" si="112"/>
        <v>20.846</v>
      </c>
      <c r="GE47" s="421">
        <f t="shared" si="112"/>
        <v>20.846</v>
      </c>
      <c r="GF47" s="102">
        <f>GE47</f>
        <v>20.846</v>
      </c>
      <c r="GG47" s="30"/>
      <c r="GH47" s="102">
        <f>GE47</f>
        <v>20.846</v>
      </c>
      <c r="GI47" s="421">
        <f t="shared" si="113"/>
        <v>20.846</v>
      </c>
      <c r="GJ47" s="421">
        <f t="shared" si="113"/>
        <v>20.846</v>
      </c>
      <c r="GK47" s="421">
        <f t="shared" si="113"/>
        <v>20.846</v>
      </c>
      <c r="GL47" s="102">
        <f>GK47</f>
        <v>20.846</v>
      </c>
      <c r="GM47" s="30"/>
      <c r="GN47" s="102">
        <f>GK47</f>
        <v>20.846</v>
      </c>
      <c r="GO47" s="421">
        <f t="shared" si="114"/>
        <v>20.846</v>
      </c>
      <c r="GP47" s="421">
        <f t="shared" si="114"/>
        <v>20.846</v>
      </c>
      <c r="GQ47" s="421">
        <f t="shared" si="114"/>
        <v>20.846</v>
      </c>
      <c r="GR47" s="102">
        <f>GQ47</f>
        <v>20.846</v>
      </c>
      <c r="GS47" s="30"/>
      <c r="GT47" s="102">
        <f>GQ47</f>
        <v>20.846</v>
      </c>
      <c r="GU47" s="421">
        <f t="shared" si="115"/>
        <v>20.846</v>
      </c>
      <c r="GV47" s="421">
        <f t="shared" si="115"/>
        <v>20.846</v>
      </c>
      <c r="GW47" s="421">
        <f t="shared" si="115"/>
        <v>20.846</v>
      </c>
      <c r="GX47" s="102">
        <f>GW47</f>
        <v>20.846</v>
      </c>
      <c r="GY47" s="30"/>
      <c r="GZ47" s="102">
        <f>GW47</f>
        <v>20.846</v>
      </c>
      <c r="HA47" s="421">
        <f t="shared" si="116"/>
        <v>20.846</v>
      </c>
      <c r="HB47" s="421">
        <f t="shared" si="116"/>
        <v>20.846</v>
      </c>
      <c r="HC47" s="421">
        <f t="shared" si="116"/>
        <v>20.846</v>
      </c>
      <c r="HD47" s="102">
        <f>HC47</f>
        <v>20.846</v>
      </c>
      <c r="HF47" s="102">
        <f>HC47</f>
        <v>20.846</v>
      </c>
      <c r="HG47" s="421">
        <f t="shared" si="117"/>
        <v>20.846</v>
      </c>
      <c r="HH47" s="421">
        <f t="shared" si="118"/>
        <v>20.846</v>
      </c>
      <c r="HI47" s="421">
        <f t="shared" si="119"/>
        <v>20.846</v>
      </c>
      <c r="HJ47" s="102">
        <f>HI47</f>
        <v>20.846</v>
      </c>
    </row>
    <row r="48" spans="1:218">
      <c r="A48" s="30"/>
      <c r="B48" s="30" t="s">
        <v>57</v>
      </c>
      <c r="C48" s="30"/>
      <c r="D48" s="36"/>
      <c r="E48" s="36"/>
      <c r="F48" s="36"/>
      <c r="G48" s="36"/>
      <c r="H48" s="30"/>
      <c r="I48" s="36"/>
      <c r="J48" s="36"/>
      <c r="K48" s="36"/>
      <c r="L48" s="36"/>
      <c r="M48" s="36"/>
      <c r="N48" s="30"/>
      <c r="O48" s="36"/>
      <c r="P48" s="36"/>
      <c r="Q48" s="36"/>
      <c r="R48" s="36"/>
      <c r="S48" s="36"/>
      <c r="T48" s="30"/>
      <c r="U48" s="36"/>
      <c r="V48" s="36"/>
      <c r="W48" s="36"/>
      <c r="X48" s="36"/>
      <c r="Y48" s="36"/>
      <c r="Z48" s="30"/>
      <c r="AA48" s="36"/>
      <c r="AB48" s="36"/>
      <c r="AC48" s="36"/>
      <c r="AD48" s="36"/>
      <c r="AE48" s="36"/>
      <c r="AF48" s="30"/>
      <c r="AG48" s="36"/>
      <c r="AH48" s="36"/>
      <c r="AI48" s="36"/>
      <c r="AJ48" s="36"/>
      <c r="AK48" s="36"/>
      <c r="AL48" s="30"/>
      <c r="AM48" s="36"/>
      <c r="AN48" s="36"/>
      <c r="AO48" s="36"/>
      <c r="AP48" s="36"/>
      <c r="AQ48" s="36"/>
      <c r="AR48" s="30"/>
      <c r="AS48" s="36"/>
      <c r="AT48" s="36"/>
      <c r="AU48" s="36"/>
      <c r="AV48" s="36"/>
      <c r="AW48" s="36"/>
      <c r="AX48" s="30"/>
      <c r="AY48" s="36"/>
      <c r="AZ48" s="36"/>
      <c r="BA48" s="36"/>
      <c r="BB48" s="36"/>
      <c r="BC48" s="36"/>
      <c r="BD48" s="30"/>
      <c r="BE48" s="36"/>
      <c r="BF48" s="36"/>
      <c r="BG48" s="36"/>
      <c r="BH48" s="36"/>
      <c r="BI48" s="36"/>
      <c r="BJ48" s="30"/>
      <c r="BK48" s="36"/>
      <c r="BL48" s="36"/>
      <c r="BM48" s="36"/>
      <c r="BN48" s="36"/>
      <c r="BO48" s="36"/>
      <c r="BP48" s="30"/>
      <c r="BQ48" s="36"/>
      <c r="BR48" s="36"/>
      <c r="BS48" s="36"/>
      <c r="BT48" s="119"/>
      <c r="BU48" s="36"/>
      <c r="BV48" s="30"/>
      <c r="BW48" s="36"/>
      <c r="BX48" s="36"/>
      <c r="BY48" s="36"/>
      <c r="BZ48" s="36"/>
      <c r="CA48" s="36"/>
      <c r="CB48" s="30"/>
      <c r="CC48" s="36"/>
      <c r="CD48" s="36"/>
      <c r="CE48" s="36"/>
      <c r="CF48" s="36"/>
      <c r="CG48" s="36"/>
      <c r="CH48" s="30"/>
      <c r="CI48" s="36"/>
      <c r="CJ48" s="36"/>
      <c r="CK48" s="36"/>
      <c r="CL48" s="36"/>
      <c r="CM48" s="36"/>
      <c r="CN48" s="30"/>
      <c r="CO48" s="36"/>
      <c r="CP48" s="36"/>
      <c r="CQ48" s="36"/>
      <c r="CR48" s="36"/>
      <c r="CS48" s="36"/>
      <c r="CT48" s="30"/>
      <c r="CU48" s="36"/>
      <c r="CV48" s="36"/>
      <c r="CW48" s="36"/>
      <c r="CX48" s="36"/>
      <c r="CY48" s="36"/>
      <c r="CZ48" s="30"/>
      <c r="DA48" s="36"/>
      <c r="DB48" s="36"/>
      <c r="DC48" s="36"/>
      <c r="DD48" s="36"/>
      <c r="DE48" s="36"/>
      <c r="DF48" s="30"/>
      <c r="DG48" s="36"/>
      <c r="DH48" s="432">
        <v>0.52200000000000002</v>
      </c>
      <c r="DI48" s="432">
        <v>0.64800000000000002</v>
      </c>
      <c r="DJ48" s="432">
        <v>1.1990000000000001</v>
      </c>
      <c r="DK48" s="432">
        <v>3.06</v>
      </c>
      <c r="DL48" s="432">
        <f>DK48</f>
        <v>3.06</v>
      </c>
      <c r="DM48" s="432"/>
      <c r="DN48" s="432">
        <v>3.74</v>
      </c>
      <c r="DO48" s="432">
        <v>4.4429999999999996</v>
      </c>
      <c r="DP48" s="432">
        <v>4.6740000000000004</v>
      </c>
      <c r="DQ48" s="432">
        <v>3.5659999999999998</v>
      </c>
      <c r="DR48" s="432">
        <f>DQ48</f>
        <v>3.5659999999999998</v>
      </c>
      <c r="DS48" s="432"/>
      <c r="DT48" s="432">
        <v>4.2350000000000003</v>
      </c>
      <c r="DU48" s="432">
        <v>3.1549999999999998</v>
      </c>
      <c r="DV48" s="432">
        <v>3.9369999999999998</v>
      </c>
      <c r="DW48" s="432">
        <v>4.056</v>
      </c>
      <c r="DX48" s="432">
        <f>DW48</f>
        <v>4.056</v>
      </c>
      <c r="DY48" s="432"/>
      <c r="DZ48" s="432">
        <v>3.7069999999999999</v>
      </c>
      <c r="EA48" s="432">
        <v>3.7959999999999998</v>
      </c>
      <c r="EB48" s="432">
        <v>14.432</v>
      </c>
      <c r="EC48" s="432">
        <v>13.951000000000001</v>
      </c>
      <c r="ED48" s="432">
        <f>EC48</f>
        <v>13.951000000000001</v>
      </c>
      <c r="EE48" s="432"/>
      <c r="EF48" s="432">
        <v>14.141</v>
      </c>
      <c r="EG48" s="432">
        <v>14.164999999999999</v>
      </c>
      <c r="EH48" s="432">
        <v>14.166</v>
      </c>
      <c r="EI48" s="432">
        <v>13.055</v>
      </c>
      <c r="EJ48" s="432">
        <f>EI48</f>
        <v>13.055</v>
      </c>
      <c r="EK48" s="432"/>
      <c r="EL48" s="432">
        <v>13.035</v>
      </c>
      <c r="EM48" s="432">
        <v>13.034000000000001</v>
      </c>
      <c r="EN48" s="432">
        <v>13.035</v>
      </c>
      <c r="EO48" s="432">
        <v>13.034000000000001</v>
      </c>
      <c r="EP48" s="432">
        <f>EO48</f>
        <v>13.034000000000001</v>
      </c>
      <c r="EQ48" s="432"/>
      <c r="ER48" s="432">
        <v>13.032999999999999</v>
      </c>
      <c r="ES48" s="432">
        <v>11.548</v>
      </c>
      <c r="ET48" s="432">
        <v>11.596</v>
      </c>
      <c r="EU48" s="432">
        <v>11.772</v>
      </c>
      <c r="EV48" s="432">
        <f>EU48</f>
        <v>11.772</v>
      </c>
      <c r="EW48" s="36"/>
      <c r="EX48" s="432">
        <v>11.920999999999999</v>
      </c>
      <c r="EY48" s="432">
        <v>12.103</v>
      </c>
      <c r="EZ48" s="432">
        <v>11.977</v>
      </c>
      <c r="FA48" s="432">
        <f>EZ48</f>
        <v>11.977</v>
      </c>
      <c r="FB48" s="545">
        <f>FA48</f>
        <v>11.977</v>
      </c>
      <c r="FC48" s="36"/>
      <c r="FD48" s="545">
        <f>FA48</f>
        <v>11.977</v>
      </c>
      <c r="FE48" s="432">
        <f t="shared" si="108"/>
        <v>11.977</v>
      </c>
      <c r="FF48" s="432">
        <f t="shared" si="108"/>
        <v>11.977</v>
      </c>
      <c r="FG48" s="432">
        <f t="shared" si="108"/>
        <v>11.977</v>
      </c>
      <c r="FH48" s="432">
        <f>FG48</f>
        <v>11.977</v>
      </c>
      <c r="FI48" s="36"/>
      <c r="FJ48" s="432">
        <f>FG48</f>
        <v>11.977</v>
      </c>
      <c r="FK48" s="432">
        <f t="shared" si="109"/>
        <v>11.977</v>
      </c>
      <c r="FL48" s="432">
        <f t="shared" si="109"/>
        <v>11.977</v>
      </c>
      <c r="FM48" s="432">
        <f t="shared" si="109"/>
        <v>11.977</v>
      </c>
      <c r="FN48" s="432">
        <f>FM48</f>
        <v>11.977</v>
      </c>
      <c r="FO48" s="36"/>
      <c r="FP48" s="432">
        <f>FM48</f>
        <v>11.977</v>
      </c>
      <c r="FQ48" s="432">
        <f t="shared" si="110"/>
        <v>11.977</v>
      </c>
      <c r="FR48" s="432">
        <f t="shared" si="110"/>
        <v>11.977</v>
      </c>
      <c r="FS48" s="432">
        <f t="shared" si="110"/>
        <v>11.977</v>
      </c>
      <c r="FT48" s="432">
        <f>FS48</f>
        <v>11.977</v>
      </c>
      <c r="FU48" s="36"/>
      <c r="FV48" s="432">
        <f>FS48</f>
        <v>11.977</v>
      </c>
      <c r="FW48" s="432">
        <f t="shared" si="111"/>
        <v>11.977</v>
      </c>
      <c r="FX48" s="432">
        <f t="shared" si="111"/>
        <v>11.977</v>
      </c>
      <c r="FY48" s="432">
        <f t="shared" si="111"/>
        <v>11.977</v>
      </c>
      <c r="FZ48" s="432">
        <f>FY48</f>
        <v>11.977</v>
      </c>
      <c r="GA48" s="36"/>
      <c r="GB48" s="432">
        <f>FY48</f>
        <v>11.977</v>
      </c>
      <c r="GC48" s="432">
        <f t="shared" si="112"/>
        <v>11.977</v>
      </c>
      <c r="GD48" s="432">
        <f t="shared" si="112"/>
        <v>11.977</v>
      </c>
      <c r="GE48" s="432">
        <f t="shared" si="112"/>
        <v>11.977</v>
      </c>
      <c r="GF48" s="432">
        <f>GE48</f>
        <v>11.977</v>
      </c>
      <c r="GG48" s="36"/>
      <c r="GH48" s="432">
        <f>GE48</f>
        <v>11.977</v>
      </c>
      <c r="GI48" s="432">
        <f t="shared" si="113"/>
        <v>11.977</v>
      </c>
      <c r="GJ48" s="432">
        <f t="shared" si="113"/>
        <v>11.977</v>
      </c>
      <c r="GK48" s="432">
        <f t="shared" si="113"/>
        <v>11.977</v>
      </c>
      <c r="GL48" s="432">
        <f>GK48</f>
        <v>11.977</v>
      </c>
      <c r="GM48" s="36"/>
      <c r="GN48" s="432">
        <f>GK48</f>
        <v>11.977</v>
      </c>
      <c r="GO48" s="432">
        <f t="shared" si="114"/>
        <v>11.977</v>
      </c>
      <c r="GP48" s="432">
        <f t="shared" si="114"/>
        <v>11.977</v>
      </c>
      <c r="GQ48" s="432">
        <f t="shared" si="114"/>
        <v>11.977</v>
      </c>
      <c r="GR48" s="432">
        <f>GQ48</f>
        <v>11.977</v>
      </c>
      <c r="GS48" s="36"/>
      <c r="GT48" s="432">
        <f>GQ48</f>
        <v>11.977</v>
      </c>
      <c r="GU48" s="432">
        <f t="shared" si="115"/>
        <v>11.977</v>
      </c>
      <c r="GV48" s="432">
        <f t="shared" si="115"/>
        <v>11.977</v>
      </c>
      <c r="GW48" s="432">
        <f t="shared" si="115"/>
        <v>11.977</v>
      </c>
      <c r="GX48" s="432">
        <f>GW48</f>
        <v>11.977</v>
      </c>
      <c r="GY48" s="36"/>
      <c r="GZ48" s="432">
        <f>GW48</f>
        <v>11.977</v>
      </c>
      <c r="HA48" s="432">
        <f t="shared" si="116"/>
        <v>11.977</v>
      </c>
      <c r="HB48" s="432">
        <f t="shared" si="116"/>
        <v>11.977</v>
      </c>
      <c r="HC48" s="432">
        <f t="shared" si="116"/>
        <v>11.977</v>
      </c>
      <c r="HD48" s="432">
        <f>HC48</f>
        <v>11.977</v>
      </c>
      <c r="HF48" s="432">
        <f>HC48</f>
        <v>11.977</v>
      </c>
      <c r="HG48" s="432">
        <f t="shared" si="117"/>
        <v>11.977</v>
      </c>
      <c r="HH48" s="432">
        <f t="shared" si="118"/>
        <v>11.977</v>
      </c>
      <c r="HI48" s="432">
        <f t="shared" si="119"/>
        <v>11.977</v>
      </c>
      <c r="HJ48" s="432">
        <f>HI48</f>
        <v>11.977</v>
      </c>
    </row>
    <row r="49" spans="1:218">
      <c r="A49" s="30" t="s">
        <v>58</v>
      </c>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118"/>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102">
        <f>SUM(DH44:DH48)</f>
        <v>97.953000000000003</v>
      </c>
      <c r="DI49" s="102">
        <f>SUM(DI44:DI48)</f>
        <v>133.6</v>
      </c>
      <c r="DJ49" s="102">
        <f>SUM(DJ44:DJ48)</f>
        <v>104.52499999999999</v>
      </c>
      <c r="DK49" s="102">
        <f>SUM(DK44:DK48)</f>
        <v>123.64699999999999</v>
      </c>
      <c r="DL49" s="102">
        <f>SUM(DL44:DL48)</f>
        <v>123.64699999999999</v>
      </c>
      <c r="DM49" s="102"/>
      <c r="DN49" s="102">
        <f>SUM(DN44:DN48)</f>
        <v>136.792</v>
      </c>
      <c r="DO49" s="102">
        <f>SUM(DO44:DO48)</f>
        <v>147.77100000000002</v>
      </c>
      <c r="DP49" s="102">
        <f>SUM(DP44:DP48)</f>
        <v>145.24100000000001</v>
      </c>
      <c r="DQ49" s="102">
        <f>SUM(DQ44:DQ48)</f>
        <v>138.19399999999999</v>
      </c>
      <c r="DR49" s="102">
        <f>SUM(DR44:DR48)</f>
        <v>138.19399999999999</v>
      </c>
      <c r="DS49" s="102"/>
      <c r="DT49" s="102">
        <f>SUM(DT44:DT48)</f>
        <v>159.55500000000001</v>
      </c>
      <c r="DU49" s="102">
        <f>SUM(DU44:DU48)</f>
        <v>229.55600000000001</v>
      </c>
      <c r="DV49" s="102">
        <f>SUM(DV44:DV48)</f>
        <v>228.453</v>
      </c>
      <c r="DW49" s="102">
        <f>SUM(DW44:DW48)</f>
        <v>220.85400000000001</v>
      </c>
      <c r="DX49" s="102">
        <f>SUM(DX44:DX48)</f>
        <v>220.85400000000001</v>
      </c>
      <c r="DY49" s="102"/>
      <c r="DZ49" s="102">
        <f>SUM(DZ44:DZ48)</f>
        <v>582.94900000000007</v>
      </c>
      <c r="EA49" s="102">
        <f>SUM(EA44:EA48)</f>
        <v>648.822</v>
      </c>
      <c r="EB49" s="102">
        <f>SUM(EB44:EB48)</f>
        <v>676.40500000000009</v>
      </c>
      <c r="EC49" s="102">
        <f>SUM(EC44:EC48)</f>
        <v>674.26900000000001</v>
      </c>
      <c r="ED49" s="102">
        <f>SUM(ED44:ED48)</f>
        <v>674.26900000000001</v>
      </c>
      <c r="EE49" s="102"/>
      <c r="EF49" s="102">
        <f>SUM(EF44:EF48)</f>
        <v>672.47299999999984</v>
      </c>
      <c r="EG49" s="102">
        <f>SUM(EG44:EG48)</f>
        <v>665.92399999999998</v>
      </c>
      <c r="EH49" s="102">
        <f>SUM(EH44:EH48)</f>
        <v>657.59100000000012</v>
      </c>
      <c r="EI49" s="102">
        <f>SUM(EI44:EI48)</f>
        <v>652.07899999999995</v>
      </c>
      <c r="EJ49" s="102">
        <f>SUM(EJ44:EJ48)</f>
        <v>652.07899999999995</v>
      </c>
      <c r="EK49" s="102"/>
      <c r="EL49" s="102">
        <f>SUM(EL44:EL48)</f>
        <v>648.10599999999999</v>
      </c>
      <c r="EM49" s="102">
        <f>SUM(EM44:EM48)</f>
        <v>644.06799999999998</v>
      </c>
      <c r="EN49" s="102">
        <f>SUM(EN44:EN48)</f>
        <v>637.88699999999994</v>
      </c>
      <c r="EO49" s="102">
        <f>SUM(EO44:EO48)</f>
        <v>643.38799999999992</v>
      </c>
      <c r="EP49" s="102">
        <f>SUM(EP44:EP48)</f>
        <v>643.38799999999992</v>
      </c>
      <c r="EQ49" s="102"/>
      <c r="ER49" s="102">
        <f>SUM(ER44:ER48)</f>
        <v>640.21900000000005</v>
      </c>
      <c r="ES49" s="102">
        <f>SUM(ES44:ES48)</f>
        <v>437.43399999999997</v>
      </c>
      <c r="ET49" s="102">
        <f>SUM(ET44:ET48)</f>
        <v>436.49500000000006</v>
      </c>
      <c r="EU49" s="102">
        <f>SUM(EU44:EU48)</f>
        <v>434.45799999999997</v>
      </c>
      <c r="EV49" s="102">
        <f>SUM(EV44:EV48)</f>
        <v>434.45799999999997</v>
      </c>
      <c r="EW49" s="30"/>
      <c r="EX49" s="102">
        <f>SUM(EX44:EX48)</f>
        <v>433.46599999999995</v>
      </c>
      <c r="EY49" s="102">
        <f>SUM(EY44:EY48)</f>
        <v>439.79</v>
      </c>
      <c r="EZ49" s="102">
        <f>SUM(EZ44:EZ48)</f>
        <v>438.62399999999997</v>
      </c>
      <c r="FA49" s="102">
        <f>SUM(FA44:FA48)</f>
        <v>438.71859999999992</v>
      </c>
      <c r="FB49" s="543">
        <f>SUM(FB44:FB48)</f>
        <v>438.71859999999992</v>
      </c>
      <c r="FC49" s="30"/>
      <c r="FD49" s="543">
        <f>SUM(FD44:FD48)</f>
        <v>439.02749999999992</v>
      </c>
      <c r="FE49" s="102">
        <f>SUM(FE44:FE48)</f>
        <v>439.33639999999997</v>
      </c>
      <c r="FF49" s="102">
        <f>SUM(FF44:FF48)</f>
        <v>439.64529999999996</v>
      </c>
      <c r="FG49" s="102">
        <f>SUM(FG44:FG48)</f>
        <v>439.95419999999996</v>
      </c>
      <c r="FH49" s="102">
        <f>SUM(FH44:FH48)</f>
        <v>439.95419999999996</v>
      </c>
      <c r="FI49" s="30"/>
      <c r="FJ49" s="102">
        <f>SUM(FJ44:FJ48)</f>
        <v>440.26309999999995</v>
      </c>
      <c r="FK49" s="102">
        <f>SUM(FK44:FK48)</f>
        <v>440.57199999999995</v>
      </c>
      <c r="FL49" s="102">
        <f>SUM(FL44:FL48)</f>
        <v>440.88089999999994</v>
      </c>
      <c r="FM49" s="102">
        <f>SUM(FM44:FM48)</f>
        <v>441.18979999999993</v>
      </c>
      <c r="FN49" s="102">
        <f>SUM(FN44:FN48)</f>
        <v>441.18979999999993</v>
      </c>
      <c r="FO49" s="30"/>
      <c r="FP49" s="102">
        <f>SUM(FP44:FP48)</f>
        <v>441.49869999999993</v>
      </c>
      <c r="FQ49" s="102">
        <f>SUM(FQ44:FQ48)</f>
        <v>441.80759999999992</v>
      </c>
      <c r="FR49" s="102">
        <f>SUM(FR44:FR48)</f>
        <v>442.11649999999992</v>
      </c>
      <c r="FS49" s="102">
        <f>SUM(FS44:FS48)</f>
        <v>442.14799999999997</v>
      </c>
      <c r="FT49" s="102">
        <f>SUM(FT44:FT48)</f>
        <v>442.14799999999997</v>
      </c>
      <c r="FU49" s="30"/>
      <c r="FV49" s="102">
        <f>SUM(FV44:FV48)</f>
        <v>442.14799999999997</v>
      </c>
      <c r="FW49" s="102">
        <f>SUM(FW44:FW48)</f>
        <v>442.14799999999997</v>
      </c>
      <c r="FX49" s="102">
        <f>SUM(FX44:FX48)</f>
        <v>442.14799999999997</v>
      </c>
      <c r="FY49" s="102">
        <f>SUM(FY44:FY48)</f>
        <v>442.14799999999997</v>
      </c>
      <c r="FZ49" s="102">
        <f>SUM(FZ44:FZ48)</f>
        <v>442.14799999999997</v>
      </c>
      <c r="GA49" s="30"/>
      <c r="GB49" s="102">
        <f>SUM(GB44:GB48)</f>
        <v>442.14799999999997</v>
      </c>
      <c r="GC49" s="102">
        <f>SUM(GC44:GC48)</f>
        <v>442.14799999999997</v>
      </c>
      <c r="GD49" s="102">
        <f>SUM(GD44:GD48)</f>
        <v>442.14799999999997</v>
      </c>
      <c r="GE49" s="102">
        <f>SUM(GE44:GE48)</f>
        <v>442.14799999999997</v>
      </c>
      <c r="GF49" s="102">
        <f>SUM(GF44:GF48)</f>
        <v>442.14799999999997</v>
      </c>
      <c r="GG49" s="30"/>
      <c r="GH49" s="102">
        <f>SUM(GH44:GH48)</f>
        <v>442.14799999999997</v>
      </c>
      <c r="GI49" s="102">
        <f>SUM(GI44:GI48)</f>
        <v>442.14799999999997</v>
      </c>
      <c r="GJ49" s="102">
        <f>SUM(GJ44:GJ48)</f>
        <v>442.14799999999997</v>
      </c>
      <c r="GK49" s="102">
        <f>SUM(GK44:GK48)</f>
        <v>97.14800000000001</v>
      </c>
      <c r="GL49" s="102">
        <f>SUM(GL44:GL48)</f>
        <v>97.14800000000001</v>
      </c>
      <c r="GM49" s="30"/>
      <c r="GN49" s="102">
        <f>SUM(GN44:GN48)</f>
        <v>97.14800000000001</v>
      </c>
      <c r="GO49" s="102">
        <f>SUM(GO44:GO48)</f>
        <v>97.14800000000001</v>
      </c>
      <c r="GP49" s="102">
        <f>SUM(GP44:GP48)</f>
        <v>97.14800000000001</v>
      </c>
      <c r="GQ49" s="102">
        <f>SUM(GQ44:GQ48)</f>
        <v>97.14800000000001</v>
      </c>
      <c r="GR49" s="102">
        <f>SUM(GR44:GR48)</f>
        <v>97.14800000000001</v>
      </c>
      <c r="GS49" s="30"/>
      <c r="GT49" s="102">
        <f>SUM(GT44:GT48)</f>
        <v>97.14800000000001</v>
      </c>
      <c r="GU49" s="102">
        <f>SUM(GU44:GU48)</f>
        <v>97.14800000000001</v>
      </c>
      <c r="GV49" s="102">
        <f>SUM(GV44:GV48)</f>
        <v>97.14800000000001</v>
      </c>
      <c r="GW49" s="102">
        <f>SUM(GW44:GW48)</f>
        <v>97.14800000000001</v>
      </c>
      <c r="GX49" s="102">
        <f>SUM(GX44:GX48)</f>
        <v>97.14800000000001</v>
      </c>
      <c r="GY49" s="30"/>
      <c r="GZ49" s="102">
        <f>SUM(GZ44:GZ48)</f>
        <v>97.14800000000001</v>
      </c>
      <c r="HA49" s="102">
        <f>SUM(HA44:HA48)</f>
        <v>97.14800000000001</v>
      </c>
      <c r="HB49" s="102">
        <f>SUM(HB44:HB48)</f>
        <v>97.14800000000001</v>
      </c>
      <c r="HC49" s="102">
        <f>SUM(HC44:HC48)</f>
        <v>97.14800000000001</v>
      </c>
      <c r="HD49" s="102">
        <f>SUM(HD44:HD48)</f>
        <v>97.14800000000001</v>
      </c>
      <c r="HF49" s="102">
        <f>SUM(HF44:HF48)</f>
        <v>97.14800000000001</v>
      </c>
      <c r="HG49" s="102">
        <f>SUM(HG44:HG48)</f>
        <v>97.14800000000001</v>
      </c>
      <c r="HH49" s="102">
        <f>SUM(HH44:HH48)</f>
        <v>97.14800000000001</v>
      </c>
      <c r="HI49" s="102">
        <f>SUM(HI44:HI48)</f>
        <v>97.14800000000001</v>
      </c>
      <c r="HJ49" s="102">
        <f>SUM(HJ44:HJ48)</f>
        <v>97.14800000000001</v>
      </c>
    </row>
    <row r="50" spans="1:218">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118"/>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102"/>
      <c r="DI50" s="102"/>
      <c r="DJ50" s="102"/>
      <c r="DK50" s="102"/>
      <c r="DL50" s="102"/>
      <c r="DM50" s="102"/>
      <c r="DN50" s="102"/>
      <c r="DO50" s="102"/>
      <c r="DP50" s="102"/>
      <c r="DQ50" s="102"/>
      <c r="DR50" s="102"/>
      <c r="DS50" s="102"/>
      <c r="DT50" s="102"/>
      <c r="DU50" s="102"/>
      <c r="DV50" s="102"/>
      <c r="DW50" s="102"/>
      <c r="DX50" s="102"/>
      <c r="DY50" s="102"/>
      <c r="DZ50" s="102"/>
      <c r="EA50" s="102"/>
      <c r="EB50" s="102"/>
      <c r="EC50" s="102"/>
      <c r="ED50" s="102"/>
      <c r="EE50" s="102"/>
      <c r="EF50" s="102"/>
      <c r="EG50" s="102"/>
      <c r="EH50" s="102"/>
      <c r="EI50" s="102"/>
      <c r="EJ50" s="102"/>
      <c r="EK50" s="102"/>
      <c r="EL50" s="102"/>
      <c r="EM50" s="102"/>
      <c r="EN50" s="102"/>
      <c r="EO50" s="102"/>
      <c r="EP50" s="102"/>
      <c r="EQ50" s="102"/>
      <c r="ER50" s="102"/>
      <c r="ES50" s="102"/>
      <c r="ET50" s="102"/>
      <c r="EU50" s="102"/>
      <c r="EV50" s="102"/>
      <c r="EW50" s="30"/>
      <c r="EX50" s="102"/>
      <c r="EY50" s="102"/>
      <c r="EZ50" s="102"/>
      <c r="FA50" s="102"/>
      <c r="FB50" s="543"/>
      <c r="FC50" s="30"/>
      <c r="FD50" s="543"/>
      <c r="FE50" s="102"/>
      <c r="FF50" s="102"/>
      <c r="FG50" s="102"/>
      <c r="FH50" s="102"/>
      <c r="FI50" s="30"/>
      <c r="FJ50" s="102"/>
      <c r="FK50" s="102"/>
      <c r="FL50" s="102"/>
      <c r="FM50" s="102"/>
      <c r="FN50" s="102"/>
      <c r="FO50" s="30"/>
      <c r="FP50" s="102"/>
      <c r="FQ50" s="102"/>
      <c r="FR50" s="102"/>
      <c r="FS50" s="102"/>
      <c r="FT50" s="102"/>
      <c r="FU50" s="30"/>
      <c r="FV50" s="102"/>
      <c r="FW50" s="102"/>
      <c r="FX50" s="102"/>
      <c r="FY50" s="102"/>
      <c r="FZ50" s="102"/>
      <c r="GA50" s="30"/>
      <c r="GB50" s="102"/>
      <c r="GC50" s="102"/>
      <c r="GD50" s="102"/>
      <c r="GE50" s="102"/>
      <c r="GF50" s="102"/>
      <c r="GG50" s="30"/>
      <c r="GH50" s="102"/>
      <c r="GI50" s="102"/>
      <c r="GJ50" s="102"/>
      <c r="GK50" s="102"/>
      <c r="GL50" s="102"/>
      <c r="GM50" s="30"/>
      <c r="GN50" s="102"/>
      <c r="GO50" s="102"/>
      <c r="GP50" s="102"/>
      <c r="GQ50" s="102"/>
      <c r="GR50" s="102"/>
      <c r="GS50" s="30"/>
      <c r="GT50" s="102"/>
      <c r="GU50" s="102"/>
      <c r="GV50" s="102"/>
      <c r="GW50" s="102"/>
      <c r="GX50" s="102"/>
      <c r="GY50" s="30"/>
      <c r="GZ50" s="102"/>
      <c r="HA50" s="102"/>
      <c r="HB50" s="102"/>
      <c r="HC50" s="102"/>
      <c r="HD50" s="102"/>
      <c r="HF50" s="102"/>
      <c r="HG50" s="102"/>
      <c r="HH50" s="102"/>
      <c r="HI50" s="102"/>
      <c r="HJ50" s="102"/>
    </row>
    <row r="51" spans="1:218">
      <c r="A51" s="30" t="s">
        <v>59</v>
      </c>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118"/>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102">
        <f>DH49+DH42</f>
        <v>141.256</v>
      </c>
      <c r="DI51" s="102">
        <f>DI49+DI42</f>
        <v>181.57400000000001</v>
      </c>
      <c r="DJ51" s="102">
        <f>DJ49+DJ42</f>
        <v>151.57999999999998</v>
      </c>
      <c r="DK51" s="102">
        <f>DK49+DK42</f>
        <v>184.572</v>
      </c>
      <c r="DL51" s="102">
        <f>DL49+DL42</f>
        <v>184.572</v>
      </c>
      <c r="DM51" s="102"/>
      <c r="DN51" s="102">
        <f>DN49+DN42</f>
        <v>209.495</v>
      </c>
      <c r="DO51" s="102">
        <f>DO49+DO42</f>
        <v>206.93300000000002</v>
      </c>
      <c r="DP51" s="102">
        <f>DP49+DP42</f>
        <v>214.14800000000002</v>
      </c>
      <c r="DQ51" s="102">
        <f>DQ49+DQ42</f>
        <v>202.09799999999998</v>
      </c>
      <c r="DR51" s="102">
        <f>DR49+DR42</f>
        <v>202.09799999999998</v>
      </c>
      <c r="DS51" s="102"/>
      <c r="DT51" s="102">
        <f>DT49+DT42</f>
        <v>227.20400000000001</v>
      </c>
      <c r="DU51" s="102">
        <f>DU49+DU42</f>
        <v>291.25600000000003</v>
      </c>
      <c r="DV51" s="102">
        <f>DV49+DV42</f>
        <v>293.065</v>
      </c>
      <c r="DW51" s="102">
        <f>DW49+DW42</f>
        <v>294.03700000000003</v>
      </c>
      <c r="DX51" s="102">
        <f>DX49+DX42</f>
        <v>294.03700000000003</v>
      </c>
      <c r="DY51" s="102"/>
      <c r="DZ51" s="102">
        <f>DZ49+DZ42</f>
        <v>650.69900000000007</v>
      </c>
      <c r="EA51" s="102">
        <f>EA49+EA42</f>
        <v>747.95299999999997</v>
      </c>
      <c r="EB51" s="102">
        <f>EB49+EB42</f>
        <v>769.14200000000005</v>
      </c>
      <c r="EC51" s="102">
        <f>EC49+EC42</f>
        <v>761.50099999999998</v>
      </c>
      <c r="ED51" s="102">
        <f>ED49+ED42</f>
        <v>761.50099999999998</v>
      </c>
      <c r="EE51" s="102"/>
      <c r="EF51" s="102">
        <f>EF49+EF42</f>
        <v>754.54299999999989</v>
      </c>
      <c r="EG51" s="102">
        <f>EG49+EG42</f>
        <v>748.59399999999994</v>
      </c>
      <c r="EH51" s="102">
        <f>EH49+EH42</f>
        <v>742.59400000000005</v>
      </c>
      <c r="EI51" s="102">
        <f>EI49+EI42</f>
        <v>742.01099999999997</v>
      </c>
      <c r="EJ51" s="102">
        <f>EJ49+EJ42</f>
        <v>742.01099999999997</v>
      </c>
      <c r="EK51" s="102"/>
      <c r="EL51" s="102">
        <f>EL49+EL42</f>
        <v>734.71199999999999</v>
      </c>
      <c r="EM51" s="102">
        <f>EM49+EM42</f>
        <v>738.91599999999994</v>
      </c>
      <c r="EN51" s="102">
        <f>EN49+EN42</f>
        <v>730.81299999999999</v>
      </c>
      <c r="EO51" s="102">
        <f>EO49+EO42</f>
        <v>739.69199999999989</v>
      </c>
      <c r="EP51" s="102">
        <f>EP49+EP42</f>
        <v>739.69199999999989</v>
      </c>
      <c r="EQ51" s="102"/>
      <c r="ER51" s="102">
        <f>ER49+ER42</f>
        <v>716.92900000000009</v>
      </c>
      <c r="ES51" s="102">
        <f>ES49+ES42</f>
        <v>727.39300000000003</v>
      </c>
      <c r="ET51" s="102">
        <f>ET49+ET42</f>
        <v>732.90100000000007</v>
      </c>
      <c r="EU51" s="102">
        <f>EU49+EU42</f>
        <v>735.69899999999996</v>
      </c>
      <c r="EV51" s="102">
        <f>EU51</f>
        <v>735.69899999999996</v>
      </c>
      <c r="EW51" s="30"/>
      <c r="EX51" s="102">
        <f>EX49+EX42</f>
        <v>713.16099999999994</v>
      </c>
      <c r="EY51" s="102">
        <f>EY49+EY42</f>
        <v>539.91000000000008</v>
      </c>
      <c r="EZ51" s="102">
        <f>EZ49+EZ42</f>
        <v>536.49</v>
      </c>
      <c r="FA51" s="102">
        <f>FA49+FA42</f>
        <v>534.69330879036033</v>
      </c>
      <c r="FB51" s="543">
        <f>FA51</f>
        <v>534.69330879036033</v>
      </c>
      <c r="FC51" s="30"/>
      <c r="FD51" s="543">
        <f>FD49+FD42</f>
        <v>536.96772038891891</v>
      </c>
      <c r="FE51" s="102">
        <f>FE49+FE42</f>
        <v>539.00367379579177</v>
      </c>
      <c r="FF51" s="102">
        <f>FF49+FF42</f>
        <v>541.42911647024266</v>
      </c>
      <c r="FG51" s="102">
        <f>FG49+FG42</f>
        <v>544.23427756132901</v>
      </c>
      <c r="FH51" s="102">
        <f>FG51</f>
        <v>544.23427756132901</v>
      </c>
      <c r="FI51" s="30"/>
      <c r="FJ51" s="102">
        <f>FJ49+FJ42</f>
        <v>547.90191407451141</v>
      </c>
      <c r="FK51" s="102">
        <f>FK49+FK42</f>
        <v>550.40272481927411</v>
      </c>
      <c r="FL51" s="102">
        <f>FL49+FL42</f>
        <v>553.00297183834175</v>
      </c>
      <c r="FM51" s="102">
        <f>FM49+FM42</f>
        <v>900.79620739180768</v>
      </c>
      <c r="FN51" s="102">
        <f>FM51</f>
        <v>900.79620739180768</v>
      </c>
      <c r="FO51" s="30"/>
      <c r="FP51" s="102">
        <f>FP49+FP42</f>
        <v>904.67930884782186</v>
      </c>
      <c r="FQ51" s="102">
        <f>FQ49+FQ42</f>
        <v>907.47450945691901</v>
      </c>
      <c r="FR51" s="102">
        <f>FR49+FR42</f>
        <v>910.39056110991669</v>
      </c>
      <c r="FS51" s="102">
        <f>FS49+FS42</f>
        <v>568.10097381363903</v>
      </c>
      <c r="FT51" s="102">
        <f>FS51</f>
        <v>568.10097381363903</v>
      </c>
      <c r="FU51" s="30"/>
      <c r="FV51" s="102">
        <f>FV49+FV42</f>
        <v>574.55019674545088</v>
      </c>
      <c r="FW51" s="102">
        <f>FW49+FW42</f>
        <v>577.19308234668938</v>
      </c>
      <c r="FX51" s="102">
        <f>FX49+FX42</f>
        <v>579.96420334834329</v>
      </c>
      <c r="FY51" s="102">
        <f>FY49+FY42</f>
        <v>582.80989907043318</v>
      </c>
      <c r="FZ51" s="102">
        <f>FY51</f>
        <v>582.80989907043318</v>
      </c>
      <c r="GA51" s="30"/>
      <c r="GB51" s="102">
        <f>GB49+GB42</f>
        <v>589.72493065586741</v>
      </c>
      <c r="GC51" s="102">
        <f>GC49+GC42</f>
        <v>592.50964597348354</v>
      </c>
      <c r="GD51" s="102">
        <f>GD49+GD42</f>
        <v>595.42947840840134</v>
      </c>
      <c r="GE51" s="102">
        <f>GE49+GE42</f>
        <v>598.4278875952632</v>
      </c>
      <c r="GF51" s="102">
        <f>GE51</f>
        <v>598.4278875952632</v>
      </c>
      <c r="GG51" s="30"/>
      <c r="GH51" s="102">
        <f>GH49+GH42</f>
        <v>605.72385693746855</v>
      </c>
      <c r="GI51" s="102">
        <f>GI49+GI42</f>
        <v>608.55357594567761</v>
      </c>
      <c r="GJ51" s="102">
        <f>GJ49+GJ42</f>
        <v>611.52059569437688</v>
      </c>
      <c r="GK51" s="102">
        <f>GK49+GK42</f>
        <v>269.5674620712656</v>
      </c>
      <c r="GL51" s="102">
        <f>GK51</f>
        <v>269.5674620712656</v>
      </c>
      <c r="GM51" s="30"/>
      <c r="GN51" s="102">
        <f>GN49+GN42</f>
        <v>277.27394150095876</v>
      </c>
      <c r="GO51" s="102">
        <f>GO49+GO42</f>
        <v>280.18626458272621</v>
      </c>
      <c r="GP51" s="102">
        <f>GP49+GP42</f>
        <v>283.23989643561663</v>
      </c>
      <c r="GQ51" s="102">
        <f>GQ49+GQ42</f>
        <v>286.37570576888686</v>
      </c>
      <c r="GR51" s="102">
        <f>GQ51</f>
        <v>286.37570576888686</v>
      </c>
      <c r="GS51" s="30"/>
      <c r="GT51" s="102">
        <f>GT49+GT42</f>
        <v>294.46283483628207</v>
      </c>
      <c r="GU51" s="102">
        <f>GU49+GU42</f>
        <v>297.42720359548457</v>
      </c>
      <c r="GV51" s="102">
        <f>GV49+GV42</f>
        <v>300.53540643310396</v>
      </c>
      <c r="GW51" s="102">
        <f>GW49+GW42</f>
        <v>303.72725533220353</v>
      </c>
      <c r="GX51" s="102">
        <f>GW51</f>
        <v>303.72725533220353</v>
      </c>
      <c r="GY51" s="30"/>
      <c r="GZ51" s="102">
        <f>GZ49+GZ42</f>
        <v>312.15767406987158</v>
      </c>
      <c r="HA51" s="102">
        <f>HA49+HA42</f>
        <v>315.13919793217281</v>
      </c>
      <c r="HB51" s="102">
        <f>HB49+HB42</f>
        <v>318.26538825531196</v>
      </c>
      <c r="HC51" s="102">
        <f>HC49+HC42</f>
        <v>321.47570870818498</v>
      </c>
      <c r="HD51" s="102">
        <f>HC51</f>
        <v>321.47570870818498</v>
      </c>
      <c r="HF51" s="102">
        <f>HF49+HF42</f>
        <v>330.20472049030275</v>
      </c>
      <c r="HG51" s="102">
        <f>HG49+HG42</f>
        <v>333.16453907010145</v>
      </c>
      <c r="HH51" s="102">
        <f>HH49+HH42</f>
        <v>336.26797094915145</v>
      </c>
      <c r="HI51" s="102">
        <f>HI49+HI42</f>
        <v>339.45492049655076</v>
      </c>
      <c r="HJ51" s="102">
        <f>HI51</f>
        <v>339.45492049655076</v>
      </c>
    </row>
    <row r="52" spans="1:218" ht="9.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118"/>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102"/>
      <c r="DI52" s="102"/>
      <c r="DJ52" s="102"/>
      <c r="DK52" s="102"/>
      <c r="DL52" s="102"/>
      <c r="DM52" s="102"/>
      <c r="DN52" s="102"/>
      <c r="DO52" s="102"/>
      <c r="DP52" s="102"/>
      <c r="DQ52" s="102"/>
      <c r="DR52" s="102"/>
      <c r="DS52" s="102"/>
      <c r="DT52" s="102"/>
      <c r="DU52" s="102"/>
      <c r="DV52" s="102"/>
      <c r="DW52" s="102"/>
      <c r="DX52" s="102"/>
      <c r="DY52" s="102"/>
      <c r="DZ52" s="102"/>
      <c r="EA52" s="102"/>
      <c r="EB52" s="102"/>
      <c r="EC52" s="102"/>
      <c r="ED52" s="102"/>
      <c r="EE52" s="102"/>
      <c r="EF52" s="102"/>
      <c r="EG52" s="102"/>
      <c r="EH52" s="102"/>
      <c r="EI52" s="102"/>
      <c r="EJ52" s="102"/>
      <c r="EK52" s="102"/>
      <c r="EL52" s="102"/>
      <c r="EM52" s="102"/>
      <c r="EN52" s="102"/>
      <c r="EO52" s="102"/>
      <c r="EP52" s="102"/>
      <c r="EQ52" s="102"/>
      <c r="ER52" s="102"/>
      <c r="ES52" s="102"/>
      <c r="ET52" s="102"/>
      <c r="EU52" s="102"/>
      <c r="EV52" s="102"/>
      <c r="EW52" s="30"/>
      <c r="EX52" s="102"/>
      <c r="EY52" s="102"/>
      <c r="EZ52" s="102"/>
      <c r="FA52" s="102"/>
      <c r="FB52" s="543"/>
      <c r="FC52" s="30"/>
      <c r="FD52" s="543"/>
      <c r="FE52" s="102"/>
      <c r="FF52" s="102"/>
      <c r="FG52" s="102"/>
      <c r="FH52" s="102"/>
      <c r="FI52" s="30"/>
      <c r="FJ52" s="102"/>
      <c r="FK52" s="102"/>
      <c r="FL52" s="102"/>
      <c r="FM52" s="102"/>
      <c r="FN52" s="102"/>
      <c r="FO52" s="30"/>
      <c r="FP52" s="102"/>
      <c r="FQ52" s="102"/>
      <c r="FR52" s="102"/>
      <c r="FS52" s="102"/>
      <c r="FT52" s="102"/>
      <c r="FU52" s="30"/>
      <c r="FV52" s="102"/>
      <c r="FW52" s="102"/>
      <c r="FX52" s="102"/>
      <c r="FY52" s="102"/>
      <c r="FZ52" s="102"/>
      <c r="GA52" s="30"/>
      <c r="GB52" s="102"/>
      <c r="GC52" s="102"/>
      <c r="GD52" s="102"/>
      <c r="GE52" s="102"/>
      <c r="GF52" s="102"/>
      <c r="GG52" s="30"/>
      <c r="GH52" s="102"/>
      <c r="GI52" s="102"/>
      <c r="GJ52" s="102"/>
      <c r="GK52" s="102"/>
      <c r="GL52" s="102"/>
      <c r="GM52" s="30"/>
      <c r="GN52" s="102"/>
      <c r="GO52" s="102"/>
      <c r="GP52" s="102"/>
      <c r="GQ52" s="102"/>
      <c r="GR52" s="102"/>
      <c r="GS52" s="30"/>
      <c r="GT52" s="102"/>
      <c r="GU52" s="102"/>
      <c r="GV52" s="102"/>
      <c r="GW52" s="102"/>
      <c r="GX52" s="102"/>
      <c r="GY52" s="30"/>
      <c r="GZ52" s="102"/>
      <c r="HA52" s="102"/>
      <c r="HB52" s="102"/>
      <c r="HC52" s="102"/>
      <c r="HD52" s="102"/>
    </row>
    <row r="53" spans="1:218" outlineLevel="1">
      <c r="A53" s="30"/>
      <c r="B53" s="30" t="s">
        <v>60</v>
      </c>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118"/>
      <c r="BU53" s="30"/>
      <c r="BV53" s="30"/>
      <c r="BW53" s="30"/>
      <c r="BX53" s="108"/>
      <c r="BY53" s="30"/>
      <c r="BZ53" s="30"/>
      <c r="CA53" s="30"/>
      <c r="CB53" s="30"/>
      <c r="CC53" s="30"/>
      <c r="CD53" s="30"/>
      <c r="CE53" s="30"/>
      <c r="CF53" s="30"/>
      <c r="CG53" s="30"/>
      <c r="CH53" s="30"/>
      <c r="CI53" s="30"/>
      <c r="CJ53" s="30"/>
      <c r="CK53" s="30"/>
      <c r="CL53" s="108"/>
      <c r="CM53" s="30"/>
      <c r="CN53" s="30"/>
      <c r="CO53" s="30"/>
      <c r="CP53" s="30"/>
      <c r="CQ53" s="30"/>
      <c r="CR53" s="30"/>
      <c r="CS53" s="30"/>
      <c r="CT53" s="30"/>
      <c r="CU53" s="30"/>
      <c r="CV53" s="30"/>
      <c r="CW53" s="30"/>
      <c r="CX53" s="30"/>
      <c r="CY53" s="30"/>
      <c r="CZ53" s="30"/>
      <c r="DA53" s="30"/>
      <c r="DB53" s="30"/>
      <c r="DC53" s="30"/>
      <c r="DD53" s="30"/>
      <c r="DE53" s="30"/>
      <c r="DF53" s="30"/>
      <c r="DG53" s="30"/>
      <c r="DH53" s="102">
        <v>35.470999999999997</v>
      </c>
      <c r="DI53" s="102"/>
      <c r="DJ53" s="102"/>
      <c r="DK53" s="102"/>
      <c r="DL53" s="102">
        <f>DK53</f>
        <v>0</v>
      </c>
      <c r="DM53" s="102"/>
      <c r="DN53" s="102"/>
      <c r="DO53" s="102"/>
      <c r="DP53" s="102"/>
      <c r="DQ53" s="102"/>
      <c r="DR53" s="102">
        <f>DQ53</f>
        <v>0</v>
      </c>
      <c r="DS53" s="102"/>
      <c r="DT53" s="102"/>
      <c r="DU53" s="102"/>
      <c r="DV53" s="102"/>
      <c r="DW53" s="102"/>
      <c r="DX53" s="102">
        <f>DW53</f>
        <v>0</v>
      </c>
      <c r="DY53" s="102"/>
      <c r="DZ53" s="102"/>
      <c r="EA53" s="102"/>
      <c r="EB53" s="102"/>
      <c r="EC53" s="102"/>
      <c r="ED53" s="102">
        <f>EC53</f>
        <v>0</v>
      </c>
      <c r="EE53" s="102"/>
      <c r="EF53" s="102">
        <v>0</v>
      </c>
      <c r="EG53" s="102">
        <v>0</v>
      </c>
      <c r="EH53" s="102">
        <v>0</v>
      </c>
      <c r="EI53" s="102">
        <v>0</v>
      </c>
      <c r="EJ53" s="102">
        <f>EI53</f>
        <v>0</v>
      </c>
      <c r="EK53" s="102"/>
      <c r="EL53" s="102">
        <v>0</v>
      </c>
      <c r="EM53" s="102">
        <v>0</v>
      </c>
      <c r="EN53" s="102">
        <v>0</v>
      </c>
      <c r="EO53" s="102">
        <v>0</v>
      </c>
      <c r="EP53" s="102">
        <f>EO53</f>
        <v>0</v>
      </c>
      <c r="EQ53" s="102"/>
      <c r="ER53" s="102">
        <v>0</v>
      </c>
      <c r="ES53" s="102">
        <v>0</v>
      </c>
      <c r="ET53" s="102">
        <v>0</v>
      </c>
      <c r="EU53" s="102">
        <v>0</v>
      </c>
      <c r="EV53" s="102">
        <f>EU53</f>
        <v>0</v>
      </c>
      <c r="EW53" s="30"/>
      <c r="EX53" s="102">
        <v>0</v>
      </c>
      <c r="EY53" s="102">
        <v>0</v>
      </c>
      <c r="EZ53" s="102">
        <v>0</v>
      </c>
      <c r="FA53" s="102">
        <f>EZ53</f>
        <v>0</v>
      </c>
      <c r="FB53" s="543">
        <f>FA53</f>
        <v>0</v>
      </c>
      <c r="FC53" s="30"/>
      <c r="FD53" s="543">
        <f>FA53</f>
        <v>0</v>
      </c>
      <c r="FE53" s="102">
        <f t="shared" ref="FE53:FH54" si="120">FD53</f>
        <v>0</v>
      </c>
      <c r="FF53" s="102">
        <f t="shared" si="120"/>
        <v>0</v>
      </c>
      <c r="FG53" s="102">
        <f t="shared" si="120"/>
        <v>0</v>
      </c>
      <c r="FH53" s="102">
        <f t="shared" si="120"/>
        <v>0</v>
      </c>
      <c r="FI53" s="30"/>
      <c r="FJ53" s="102">
        <f>FG53</f>
        <v>0</v>
      </c>
      <c r="FK53" s="102">
        <f t="shared" ref="FK53:FN54" si="121">FJ53</f>
        <v>0</v>
      </c>
      <c r="FL53" s="102">
        <f t="shared" si="121"/>
        <v>0</v>
      </c>
      <c r="FM53" s="102">
        <f t="shared" si="121"/>
        <v>0</v>
      </c>
      <c r="FN53" s="102">
        <f t="shared" si="121"/>
        <v>0</v>
      </c>
      <c r="FO53" s="30"/>
      <c r="FP53" s="102">
        <f>FM53</f>
        <v>0</v>
      </c>
      <c r="FQ53" s="102">
        <f t="shared" ref="FQ53:FT54" si="122">FP53</f>
        <v>0</v>
      </c>
      <c r="FR53" s="102">
        <f t="shared" si="122"/>
        <v>0</v>
      </c>
      <c r="FS53" s="102">
        <f t="shared" si="122"/>
        <v>0</v>
      </c>
      <c r="FT53" s="102">
        <f t="shared" si="122"/>
        <v>0</v>
      </c>
      <c r="FU53" s="30"/>
      <c r="FV53" s="102">
        <f>FS53</f>
        <v>0</v>
      </c>
      <c r="FW53" s="102">
        <f t="shared" ref="FW53:FZ54" si="123">FV53</f>
        <v>0</v>
      </c>
      <c r="FX53" s="102">
        <f t="shared" si="123"/>
        <v>0</v>
      </c>
      <c r="FY53" s="102">
        <f t="shared" si="123"/>
        <v>0</v>
      </c>
      <c r="FZ53" s="102">
        <f t="shared" si="123"/>
        <v>0</v>
      </c>
      <c r="GA53" s="30"/>
      <c r="GB53" s="102">
        <f>FY53</f>
        <v>0</v>
      </c>
      <c r="GC53" s="102">
        <f t="shared" ref="GC53:GF54" si="124">GB53</f>
        <v>0</v>
      </c>
      <c r="GD53" s="102">
        <f t="shared" si="124"/>
        <v>0</v>
      </c>
      <c r="GE53" s="102">
        <f t="shared" si="124"/>
        <v>0</v>
      </c>
      <c r="GF53" s="102">
        <f t="shared" si="124"/>
        <v>0</v>
      </c>
      <c r="GG53" s="30"/>
      <c r="GH53" s="102">
        <f>GE53</f>
        <v>0</v>
      </c>
      <c r="GI53" s="102">
        <f t="shared" ref="GI53:GL54" si="125">GH53</f>
        <v>0</v>
      </c>
      <c r="GJ53" s="102">
        <f t="shared" si="125"/>
        <v>0</v>
      </c>
      <c r="GK53" s="102">
        <f t="shared" si="125"/>
        <v>0</v>
      </c>
      <c r="GL53" s="102">
        <f t="shared" si="125"/>
        <v>0</v>
      </c>
      <c r="GM53" s="30"/>
      <c r="GN53" s="102">
        <f>GK53</f>
        <v>0</v>
      </c>
      <c r="GO53" s="102">
        <f t="shared" ref="GO53:GR54" si="126">GN53</f>
        <v>0</v>
      </c>
      <c r="GP53" s="102">
        <f t="shared" si="126"/>
        <v>0</v>
      </c>
      <c r="GQ53" s="102">
        <f t="shared" si="126"/>
        <v>0</v>
      </c>
      <c r="GR53" s="102">
        <f t="shared" si="126"/>
        <v>0</v>
      </c>
      <c r="GS53" s="30"/>
      <c r="GT53" s="102">
        <f>GQ53</f>
        <v>0</v>
      </c>
      <c r="GU53" s="102">
        <f t="shared" ref="GU53:GX54" si="127">GT53</f>
        <v>0</v>
      </c>
      <c r="GV53" s="102">
        <f t="shared" si="127"/>
        <v>0</v>
      </c>
      <c r="GW53" s="102">
        <f t="shared" si="127"/>
        <v>0</v>
      </c>
      <c r="GX53" s="102">
        <f t="shared" si="127"/>
        <v>0</v>
      </c>
      <c r="GY53" s="30"/>
      <c r="GZ53" s="102">
        <f>GW53</f>
        <v>0</v>
      </c>
      <c r="HA53" s="102">
        <f t="shared" ref="HA53:HD54" si="128">GZ53</f>
        <v>0</v>
      </c>
      <c r="HB53" s="102">
        <f t="shared" si="128"/>
        <v>0</v>
      </c>
      <c r="HC53" s="102">
        <f t="shared" si="128"/>
        <v>0</v>
      </c>
      <c r="HD53" s="102">
        <f t="shared" si="128"/>
        <v>0</v>
      </c>
      <c r="HF53" s="102">
        <f>HC53</f>
        <v>0</v>
      </c>
      <c r="HG53" s="102">
        <f t="shared" ref="HG53:HG54" si="129">HF53</f>
        <v>0</v>
      </c>
      <c r="HH53" s="102">
        <f t="shared" ref="HH53:HH54" si="130">HG53</f>
        <v>0</v>
      </c>
      <c r="HI53" s="102">
        <f t="shared" ref="HI53:HI54" si="131">HH53</f>
        <v>0</v>
      </c>
      <c r="HJ53" s="102">
        <f t="shared" ref="HJ53:HJ54" si="132">HI53</f>
        <v>0</v>
      </c>
    </row>
    <row r="54" spans="1:218">
      <c r="A54" s="30"/>
      <c r="B54" s="30" t="s">
        <v>61</v>
      </c>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118"/>
      <c r="BT54" s="118"/>
      <c r="BU54" s="118"/>
      <c r="BV54" s="30"/>
      <c r="BW54" s="30"/>
      <c r="BX54" s="118"/>
      <c r="BY54" s="30"/>
      <c r="BZ54" s="30"/>
      <c r="CA54" s="30"/>
      <c r="CB54" s="30"/>
      <c r="CC54" s="30"/>
      <c r="CD54" s="118"/>
      <c r="CE54" s="118"/>
      <c r="CF54" s="118"/>
      <c r="CG54" s="118"/>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102">
        <v>8.1000000000000003E-2</v>
      </c>
      <c r="DI54" s="102">
        <v>8.1000000000000003E-2</v>
      </c>
      <c r="DJ54" s="102">
        <v>9.2999999999999999E-2</v>
      </c>
      <c r="DK54" s="102">
        <v>9.4E-2</v>
      </c>
      <c r="DL54" s="102">
        <f>DK54</f>
        <v>9.4E-2</v>
      </c>
      <c r="DM54" s="102"/>
      <c r="DN54" s="102">
        <v>9.5000000000000001E-2</v>
      </c>
      <c r="DO54" s="102">
        <v>0.104</v>
      </c>
      <c r="DP54" s="102">
        <v>0.104</v>
      </c>
      <c r="DQ54" s="102">
        <v>0.105</v>
      </c>
      <c r="DR54" s="102">
        <f>DQ54</f>
        <v>0.105</v>
      </c>
      <c r="DS54" s="102"/>
      <c r="DT54" s="102">
        <v>0.105</v>
      </c>
      <c r="DU54" s="102">
        <v>0.11</v>
      </c>
      <c r="DV54" s="102">
        <v>0.111</v>
      </c>
      <c r="DW54" s="102">
        <v>0.112</v>
      </c>
      <c r="DX54" s="102">
        <f>DW54</f>
        <v>0.112</v>
      </c>
      <c r="DY54" s="102"/>
      <c r="DZ54" s="102">
        <v>0.11700000000000001</v>
      </c>
      <c r="EA54" s="102">
        <v>0.123</v>
      </c>
      <c r="EB54" s="102">
        <v>0.123</v>
      </c>
      <c r="EC54" s="102">
        <v>0.124</v>
      </c>
      <c r="ED54" s="102">
        <f>EC54</f>
        <v>0.124</v>
      </c>
      <c r="EE54" s="102"/>
      <c r="EF54" s="102">
        <v>0.125</v>
      </c>
      <c r="EG54" s="102">
        <v>0.126</v>
      </c>
      <c r="EH54" s="102">
        <v>0.127</v>
      </c>
      <c r="EI54" s="102">
        <v>0.127</v>
      </c>
      <c r="EJ54" s="102">
        <f>EI54</f>
        <v>0.127</v>
      </c>
      <c r="EK54" s="102"/>
      <c r="EL54" s="102">
        <v>0.127</v>
      </c>
      <c r="EM54" s="102">
        <v>0.127</v>
      </c>
      <c r="EN54" s="102">
        <v>0.127</v>
      </c>
      <c r="EO54" s="102">
        <v>0.127</v>
      </c>
      <c r="EP54" s="102">
        <f>EO54</f>
        <v>0.127</v>
      </c>
      <c r="EQ54" s="102"/>
      <c r="ER54" s="102">
        <v>0.127</v>
      </c>
      <c r="ES54" s="102">
        <v>0.128</v>
      </c>
      <c r="ET54" s="102">
        <v>0.128</v>
      </c>
      <c r="EU54" s="102">
        <v>0.128</v>
      </c>
      <c r="EV54" s="102">
        <f>EU54</f>
        <v>0.128</v>
      </c>
      <c r="EW54" s="30"/>
      <c r="EX54" s="102">
        <v>0.121</v>
      </c>
      <c r="EY54" s="102">
        <v>0.128</v>
      </c>
      <c r="EZ54" s="102">
        <v>0.128</v>
      </c>
      <c r="FA54" s="102">
        <f>EZ54</f>
        <v>0.128</v>
      </c>
      <c r="FB54" s="543">
        <f>FA54</f>
        <v>0.128</v>
      </c>
      <c r="FC54" s="30"/>
      <c r="FD54" s="543">
        <f>FA54</f>
        <v>0.128</v>
      </c>
      <c r="FE54" s="102">
        <f t="shared" si="120"/>
        <v>0.128</v>
      </c>
      <c r="FF54" s="102">
        <f t="shared" si="120"/>
        <v>0.128</v>
      </c>
      <c r="FG54" s="102">
        <f t="shared" si="120"/>
        <v>0.128</v>
      </c>
      <c r="FH54" s="102">
        <f t="shared" si="120"/>
        <v>0.128</v>
      </c>
      <c r="FI54" s="30"/>
      <c r="FJ54" s="102">
        <f>FG54</f>
        <v>0.128</v>
      </c>
      <c r="FK54" s="102">
        <f t="shared" si="121"/>
        <v>0.128</v>
      </c>
      <c r="FL54" s="102">
        <f t="shared" si="121"/>
        <v>0.128</v>
      </c>
      <c r="FM54" s="102">
        <f t="shared" si="121"/>
        <v>0.128</v>
      </c>
      <c r="FN54" s="102">
        <f t="shared" si="121"/>
        <v>0.128</v>
      </c>
      <c r="FO54" s="30"/>
      <c r="FP54" s="102">
        <f>FM54</f>
        <v>0.128</v>
      </c>
      <c r="FQ54" s="102">
        <f t="shared" si="122"/>
        <v>0.128</v>
      </c>
      <c r="FR54" s="102">
        <f t="shared" si="122"/>
        <v>0.128</v>
      </c>
      <c r="FS54" s="102">
        <f t="shared" si="122"/>
        <v>0.128</v>
      </c>
      <c r="FT54" s="102">
        <f t="shared" si="122"/>
        <v>0.128</v>
      </c>
      <c r="FU54" s="30"/>
      <c r="FV54" s="102">
        <f>FS54</f>
        <v>0.128</v>
      </c>
      <c r="FW54" s="102">
        <f t="shared" si="123"/>
        <v>0.128</v>
      </c>
      <c r="FX54" s="102">
        <f t="shared" si="123"/>
        <v>0.128</v>
      </c>
      <c r="FY54" s="102">
        <f t="shared" si="123"/>
        <v>0.128</v>
      </c>
      <c r="FZ54" s="102">
        <f t="shared" si="123"/>
        <v>0.128</v>
      </c>
      <c r="GA54" s="30"/>
      <c r="GB54" s="102">
        <f>FY54</f>
        <v>0.128</v>
      </c>
      <c r="GC54" s="102">
        <f t="shared" si="124"/>
        <v>0.128</v>
      </c>
      <c r="GD54" s="102">
        <f t="shared" si="124"/>
        <v>0.128</v>
      </c>
      <c r="GE54" s="102">
        <f t="shared" si="124"/>
        <v>0.128</v>
      </c>
      <c r="GF54" s="102">
        <f t="shared" si="124"/>
        <v>0.128</v>
      </c>
      <c r="GG54" s="30"/>
      <c r="GH54" s="102">
        <f>GE54</f>
        <v>0.128</v>
      </c>
      <c r="GI54" s="102">
        <f t="shared" si="125"/>
        <v>0.128</v>
      </c>
      <c r="GJ54" s="102">
        <f t="shared" si="125"/>
        <v>0.128</v>
      </c>
      <c r="GK54" s="102">
        <f t="shared" si="125"/>
        <v>0.128</v>
      </c>
      <c r="GL54" s="102">
        <f t="shared" si="125"/>
        <v>0.128</v>
      </c>
      <c r="GM54" s="30"/>
      <c r="GN54" s="102">
        <f>GK54</f>
        <v>0.128</v>
      </c>
      <c r="GO54" s="102">
        <f t="shared" si="126"/>
        <v>0.128</v>
      </c>
      <c r="GP54" s="102">
        <f t="shared" si="126"/>
        <v>0.128</v>
      </c>
      <c r="GQ54" s="102">
        <f t="shared" si="126"/>
        <v>0.128</v>
      </c>
      <c r="GR54" s="102">
        <f t="shared" si="126"/>
        <v>0.128</v>
      </c>
      <c r="GS54" s="30"/>
      <c r="GT54" s="102">
        <f>GQ54</f>
        <v>0.128</v>
      </c>
      <c r="GU54" s="102">
        <f t="shared" si="127"/>
        <v>0.128</v>
      </c>
      <c r="GV54" s="102">
        <f t="shared" si="127"/>
        <v>0.128</v>
      </c>
      <c r="GW54" s="102">
        <f t="shared" si="127"/>
        <v>0.128</v>
      </c>
      <c r="GX54" s="102">
        <f t="shared" si="127"/>
        <v>0.128</v>
      </c>
      <c r="GY54" s="30"/>
      <c r="GZ54" s="102">
        <f>GW54</f>
        <v>0.128</v>
      </c>
      <c r="HA54" s="102">
        <f t="shared" si="128"/>
        <v>0.128</v>
      </c>
      <c r="HB54" s="102">
        <f t="shared" si="128"/>
        <v>0.128</v>
      </c>
      <c r="HC54" s="102">
        <f t="shared" si="128"/>
        <v>0.128</v>
      </c>
      <c r="HD54" s="102">
        <f t="shared" si="128"/>
        <v>0.128</v>
      </c>
      <c r="HF54" s="102">
        <f>HC54</f>
        <v>0.128</v>
      </c>
      <c r="HG54" s="102">
        <f t="shared" si="129"/>
        <v>0.128</v>
      </c>
      <c r="HH54" s="102">
        <f t="shared" si="130"/>
        <v>0.128</v>
      </c>
      <c r="HI54" s="102">
        <f t="shared" si="131"/>
        <v>0.128</v>
      </c>
      <c r="HJ54" s="102">
        <f t="shared" si="132"/>
        <v>0.128</v>
      </c>
    </row>
    <row r="55" spans="1:218">
      <c r="A55" s="30"/>
      <c r="B55" s="30" t="s">
        <v>62</v>
      </c>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118"/>
      <c r="BT55" s="118"/>
      <c r="BU55" s="30"/>
      <c r="BV55" s="30"/>
      <c r="BW55" s="30"/>
      <c r="BX55" s="118"/>
      <c r="BY55" s="30"/>
      <c r="BZ55" s="30"/>
      <c r="CA55" s="30"/>
      <c r="CB55" s="30"/>
      <c r="CC55" s="30"/>
      <c r="CD55" s="118"/>
      <c r="CE55" s="118"/>
      <c r="CF55" s="118"/>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102">
        <v>232.03899999999999</v>
      </c>
      <c r="DI55" s="102">
        <v>217.45099999999999</v>
      </c>
      <c r="DJ55" s="102">
        <v>354.48700000000002</v>
      </c>
      <c r="DK55" s="102">
        <v>340.291</v>
      </c>
      <c r="DL55" s="102">
        <f>DK55</f>
        <v>340.291</v>
      </c>
      <c r="DM55" s="102"/>
      <c r="DN55" s="102">
        <v>378.57100000000003</v>
      </c>
      <c r="DO55" s="102">
        <v>543.48400000000004</v>
      </c>
      <c r="DP55" s="102">
        <v>516.93600000000004</v>
      </c>
      <c r="DQ55" s="102">
        <v>520.27800000000002</v>
      </c>
      <c r="DR55" s="102">
        <f>DQ55</f>
        <v>520.27800000000002</v>
      </c>
      <c r="DS55" s="102"/>
      <c r="DT55" s="102">
        <v>525.92899999999997</v>
      </c>
      <c r="DU55" s="102">
        <v>679.23500000000001</v>
      </c>
      <c r="DV55" s="102">
        <v>688.83199999999999</v>
      </c>
      <c r="DW55" s="102">
        <v>701.35699999999997</v>
      </c>
      <c r="DX55" s="102">
        <f>DW55</f>
        <v>701.35699999999997</v>
      </c>
      <c r="DY55" s="102"/>
      <c r="DZ55" s="102">
        <v>872.35</v>
      </c>
      <c r="EA55" s="102">
        <v>1101.298</v>
      </c>
      <c r="EB55" s="102">
        <v>1110.5899999999999</v>
      </c>
      <c r="EC55" s="102">
        <v>1123.6279999999999</v>
      </c>
      <c r="ED55" s="102">
        <f>EC55</f>
        <v>1123.6279999999999</v>
      </c>
      <c r="EE55" s="102"/>
      <c r="EF55" s="102">
        <v>1142.133</v>
      </c>
      <c r="EG55" s="102">
        <v>1146.9970000000001</v>
      </c>
      <c r="EH55" s="102">
        <v>1154.365</v>
      </c>
      <c r="EI55" s="102">
        <v>1160.8820000000001</v>
      </c>
      <c r="EJ55" s="102">
        <f>EI55</f>
        <v>1160.8820000000001</v>
      </c>
      <c r="EK55" s="102"/>
      <c r="EL55" s="102">
        <v>1167.0509999999999</v>
      </c>
      <c r="EM55" s="102">
        <v>1172.8499999999999</v>
      </c>
      <c r="EN55" s="102">
        <v>1181.876</v>
      </c>
      <c r="EO55" s="102">
        <v>1190.1389999999999</v>
      </c>
      <c r="EP55" s="102">
        <f>EO55</f>
        <v>1190.1389999999999</v>
      </c>
      <c r="EQ55" s="102"/>
      <c r="ER55" s="102">
        <v>1198.729</v>
      </c>
      <c r="ES55" s="102">
        <v>1209.5360000000001</v>
      </c>
      <c r="ET55" s="102">
        <v>1219.182</v>
      </c>
      <c r="EU55" s="102">
        <v>1228.1980000000001</v>
      </c>
      <c r="EV55" s="102">
        <f>EU55</f>
        <v>1228.1980000000001</v>
      </c>
      <c r="EW55" s="30"/>
      <c r="EX55" s="102">
        <v>1239.9010000000001</v>
      </c>
      <c r="EY55" s="102">
        <v>1250.6790000000001</v>
      </c>
      <c r="EZ55" s="102">
        <v>1262.0160000000001</v>
      </c>
      <c r="FA55" s="102">
        <f>EZ55+CF!FA13+CF!FA27+CF!FA58+SUM(CF!FA15:FA25,CF!FA52:FA54,CF!FA61)+CF!FA57</f>
        <v>1262.0160000000001</v>
      </c>
      <c r="FB55" s="543">
        <f>FA55</f>
        <v>1262.0160000000001</v>
      </c>
      <c r="FC55" s="30"/>
      <c r="FD55" s="543">
        <f>FA55+CF!FD13+CF!FD27+CF!FD58+SUM(CF!FD15:FD25,CF!FD52:FD54,CF!FD61)+CF!FD57</f>
        <v>1262.0160000000001</v>
      </c>
      <c r="FE55" s="102">
        <f>FD55+CF!FE13+CF!FE27+CF!FE58+SUM(CF!FE15:FE25,CF!FE52:FE54,CF!FE61)+CF!FE57</f>
        <v>1262.0160000000001</v>
      </c>
      <c r="FF55" s="102">
        <f>FE55+CF!FF13+CF!FF27+CF!FF58+SUM(CF!FF15:FF25,CF!FF52:FF54,CF!FF61)+CF!FF57</f>
        <v>1262.0160000000001</v>
      </c>
      <c r="FG55" s="102">
        <f>FF55+CF!FG13+CF!FG27+CF!FG58+SUM(CF!FG15:FG25,CF!FG52:FG54,CF!FG61)+CF!FG57</f>
        <v>1262.0160000000001</v>
      </c>
      <c r="FH55" s="102">
        <f>FG55</f>
        <v>1262.0160000000001</v>
      </c>
      <c r="FI55" s="30"/>
      <c r="FJ55" s="102">
        <f>FG55+CF!FJ13+CF!FJ27+CF!FJ58+SUM(CF!FJ15:FJ25,CF!FJ52:FJ54,CF!FJ61)+CF!FJ57</f>
        <v>1262.0160000000001</v>
      </c>
      <c r="FK55" s="102">
        <f>FJ55+CF!FK13+CF!FK27+CF!FK58+SUM(CF!FK15:FK25,CF!FK52:FK54,CF!FK61)+CF!FK57</f>
        <v>1262.0160000000001</v>
      </c>
      <c r="FL55" s="102">
        <f>FK55+CF!FL13+CF!FL27+CF!FL58+SUM(CF!FL15:FL25,CF!FL52:FL54,CF!FL61)+CF!FL57</f>
        <v>1262.0160000000001</v>
      </c>
      <c r="FM55" s="102">
        <f>FL55+CF!FM13+CF!FM27+CF!FM58+SUM(CF!FM15:FM25,CF!FM52:FM54,CF!FM61)+CF!FM57</f>
        <v>1262.0160000000001</v>
      </c>
      <c r="FN55" s="102">
        <f>FM55</f>
        <v>1262.0160000000001</v>
      </c>
      <c r="FO55" s="30"/>
      <c r="FP55" s="102">
        <f>FM55+CF!FP13+CF!FP27+CF!FP58+SUM(CF!FP15:FP25,CF!FP52:FP54,CF!FP61)+CF!FP57</f>
        <v>1262.0160000000001</v>
      </c>
      <c r="FQ55" s="102">
        <f>FP55+CF!FQ13+CF!FQ27+CF!FQ58+SUM(CF!FQ15:FQ25,CF!FQ52:FQ54,CF!FQ61)+CF!FQ57</f>
        <v>1262.0160000000001</v>
      </c>
      <c r="FR55" s="102">
        <f>FQ55+CF!FR13+CF!FR27+CF!FR58+SUM(CF!FR15:FR25,CF!FR52:FR54,CF!FR61)+CF!FR57</f>
        <v>1262.0160000000001</v>
      </c>
      <c r="FS55" s="102">
        <f>FR55+CF!FS13+CF!FS27+CF!FS58+SUM(CF!FS15:FS25,CF!FS52:FS54,CF!FS61)+CF!FS57</f>
        <v>1262.0160000000001</v>
      </c>
      <c r="FT55" s="102">
        <f>FS55</f>
        <v>1262.0160000000001</v>
      </c>
      <c r="FU55" s="30"/>
      <c r="FV55" s="102">
        <f>FS55+CF!FV13+CF!FV27+CF!FV58+SUM(CF!FV15:FV25,CF!FV52:FV54,CF!FV61)+CF!FV57</f>
        <v>1262.0160000000001</v>
      </c>
      <c r="FW55" s="102">
        <f>FV55+CF!FW13+CF!FW27+CF!FW58+SUM(CF!FW15:FW25,CF!FW52:FW54,CF!FW61)+CF!FW57</f>
        <v>1262.0160000000001</v>
      </c>
      <c r="FX55" s="102">
        <f>FW55+CF!FX13+CF!FX27+CF!FX58+SUM(CF!FX15:FX25,CF!FX52:FX54,CF!FX61)+CF!FX57</f>
        <v>1262.0160000000001</v>
      </c>
      <c r="FY55" s="102">
        <f>FX55+CF!FY13+CF!FY27+CF!FY58+SUM(CF!FY15:FY25,CF!FY52:FY54,CF!FY61)+CF!FY57</f>
        <v>1262.0160000000001</v>
      </c>
      <c r="FZ55" s="102">
        <f>FY55</f>
        <v>1262.0160000000001</v>
      </c>
      <c r="GA55" s="30"/>
      <c r="GB55" s="102">
        <f>FY55+CF!GB13+CF!GB27+CF!GB58+SUM(CF!GB15:GB25,CF!GB52:GB54,CF!GB61)+CF!GB57</f>
        <v>1262.0160000000001</v>
      </c>
      <c r="GC55" s="102">
        <f>GB55+CF!GC13+CF!GC27+CF!GC58+SUM(CF!GC15:GC25,CF!GC52:GC54,CF!GC61)+CF!GC57</f>
        <v>1262.0160000000001</v>
      </c>
      <c r="GD55" s="102">
        <f>GC55+CF!GD13+CF!GD27+CF!GD58+SUM(CF!GD15:GD25,CF!GD52:GD54,CF!GD61)+CF!GD57</f>
        <v>1262.0160000000001</v>
      </c>
      <c r="GE55" s="102">
        <f>GD55+CF!GE13+CF!GE27+CF!GE58+SUM(CF!GE15:GE25,CF!GE52:GE54,CF!GE61)+CF!GE57</f>
        <v>1262.0160000000001</v>
      </c>
      <c r="GF55" s="102">
        <f>GE55</f>
        <v>1262.0160000000001</v>
      </c>
      <c r="GG55" s="30"/>
      <c r="GH55" s="102">
        <f>GE55+CF!GH13+CF!GH27+CF!GH58+SUM(CF!GH15:GH25,CF!GH52:GH54,CF!GH61)+CF!GH57</f>
        <v>1262.0160000000001</v>
      </c>
      <c r="GI55" s="102">
        <f>GH55+CF!GI13+CF!GI27+CF!GI58+SUM(CF!GI15:GI25,CF!GI52:GI54,CF!GI61)+CF!GI57</f>
        <v>1262.0160000000001</v>
      </c>
      <c r="GJ55" s="102">
        <f>GI55+CF!GJ13+CF!GJ27+CF!GJ58+SUM(CF!GJ15:GJ25,CF!GJ52:GJ54,CF!GJ61)+CF!GJ57</f>
        <v>1262.0160000000001</v>
      </c>
      <c r="GK55" s="102">
        <f>GJ55+CF!GK13+CF!GK27+CF!GK58+SUM(CF!GK15:GK25,CF!GK52:GK54,CF!GK61)+CF!GK57</f>
        <v>1262.0160000000001</v>
      </c>
      <c r="GL55" s="102">
        <f>GK55</f>
        <v>1262.0160000000001</v>
      </c>
      <c r="GM55" s="30"/>
      <c r="GN55" s="102">
        <f>GK55+CF!GN13+CF!GN27+CF!GN58+SUM(CF!GN15:GN25,CF!GN52:GN54,CF!GN61)+CF!GN57</f>
        <v>1262.0160000000001</v>
      </c>
      <c r="GO55" s="102">
        <f>GN55+CF!GO13+CF!GO27+CF!GO58+SUM(CF!GO15:GO25,CF!GO52:GO54,CF!GO61)+CF!GO57</f>
        <v>1262.0160000000001</v>
      </c>
      <c r="GP55" s="102">
        <f>GO55+CF!GP13+CF!GP27+CF!GP58+SUM(CF!GP15:GP25,CF!GP52:GP54,CF!GP61)+CF!GP57</f>
        <v>1262.0160000000001</v>
      </c>
      <c r="GQ55" s="102">
        <f>GP55+CF!GQ13+CF!GQ27+CF!GQ58+SUM(CF!GQ15:GQ25,CF!GQ52:GQ54,CF!GQ61)+CF!GQ57</f>
        <v>1262.0160000000001</v>
      </c>
      <c r="GR55" s="102">
        <f>GQ55</f>
        <v>1262.0160000000001</v>
      </c>
      <c r="GS55" s="30"/>
      <c r="GT55" s="102">
        <f>GQ55+CF!GT13+CF!GT27+CF!GT58+SUM(CF!GT15:GT25,CF!GT52:GT54,CF!GT61)+CF!GT57</f>
        <v>1262.0160000000001</v>
      </c>
      <c r="GU55" s="102">
        <f>GT55+CF!GU13+CF!GU27+CF!GU58+SUM(CF!GU15:GU25,CF!GU52:GU54,CF!GU61)+CF!GU57</f>
        <v>1262.0160000000001</v>
      </c>
      <c r="GV55" s="102">
        <f>GU55+CF!GV13+CF!GV27+CF!GV58+SUM(CF!GV15:GV25,CF!GV52:GV54,CF!GV61)+CF!GV57</f>
        <v>1262.0160000000001</v>
      </c>
      <c r="GW55" s="102">
        <f>GV55+CF!GW13+CF!GW27+CF!GW58+SUM(CF!GW15:GW25,CF!GW52:GW54,CF!GW61)+CF!GW57</f>
        <v>1262.0160000000001</v>
      </c>
      <c r="GX55" s="102">
        <f>GW55</f>
        <v>1262.0160000000001</v>
      </c>
      <c r="GY55" s="30"/>
      <c r="GZ55" s="102">
        <f>GW55+CF!GZ13+CF!GZ27+CF!GZ58+SUM(CF!GZ15:GZ25,CF!GZ52:GZ54,CF!GZ61)+CF!GZ57</f>
        <v>1262.0160000000001</v>
      </c>
      <c r="HA55" s="102">
        <f>GZ55+CF!HA13+CF!HA27+CF!HA58+SUM(CF!HA15:HA25,CF!HA52:HA54,CF!HA61)+CF!HA57</f>
        <v>1262.0160000000001</v>
      </c>
      <c r="HB55" s="102">
        <f>HA55+CF!HB13+CF!HB27+CF!HB58+SUM(CF!HB15:HB25,CF!HB52:HB54,CF!HB61)+CF!HB57</f>
        <v>1262.0160000000001</v>
      </c>
      <c r="HC55" s="102">
        <f>HB55+CF!HC13+CF!HC27+CF!HC58+SUM(CF!HC15:HC25,CF!HC52:HC54,CF!HC61)+CF!HC57</f>
        <v>1262.0160000000001</v>
      </c>
      <c r="HD55" s="102">
        <f>HC55</f>
        <v>1262.0160000000001</v>
      </c>
      <c r="HF55" s="102">
        <f>HC55+CF!HF13+CF!HF27+CF!HF58+SUM(CF!HF15:HF25,CF!HF52:HF54,CF!HF61)+CF!HF57</f>
        <v>1262.0160000000001</v>
      </c>
      <c r="HG55" s="102">
        <f>HF55+CF!HG13+CF!HG27+CF!HG58+SUM(CF!HG15:HG25,CF!HG52:HG54,CF!HG61)+CF!HG57</f>
        <v>1262.0160000000001</v>
      </c>
      <c r="HH55" s="102">
        <f>HG55+CF!HH13+CF!HH27+CF!HH58+SUM(CF!HH15:HH25,CF!HH52:HH54,CF!HH61)+CF!HH57</f>
        <v>1262.0160000000001</v>
      </c>
      <c r="HI55" s="102">
        <f>HH55+CF!HI13+CF!HI27+CF!HI58+SUM(CF!HI15:HI25,CF!HI52:HI54,CF!HI61)+CF!HI57</f>
        <v>1262.0160000000001</v>
      </c>
      <c r="HJ55" s="102">
        <f>HI55</f>
        <v>1262.0160000000001</v>
      </c>
    </row>
    <row r="56" spans="1:218">
      <c r="A56" s="30"/>
      <c r="B56" s="30" t="s">
        <v>63</v>
      </c>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118"/>
      <c r="BT56" s="118"/>
      <c r="BU56" s="122"/>
      <c r="BV56" s="30"/>
      <c r="BW56" s="30"/>
      <c r="BX56" s="118"/>
      <c r="BY56" s="30"/>
      <c r="BZ56" s="30"/>
      <c r="CA56" s="30"/>
      <c r="CB56" s="30"/>
      <c r="CC56" s="30"/>
      <c r="CD56" s="118"/>
      <c r="CE56" s="118"/>
      <c r="CF56" s="118"/>
      <c r="CG56" s="30"/>
      <c r="CH56" s="30"/>
      <c r="CI56" s="30"/>
      <c r="CJ56" s="30"/>
      <c r="CK56" s="30"/>
      <c r="CL56" s="30"/>
      <c r="CM56" s="30"/>
      <c r="CN56" s="30"/>
      <c r="CO56" s="30"/>
      <c r="CP56" s="30"/>
      <c r="CQ56" s="30"/>
      <c r="CR56" s="30"/>
      <c r="CS56" s="30"/>
      <c r="CT56" s="30"/>
      <c r="CU56" s="30"/>
      <c r="CV56" s="30"/>
      <c r="CW56" s="30"/>
      <c r="CX56" s="122"/>
      <c r="CY56" s="30"/>
      <c r="CZ56" s="30"/>
      <c r="DA56" s="30"/>
      <c r="DB56" s="30"/>
      <c r="DC56" s="30"/>
      <c r="DD56" s="30"/>
      <c r="DE56" s="30"/>
      <c r="DF56" s="30"/>
      <c r="DG56" s="30"/>
      <c r="DH56" s="102">
        <v>-60.073999999999998</v>
      </c>
      <c r="DI56" s="102">
        <v>-53.58</v>
      </c>
      <c r="DJ56" s="102">
        <v>-51.557000000000002</v>
      </c>
      <c r="DK56" s="102">
        <v>-19.363</v>
      </c>
      <c r="DL56" s="102">
        <f>DK56</f>
        <v>-19.363</v>
      </c>
      <c r="DM56" s="102"/>
      <c r="DN56" s="102">
        <v>-53.682000000000002</v>
      </c>
      <c r="DO56" s="102">
        <v>-51.691000000000003</v>
      </c>
      <c r="DP56" s="102">
        <v>-17.652999999999999</v>
      </c>
      <c r="DQ56" s="102">
        <v>-11.356999999999999</v>
      </c>
      <c r="DR56" s="102">
        <f>DQ56</f>
        <v>-11.356999999999999</v>
      </c>
      <c r="DS56" s="102"/>
      <c r="DT56" s="102">
        <v>-18.335000000000001</v>
      </c>
      <c r="DU56" s="102">
        <v>-25.158999999999999</v>
      </c>
      <c r="DV56" s="102">
        <v>-22.602</v>
      </c>
      <c r="DW56" s="102">
        <v>-7.1849999999999996</v>
      </c>
      <c r="DX56" s="102">
        <f>DW56</f>
        <v>-7.1849999999999996</v>
      </c>
      <c r="DY56" s="102"/>
      <c r="DZ56" s="102">
        <v>-28.603000000000002</v>
      </c>
      <c r="EA56" s="102">
        <v>47.27</v>
      </c>
      <c r="EB56" s="102">
        <v>26.922000000000001</v>
      </c>
      <c r="EC56" s="102">
        <v>-14.837</v>
      </c>
      <c r="ED56" s="102">
        <f>EC56</f>
        <v>-14.837</v>
      </c>
      <c r="EE56" s="102"/>
      <c r="EF56" s="102">
        <v>-64.245000000000005</v>
      </c>
      <c r="EG56" s="102">
        <v>-99.548000000000002</v>
      </c>
      <c r="EH56" s="102">
        <v>-136.4</v>
      </c>
      <c r="EI56" s="102">
        <v>-159.08699999999999</v>
      </c>
      <c r="EJ56" s="102">
        <f>EI56</f>
        <v>-159.08699999999999</v>
      </c>
      <c r="EK56" s="102"/>
      <c r="EL56" s="102">
        <v>-189.88200000000001</v>
      </c>
      <c r="EM56" s="102">
        <v>-214.21299999999999</v>
      </c>
      <c r="EN56" s="102">
        <v>-232.72900000000001</v>
      </c>
      <c r="EO56" s="102">
        <v>-247.05500000000001</v>
      </c>
      <c r="EP56" s="102">
        <f>EO56</f>
        <v>-247.05500000000001</v>
      </c>
      <c r="EQ56" s="102"/>
      <c r="ER56" s="102">
        <v>-274.11599999999999</v>
      </c>
      <c r="ES56" s="421">
        <v>-292.75799999999998</v>
      </c>
      <c r="ET56" s="421">
        <v>-310.45699999999999</v>
      </c>
      <c r="EU56" s="421">
        <v>-325.78100000000001</v>
      </c>
      <c r="EV56" s="102">
        <f>EU56</f>
        <v>-325.78100000000001</v>
      </c>
      <c r="EW56" s="30"/>
      <c r="EX56" s="102">
        <v>-351.70400000000001</v>
      </c>
      <c r="EY56" s="421">
        <v>-396.79599999999999</v>
      </c>
      <c r="EZ56" s="421">
        <v>-423.92500000000001</v>
      </c>
      <c r="FA56" s="421">
        <f>EZ56+CF!FA9+CF!FA60</f>
        <v>-415.85900000000004</v>
      </c>
      <c r="FB56" s="543">
        <f>FA56</f>
        <v>-415.85900000000004</v>
      </c>
      <c r="FC56" s="30"/>
      <c r="FD56" s="543">
        <f>FA56+CF!FD9+CF!FD60</f>
        <v>-415.94385834477555</v>
      </c>
      <c r="FE56" s="421">
        <f>FD56+CF!FE9+CF!FE60</f>
        <v>-413.21284426655632</v>
      </c>
      <c r="FF56" s="421">
        <f>FE56+CF!FF9+CF!FF60</f>
        <v>-405.67070155422675</v>
      </c>
      <c r="FG56" s="421">
        <f>FF56+CF!FG9+CF!FG60</f>
        <v>-395.92395417197838</v>
      </c>
      <c r="FH56" s="102">
        <f>FG56</f>
        <v>-395.92395417197838</v>
      </c>
      <c r="FI56" s="30"/>
      <c r="FJ56" s="102">
        <f>FG56+CF!FJ9+CF!FJ60</f>
        <v>-386.62740441770569</v>
      </c>
      <c r="FK56" s="421">
        <f>FJ56+CF!FK9+CF!FK60</f>
        <v>-376.71849015647337</v>
      </c>
      <c r="FL56" s="421">
        <f>FK56+CF!FL9+CF!FL60</f>
        <v>-366.34398093744676</v>
      </c>
      <c r="FM56" s="421">
        <f>FL56+CF!FM9+CF!FM60</f>
        <v>-357.83053120002813</v>
      </c>
      <c r="FN56" s="102">
        <f>FM56</f>
        <v>-357.83053120002813</v>
      </c>
      <c r="FO56" s="30"/>
      <c r="FP56" s="102">
        <f>FM56+CF!FP9+CF!FP60</f>
        <v>-344.76678596943219</v>
      </c>
      <c r="FQ56" s="421">
        <f>FP56+CF!FQ9+CF!FQ60</f>
        <v>-330.73396790328695</v>
      </c>
      <c r="FR56" s="421">
        <f>FQ56+CF!FR9+CF!FR60</f>
        <v>-315.93990937879136</v>
      </c>
      <c r="FS56" s="421">
        <f>FR56+CF!FS9+CF!FS60</f>
        <v>-300.66486699294273</v>
      </c>
      <c r="FT56" s="102">
        <f>FS56</f>
        <v>-300.66486699294273</v>
      </c>
      <c r="FU56" s="30"/>
      <c r="FV56" s="102">
        <f>FS56+CF!FV9+CF!FV60</f>
        <v>-286.71284580498275</v>
      </c>
      <c r="FW56" s="421">
        <f>FV56+CF!FW9+CF!FW60</f>
        <v>-271.47109868182741</v>
      </c>
      <c r="FX56" s="421">
        <f>FW56+CF!FX9+CF!FX60</f>
        <v>-255.34656526098675</v>
      </c>
      <c r="FY56" s="421">
        <f>FX56+CF!FY9+CF!FY60</f>
        <v>-238.67604531272241</v>
      </c>
      <c r="FZ56" s="102">
        <f>FY56</f>
        <v>-238.67604531272241</v>
      </c>
      <c r="GA56" s="30"/>
      <c r="GB56" s="102">
        <f>FY56+CF!GB9+CF!GB60</f>
        <v>-218.59390343418602</v>
      </c>
      <c r="GC56" s="421">
        <f>GB56+CF!GC9+CF!GC60</f>
        <v>-196.99936533606973</v>
      </c>
      <c r="GD56" s="421">
        <f>GC56+CF!GD9+CF!GD60</f>
        <v>-174.19363572932923</v>
      </c>
      <c r="GE56" s="421">
        <f>GD56+CF!GE9+CF!GE60</f>
        <v>-150.63298395186916</v>
      </c>
      <c r="GF56" s="102">
        <f>GE56</f>
        <v>-150.63298395186916</v>
      </c>
      <c r="GG56" s="30"/>
      <c r="GH56" s="102">
        <f>GE56+CF!GH9+CF!GH60</f>
        <v>-123.74398781759575</v>
      </c>
      <c r="GI56" s="421">
        <f>GH56+CF!GI9+CF!GI60</f>
        <v>-94.902515594725713</v>
      </c>
      <c r="GJ56" s="421">
        <f>GI56+CF!GJ9+CF!GJ60</f>
        <v>-64.4830341202196</v>
      </c>
      <c r="GK56" s="421">
        <f>GJ56+CF!GK9+CF!GK60</f>
        <v>-31.350612660372704</v>
      </c>
      <c r="GL56" s="102">
        <f>GK56</f>
        <v>-31.350612660372704</v>
      </c>
      <c r="GM56" s="30"/>
      <c r="GN56" s="102">
        <f>GK56+CF!GN9+CF!GN60</f>
        <v>4.6297189122378413</v>
      </c>
      <c r="GO56" s="421">
        <f>GN56+CF!GO9+CF!GO60</f>
        <v>43.064604792727707</v>
      </c>
      <c r="GP56" s="421">
        <f>GO56+CF!GP9+CF!GP60</f>
        <v>83.498854439576789</v>
      </c>
      <c r="GQ56" s="421">
        <f>GP56+CF!GQ9+CF!GQ60</f>
        <v>125.19306526376525</v>
      </c>
      <c r="GR56" s="102">
        <f>GQ56</f>
        <v>125.19306526376525</v>
      </c>
      <c r="GS56" s="30"/>
      <c r="GT56" s="102">
        <f>GQ56+CF!GT9+CF!GT60</f>
        <v>169.16840898279881</v>
      </c>
      <c r="GU56" s="421">
        <f>GT56+CF!GU9+CF!GU60</f>
        <v>216.09318828872256</v>
      </c>
      <c r="GV56" s="421">
        <f>GU56+CF!GV9+CF!GV60</f>
        <v>265.43124504873782</v>
      </c>
      <c r="GW56" s="421">
        <f>GV56+CF!GW9+CF!GW60</f>
        <v>316.29304515952225</v>
      </c>
      <c r="GX56" s="102">
        <f>GW56</f>
        <v>316.29304515952225</v>
      </c>
      <c r="GY56" s="30"/>
      <c r="GZ56" s="102">
        <f>GW56+CF!GZ9+CF!GZ60</f>
        <v>369.34550693242494</v>
      </c>
      <c r="HA56" s="421">
        <f>GZ56+CF!HA9+CF!HA60</f>
        <v>425.90430792435245</v>
      </c>
      <c r="HB56" s="421">
        <f>HA56+CF!HB9+CF!HB60</f>
        <v>485.34305361269497</v>
      </c>
      <c r="HC56" s="421">
        <f>HB56+CF!HC9+CF!HC60</f>
        <v>546.60338633377921</v>
      </c>
      <c r="HD56" s="102">
        <f>HC56</f>
        <v>546.60338633377921</v>
      </c>
      <c r="HF56" s="102">
        <f>HC56+CF!HF9+CF!HF60</f>
        <v>609.55951477288011</v>
      </c>
      <c r="HG56" s="421">
        <f>HF56+CF!HG9+CF!HG60</f>
        <v>676.62117805060984</v>
      </c>
      <c r="HH56" s="421">
        <f>HG56+CF!HH9+CF!HH60</f>
        <v>747.06559319782036</v>
      </c>
      <c r="HI56" s="421">
        <f>HH56+CF!HI9+CF!HI60</f>
        <v>819.65297342696886</v>
      </c>
      <c r="HJ56" s="102">
        <f>HI56</f>
        <v>819.65297342696886</v>
      </c>
    </row>
    <row r="57" spans="1:218">
      <c r="A57" s="30"/>
      <c r="B57" s="30" t="s">
        <v>64</v>
      </c>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118"/>
      <c r="BT57" s="118"/>
      <c r="BU57" s="122"/>
      <c r="BV57" s="30"/>
      <c r="BW57" s="30"/>
      <c r="BX57" s="118"/>
      <c r="BY57" s="30"/>
      <c r="BZ57" s="30"/>
      <c r="CA57" s="30"/>
      <c r="CB57" s="30"/>
      <c r="CC57" s="30"/>
      <c r="CD57" s="118"/>
      <c r="CE57" s="118"/>
      <c r="CF57" s="118"/>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432">
        <v>0.499</v>
      </c>
      <c r="DI57" s="432">
        <v>0.25700000000000001</v>
      </c>
      <c r="DJ57" s="432">
        <v>0.53600000000000003</v>
      </c>
      <c r="DK57" s="432">
        <v>-0.57899999999999996</v>
      </c>
      <c r="DL57" s="432">
        <f>DK57</f>
        <v>-0.57899999999999996</v>
      </c>
      <c r="DM57" s="432"/>
      <c r="DN57" s="432">
        <v>-1.1359999999999999</v>
      </c>
      <c r="DO57" s="432">
        <v>-2.1629999999999998</v>
      </c>
      <c r="DP57" s="432">
        <v>-2.38</v>
      </c>
      <c r="DQ57" s="432">
        <v>-1.6180000000000001</v>
      </c>
      <c r="DR57" s="432">
        <f>DQ57</f>
        <v>-1.6180000000000001</v>
      </c>
      <c r="DS57" s="432"/>
      <c r="DT57" s="432">
        <v>-2.6560000000000001</v>
      </c>
      <c r="DU57" s="432">
        <v>4.2999999999999997E-2</v>
      </c>
      <c r="DV57" s="432">
        <v>2.1999999999999999E-2</v>
      </c>
      <c r="DW57" s="432">
        <v>0.01</v>
      </c>
      <c r="DX57" s="432">
        <f>DW57</f>
        <v>0.01</v>
      </c>
      <c r="DY57" s="432"/>
      <c r="DZ57" s="432">
        <v>-0.15</v>
      </c>
      <c r="EA57" s="432">
        <v>-0.33300000000000002</v>
      </c>
      <c r="EB57" s="432">
        <v>-0.39</v>
      </c>
      <c r="EC57" s="432">
        <v>-0.63800000000000001</v>
      </c>
      <c r="ED57" s="432">
        <f>EC57</f>
        <v>-0.63800000000000001</v>
      </c>
      <c r="EE57" s="432"/>
      <c r="EF57" s="432">
        <v>-3.0089999999999999</v>
      </c>
      <c r="EG57" s="432">
        <v>-4.056</v>
      </c>
      <c r="EH57" s="432">
        <v>-5.1040000000000001</v>
      </c>
      <c r="EI57" s="432">
        <v>-3.899</v>
      </c>
      <c r="EJ57" s="432">
        <f>EI57</f>
        <v>-3.899</v>
      </c>
      <c r="EK57" s="432"/>
      <c r="EL57" s="432">
        <v>-2.8340000000000001</v>
      </c>
      <c r="EM57" s="432">
        <v>-2.5720000000000001</v>
      </c>
      <c r="EN57" s="432">
        <v>-1.8460000000000001</v>
      </c>
      <c r="EO57" s="432">
        <v>-1.6739999999999999</v>
      </c>
      <c r="EP57" s="432">
        <f>EO57</f>
        <v>-1.6739999999999999</v>
      </c>
      <c r="EQ57" s="432"/>
      <c r="ER57" s="432">
        <v>-1.33</v>
      </c>
      <c r="ES57" s="432">
        <v>-1.022</v>
      </c>
      <c r="ET57" s="432">
        <v>-0.64300000000000002</v>
      </c>
      <c r="EU57" s="432">
        <v>-0.20599999999999999</v>
      </c>
      <c r="EV57" s="432">
        <f>EU57</f>
        <v>-0.20599999999999999</v>
      </c>
      <c r="EW57" s="36"/>
      <c r="EX57" s="432">
        <v>-5.6000000000000001E-2</v>
      </c>
      <c r="EY57" s="432">
        <v>2.9000000000000001E-2</v>
      </c>
      <c r="EZ57" s="432">
        <v>7.0999999999999994E-2</v>
      </c>
      <c r="FA57" s="432">
        <f>EZ57</f>
        <v>7.0999999999999994E-2</v>
      </c>
      <c r="FB57" s="545">
        <f>FA57</f>
        <v>7.0999999999999994E-2</v>
      </c>
      <c r="FC57" s="36"/>
      <c r="FD57" s="545">
        <f>FA57</f>
        <v>7.0999999999999994E-2</v>
      </c>
      <c r="FE57" s="432">
        <f>FD57</f>
        <v>7.0999999999999994E-2</v>
      </c>
      <c r="FF57" s="432">
        <f>FE57</f>
        <v>7.0999999999999994E-2</v>
      </c>
      <c r="FG57" s="432">
        <f>FF57</f>
        <v>7.0999999999999994E-2</v>
      </c>
      <c r="FH57" s="432">
        <f>FG57</f>
        <v>7.0999999999999994E-2</v>
      </c>
      <c r="FI57" s="36"/>
      <c r="FJ57" s="432">
        <f>FG57</f>
        <v>7.0999999999999994E-2</v>
      </c>
      <c r="FK57" s="432">
        <f>FJ57</f>
        <v>7.0999999999999994E-2</v>
      </c>
      <c r="FL57" s="432">
        <f>FK57</f>
        <v>7.0999999999999994E-2</v>
      </c>
      <c r="FM57" s="432">
        <f>FL57</f>
        <v>7.0999999999999994E-2</v>
      </c>
      <c r="FN57" s="432">
        <f>FM57</f>
        <v>7.0999999999999994E-2</v>
      </c>
      <c r="FO57" s="36"/>
      <c r="FP57" s="432">
        <f>FM57</f>
        <v>7.0999999999999994E-2</v>
      </c>
      <c r="FQ57" s="432">
        <f>FP57</f>
        <v>7.0999999999999994E-2</v>
      </c>
      <c r="FR57" s="432">
        <f>FQ57</f>
        <v>7.0999999999999994E-2</v>
      </c>
      <c r="FS57" s="432">
        <f>FR57</f>
        <v>7.0999999999999994E-2</v>
      </c>
      <c r="FT57" s="432">
        <f>FS57</f>
        <v>7.0999999999999994E-2</v>
      </c>
      <c r="FU57" s="36"/>
      <c r="FV57" s="432">
        <f>FS57</f>
        <v>7.0999999999999994E-2</v>
      </c>
      <c r="FW57" s="432">
        <f>FV57</f>
        <v>7.0999999999999994E-2</v>
      </c>
      <c r="FX57" s="432">
        <f>FW57</f>
        <v>7.0999999999999994E-2</v>
      </c>
      <c r="FY57" s="432">
        <f>FX57</f>
        <v>7.0999999999999994E-2</v>
      </c>
      <c r="FZ57" s="432">
        <f>FY57</f>
        <v>7.0999999999999994E-2</v>
      </c>
      <c r="GA57" s="36"/>
      <c r="GB57" s="432">
        <f>FY57</f>
        <v>7.0999999999999994E-2</v>
      </c>
      <c r="GC57" s="432">
        <f>GB57</f>
        <v>7.0999999999999994E-2</v>
      </c>
      <c r="GD57" s="432">
        <f>GC57</f>
        <v>7.0999999999999994E-2</v>
      </c>
      <c r="GE57" s="432">
        <f>GD57</f>
        <v>7.0999999999999994E-2</v>
      </c>
      <c r="GF57" s="432">
        <f>GE57</f>
        <v>7.0999999999999994E-2</v>
      </c>
      <c r="GG57" s="36"/>
      <c r="GH57" s="432">
        <f>GE57</f>
        <v>7.0999999999999994E-2</v>
      </c>
      <c r="GI57" s="432">
        <f>GH57</f>
        <v>7.0999999999999994E-2</v>
      </c>
      <c r="GJ57" s="432">
        <f>GI57</f>
        <v>7.0999999999999994E-2</v>
      </c>
      <c r="GK57" s="432">
        <f>GJ57</f>
        <v>7.0999999999999994E-2</v>
      </c>
      <c r="GL57" s="432">
        <f>GK57</f>
        <v>7.0999999999999994E-2</v>
      </c>
      <c r="GM57" s="36"/>
      <c r="GN57" s="432">
        <f>GK57</f>
        <v>7.0999999999999994E-2</v>
      </c>
      <c r="GO57" s="432">
        <f>GN57</f>
        <v>7.0999999999999994E-2</v>
      </c>
      <c r="GP57" s="432">
        <f>GO57</f>
        <v>7.0999999999999994E-2</v>
      </c>
      <c r="GQ57" s="432">
        <f>GP57</f>
        <v>7.0999999999999994E-2</v>
      </c>
      <c r="GR57" s="432">
        <f>GQ57</f>
        <v>7.0999999999999994E-2</v>
      </c>
      <c r="GS57" s="36"/>
      <c r="GT57" s="432">
        <f>GQ57</f>
        <v>7.0999999999999994E-2</v>
      </c>
      <c r="GU57" s="432">
        <f>GT57</f>
        <v>7.0999999999999994E-2</v>
      </c>
      <c r="GV57" s="432">
        <f>GU57</f>
        <v>7.0999999999999994E-2</v>
      </c>
      <c r="GW57" s="432">
        <f>GV57</f>
        <v>7.0999999999999994E-2</v>
      </c>
      <c r="GX57" s="432">
        <f>GW57</f>
        <v>7.0999999999999994E-2</v>
      </c>
      <c r="GY57" s="36"/>
      <c r="GZ57" s="432">
        <f>GW57</f>
        <v>7.0999999999999994E-2</v>
      </c>
      <c r="HA57" s="432">
        <f>GZ57</f>
        <v>7.0999999999999994E-2</v>
      </c>
      <c r="HB57" s="432">
        <f>HA57</f>
        <v>7.0999999999999994E-2</v>
      </c>
      <c r="HC57" s="432">
        <f>HB57</f>
        <v>7.0999999999999994E-2</v>
      </c>
      <c r="HD57" s="432">
        <f>HC57</f>
        <v>7.0999999999999994E-2</v>
      </c>
      <c r="HF57" s="432">
        <f>HC57</f>
        <v>7.0999999999999994E-2</v>
      </c>
      <c r="HG57" s="432">
        <f>HF57</f>
        <v>7.0999999999999994E-2</v>
      </c>
      <c r="HH57" s="432">
        <f>HG57</f>
        <v>7.0999999999999994E-2</v>
      </c>
      <c r="HI57" s="432">
        <f>HH57</f>
        <v>7.0999999999999994E-2</v>
      </c>
      <c r="HJ57" s="432">
        <f>HI57</f>
        <v>7.0999999999999994E-2</v>
      </c>
    </row>
    <row r="58" spans="1:218">
      <c r="A58" s="30" t="s">
        <v>549</v>
      </c>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118"/>
      <c r="BT58" s="30"/>
      <c r="BU58" s="30"/>
      <c r="BV58" s="30"/>
      <c r="BW58" s="30"/>
      <c r="BX58" s="118"/>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102">
        <f>SUM(DH55:DH57)+DH54+DH53</f>
        <v>208.01599999999996</v>
      </c>
      <c r="DI58" s="102">
        <f>SUM(DI55:DI57)+DI54+DI53</f>
        <v>164.20899999999997</v>
      </c>
      <c r="DJ58" s="102">
        <f>SUM(DJ55:DJ57)+DJ54+DJ53</f>
        <v>303.55900000000003</v>
      </c>
      <c r="DK58" s="102">
        <f>SUM(DK55:DK57)+DK54+DK53</f>
        <v>320.44299999999998</v>
      </c>
      <c r="DL58" s="102">
        <f>SUM(DL55:DL57)+DL54+DL53</f>
        <v>320.44299999999998</v>
      </c>
      <c r="DM58" s="102"/>
      <c r="DN58" s="102">
        <f>SUM(DN55:DN57)+DN54+DN53</f>
        <v>323.84800000000001</v>
      </c>
      <c r="DO58" s="102">
        <f>SUM(DO55:DO57)+DO54+DO53</f>
        <v>489.73399999999998</v>
      </c>
      <c r="DP58" s="102">
        <f>SUM(DP55:DP57)+DP54+DP53</f>
        <v>497.00700000000001</v>
      </c>
      <c r="DQ58" s="102">
        <f>SUM(DQ55:DQ57)+DQ54+DQ53</f>
        <v>507.40800000000007</v>
      </c>
      <c r="DR58" s="102">
        <f>SUM(DR55:DR57)+DR54+DR53</f>
        <v>507.40800000000007</v>
      </c>
      <c r="DS58" s="102"/>
      <c r="DT58" s="102">
        <f>SUM(DT55:DT57)+DT54+DT53</f>
        <v>505.04300000000001</v>
      </c>
      <c r="DU58" s="102">
        <f>SUM(DU55:DU57)+DU54+DU53</f>
        <v>654.22900000000004</v>
      </c>
      <c r="DV58" s="102">
        <f>SUM(DV55:DV57)+DV54+DV53</f>
        <v>666.36300000000006</v>
      </c>
      <c r="DW58" s="102">
        <f>SUM(DW55:DW57)+DW54+DW53</f>
        <v>694.29399999999998</v>
      </c>
      <c r="DX58" s="102">
        <f>SUM(DX55:DX57)+DX54+DX53</f>
        <v>694.29399999999998</v>
      </c>
      <c r="DY58" s="102"/>
      <c r="DZ58" s="102">
        <f>SUM(DZ55:DZ57)+DZ54+DZ53</f>
        <v>843.71400000000006</v>
      </c>
      <c r="EA58" s="102">
        <f>SUM(EA55:EA57)+EA54+EA53</f>
        <v>1148.3579999999999</v>
      </c>
      <c r="EB58" s="102">
        <f>SUM(EB55:EB57)+EB54+EB53</f>
        <v>1137.2449999999999</v>
      </c>
      <c r="EC58" s="102">
        <f>SUM(EC55:EC57)+EC54+EC53</f>
        <v>1108.277</v>
      </c>
      <c r="ED58" s="102">
        <f>SUM(ED55:ED57)+ED54+ED53</f>
        <v>1108.277</v>
      </c>
      <c r="EE58" s="102"/>
      <c r="EF58" s="102">
        <f>SUM(EF55:EF57)+EF54+EF53</f>
        <v>1075.0039999999999</v>
      </c>
      <c r="EG58" s="102">
        <f>SUM(EG55:EG57)+EG54+EG53</f>
        <v>1043.519</v>
      </c>
      <c r="EH58" s="102">
        <f>SUM(EH55:EH57)+EH54+EH53</f>
        <v>1012.9879999999999</v>
      </c>
      <c r="EI58" s="102">
        <f>SUM(EI55:EI57)+EI54+EI53</f>
        <v>998.02300000000002</v>
      </c>
      <c r="EJ58" s="102">
        <f>SUM(EJ55:EJ57)+EJ54+EJ53</f>
        <v>998.02300000000002</v>
      </c>
      <c r="EK58" s="102"/>
      <c r="EL58" s="102">
        <f>SUM(EL55:EL57)+EL54+EL53</f>
        <v>974.46199999999988</v>
      </c>
      <c r="EM58" s="102">
        <f>SUM(EM55:EM57)+EM54+EM53</f>
        <v>956.19199999999989</v>
      </c>
      <c r="EN58" s="102">
        <f>SUM(EN55:EN57)+EN54+EN53</f>
        <v>947.42799999999988</v>
      </c>
      <c r="EO58" s="102">
        <f>SUM(EO55:EO57)+EO54+EO53</f>
        <v>941.53699999999981</v>
      </c>
      <c r="EP58" s="102">
        <f>SUM(EP55:EP57)+EP54+EP53</f>
        <v>941.53699999999981</v>
      </c>
      <c r="EQ58" s="102"/>
      <c r="ER58" s="102">
        <f>SUM(ER55:ER57)+ER54+ER53</f>
        <v>923.41</v>
      </c>
      <c r="ES58" s="102">
        <f>SUM(ES53:ES57)</f>
        <v>915.8839999999999</v>
      </c>
      <c r="ET58" s="102">
        <f>SUM(ET55:ET57)+ET54+ET53</f>
        <v>908.21</v>
      </c>
      <c r="EU58" s="102">
        <f>SUM(EU55:EU57)+EU54+EU53</f>
        <v>902.33900000000017</v>
      </c>
      <c r="EV58" s="102">
        <f>SUM(EV55:EV57)+EV54+EV53</f>
        <v>902.33900000000017</v>
      </c>
      <c r="EW58" s="30"/>
      <c r="EX58" s="102">
        <f>SUM(EX55:EX57)+EX54+EX53</f>
        <v>888.26200000000006</v>
      </c>
      <c r="EY58" s="102">
        <f>SUM(EY55:EY57)+EY54+EY53</f>
        <v>854.04000000000008</v>
      </c>
      <c r="EZ58" s="102">
        <f>SUM(EZ55:EZ57)+EZ54+EZ53</f>
        <v>838.29000000000019</v>
      </c>
      <c r="FA58" s="102">
        <f>SUM(FA55:FA57)+FA54+FA53</f>
        <v>846.35600000000011</v>
      </c>
      <c r="FB58" s="543">
        <f>SUM(FB55:FB57)+FB54+FB53</f>
        <v>846.35600000000011</v>
      </c>
      <c r="FC58" s="30"/>
      <c r="FD58" s="543">
        <f>SUM(FD55:FD57)+FD54+FD53</f>
        <v>846.2711416552246</v>
      </c>
      <c r="FE58" s="102">
        <f>SUM(FE55:FE57)+FE54+FE53</f>
        <v>849.00215573344383</v>
      </c>
      <c r="FF58" s="102">
        <f>SUM(FF55:FF57)+FF54+FF53</f>
        <v>856.54429844577339</v>
      </c>
      <c r="FG58" s="102">
        <f>SUM(FG55:FG57)+FG54+FG53</f>
        <v>866.29104582802177</v>
      </c>
      <c r="FH58" s="102">
        <f>SUM(FH55:FH57)+FH54+FH53</f>
        <v>866.29104582802177</v>
      </c>
      <c r="FI58" s="30"/>
      <c r="FJ58" s="102">
        <f>SUM(FJ55:FJ57)+FJ54+FJ53</f>
        <v>875.5875955822944</v>
      </c>
      <c r="FK58" s="102">
        <f>SUM(FK55:FK57)+FK54+FK53</f>
        <v>885.49650984352684</v>
      </c>
      <c r="FL58" s="102">
        <f>SUM(FL55:FL57)+FL54+FL53</f>
        <v>895.87101906255339</v>
      </c>
      <c r="FM58" s="102">
        <f>SUM(FM55:FM57)+FM54+FM53</f>
        <v>904.38446879997196</v>
      </c>
      <c r="FN58" s="102">
        <f>SUM(FN55:FN57)+FN54+FN53</f>
        <v>904.38446879997196</v>
      </c>
      <c r="FO58" s="30"/>
      <c r="FP58" s="102">
        <f>SUM(FP55:FP57)+FP54+FP53</f>
        <v>917.4482140305679</v>
      </c>
      <c r="FQ58" s="102">
        <f>SUM(FQ55:FQ57)+FQ54+FQ53</f>
        <v>931.48103209671319</v>
      </c>
      <c r="FR58" s="102">
        <f>SUM(FR55:FR57)+FR54+FR53</f>
        <v>946.27509062120885</v>
      </c>
      <c r="FS58" s="102">
        <f>SUM(FS55:FS57)+FS54+FS53</f>
        <v>961.55013300705741</v>
      </c>
      <c r="FT58" s="102">
        <f>SUM(FT55:FT57)+FT54+FT53</f>
        <v>961.55013300705741</v>
      </c>
      <c r="FU58" s="30"/>
      <c r="FV58" s="102">
        <f>SUM(FV55:FV57)+FV54+FV53</f>
        <v>975.5021541950174</v>
      </c>
      <c r="FW58" s="102">
        <f>SUM(FW55:FW57)+FW54+FW53</f>
        <v>990.74390131817268</v>
      </c>
      <c r="FX58" s="102">
        <f>SUM(FX55:FX57)+FX54+FX53</f>
        <v>1006.8684347390134</v>
      </c>
      <c r="FY58" s="102">
        <f>SUM(FY55:FY57)+FY54+FY53</f>
        <v>1023.5389546872777</v>
      </c>
      <c r="FZ58" s="102">
        <f>SUM(FZ55:FZ57)+FZ54+FZ53</f>
        <v>1023.5389546872777</v>
      </c>
      <c r="GA58" s="30"/>
      <c r="GB58" s="102">
        <f>SUM(GB55:GB57)+GB54+GB53</f>
        <v>1043.621096565814</v>
      </c>
      <c r="GC58" s="102">
        <f>SUM(GC55:GC57)+GC54+GC53</f>
        <v>1065.2156346639301</v>
      </c>
      <c r="GD58" s="102">
        <f>SUM(GD55:GD57)+GD54+GD53</f>
        <v>1088.0213642706706</v>
      </c>
      <c r="GE58" s="102">
        <f>SUM(GE55:GE57)+GE54+GE53</f>
        <v>1111.5820160481308</v>
      </c>
      <c r="GF58" s="102">
        <f>SUM(GF55:GF57)+GF54+GF53</f>
        <v>1111.5820160481308</v>
      </c>
      <c r="GG58" s="30"/>
      <c r="GH58" s="102">
        <f>SUM(GH55:GH57)+GH54+GH53</f>
        <v>1138.4710121824041</v>
      </c>
      <c r="GI58" s="102">
        <f>SUM(GI55:GI57)+GI54+GI53</f>
        <v>1167.3124844052743</v>
      </c>
      <c r="GJ58" s="102">
        <f>SUM(GJ55:GJ57)+GJ54+GJ53</f>
        <v>1197.7319658797803</v>
      </c>
      <c r="GK58" s="102">
        <f>SUM(GK55:GK57)+GK54+GK53</f>
        <v>1230.8643873396272</v>
      </c>
      <c r="GL58" s="102">
        <f>SUM(GL55:GL57)+GL54+GL53</f>
        <v>1230.8643873396272</v>
      </c>
      <c r="GM58" s="30"/>
      <c r="GN58" s="102">
        <f>SUM(GN55:GN57)+GN54+GN53</f>
        <v>1266.8447189122378</v>
      </c>
      <c r="GO58" s="102">
        <f>SUM(GO55:GO57)+GO54+GO53</f>
        <v>1305.2796047927277</v>
      </c>
      <c r="GP58" s="102">
        <f>SUM(GP55:GP57)+GP54+GP53</f>
        <v>1345.7138544395766</v>
      </c>
      <c r="GQ58" s="102">
        <f>SUM(GQ55:GQ57)+GQ54+GQ53</f>
        <v>1387.4080652637651</v>
      </c>
      <c r="GR58" s="102">
        <f>SUM(GR55:GR57)+GR54+GR53</f>
        <v>1387.4080652637651</v>
      </c>
      <c r="GS58" s="30"/>
      <c r="GT58" s="102">
        <f>SUM(GT55:GT57)+GT54+GT53</f>
        <v>1431.3834089827988</v>
      </c>
      <c r="GU58" s="102">
        <f>SUM(GU55:GU57)+GU54+GU53</f>
        <v>1478.3081882887225</v>
      </c>
      <c r="GV58" s="102">
        <f>SUM(GV55:GV57)+GV54+GV53</f>
        <v>1527.6462450487377</v>
      </c>
      <c r="GW58" s="102">
        <f>SUM(GW55:GW57)+GW54+GW53</f>
        <v>1578.5080451595222</v>
      </c>
      <c r="GX58" s="102">
        <f>SUM(GX55:GX57)+GX54+GX53</f>
        <v>1578.5080451595222</v>
      </c>
      <c r="GY58" s="30"/>
      <c r="GZ58" s="102">
        <f>SUM(GZ55:GZ57)+GZ54+GZ53</f>
        <v>1631.5605069324249</v>
      </c>
      <c r="HA58" s="102">
        <f>SUM(HA55:HA57)+HA54+HA53</f>
        <v>1688.1193079243524</v>
      </c>
      <c r="HB58" s="102">
        <f>SUM(HB55:HB57)+HB54+HB53</f>
        <v>1747.5580536126949</v>
      </c>
      <c r="HC58" s="102">
        <f>SUM(HC55:HC57)+HC54+HC53</f>
        <v>1808.8183863337792</v>
      </c>
      <c r="HD58" s="102">
        <f>SUM(HD55:HD57)+HD54+HD53</f>
        <v>1808.8183863337792</v>
      </c>
      <c r="HF58" s="102">
        <f>SUM(HF55:HF57)+HF54+HF53</f>
        <v>1871.7745147728799</v>
      </c>
      <c r="HG58" s="102">
        <f>SUM(HG55:HG57)+HG54+HG53</f>
        <v>1938.8361780506098</v>
      </c>
      <c r="HH58" s="102">
        <f>SUM(HH55:HH57)+HH54+HH53</f>
        <v>2009.2805931978203</v>
      </c>
      <c r="HI58" s="102">
        <f>SUM(HI55:HI57)+HI54+HI53</f>
        <v>2081.867973426969</v>
      </c>
      <c r="HJ58" s="102">
        <f>SUM(HJ55:HJ57)+HJ54+HJ53</f>
        <v>2081.867973426969</v>
      </c>
    </row>
    <row r="59" spans="1:218">
      <c r="A59" s="30"/>
      <c r="B59" s="30" t="s">
        <v>65</v>
      </c>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118"/>
      <c r="BT59" s="30"/>
      <c r="BU59" s="30"/>
      <c r="BV59" s="30"/>
      <c r="BW59" s="30"/>
      <c r="BX59" s="118"/>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102">
        <v>0</v>
      </c>
      <c r="DI59" s="102">
        <v>0</v>
      </c>
      <c r="DJ59" s="102">
        <v>0</v>
      </c>
      <c r="DK59" s="102">
        <v>0</v>
      </c>
      <c r="DL59" s="102">
        <f>DK59</f>
        <v>0</v>
      </c>
      <c r="DM59" s="102"/>
      <c r="DN59" s="102">
        <v>0</v>
      </c>
      <c r="DO59" s="102">
        <v>0</v>
      </c>
      <c r="DP59" s="102">
        <v>0</v>
      </c>
      <c r="DQ59" s="102">
        <v>0</v>
      </c>
      <c r="DR59" s="102">
        <f>DQ59</f>
        <v>0</v>
      </c>
      <c r="DS59" s="102"/>
      <c r="DT59" s="102">
        <v>0</v>
      </c>
      <c r="DU59" s="102">
        <v>0</v>
      </c>
      <c r="DV59" s="102">
        <v>0</v>
      </c>
      <c r="DW59" s="102">
        <v>0</v>
      </c>
      <c r="DX59" s="102">
        <f>DW59</f>
        <v>0</v>
      </c>
      <c r="DY59" s="102"/>
      <c r="DZ59" s="102">
        <v>0</v>
      </c>
      <c r="EA59" s="102">
        <v>0</v>
      </c>
      <c r="EB59" s="102">
        <v>0</v>
      </c>
      <c r="EC59" s="102">
        <v>0</v>
      </c>
      <c r="ED59" s="102">
        <f>EC59</f>
        <v>0</v>
      </c>
      <c r="EE59" s="102"/>
      <c r="EF59" s="102">
        <v>0</v>
      </c>
      <c r="EG59" s="102">
        <v>0</v>
      </c>
      <c r="EH59" s="102">
        <v>0</v>
      </c>
      <c r="EI59" s="102">
        <v>0</v>
      </c>
      <c r="EJ59" s="102">
        <f>EI59</f>
        <v>0</v>
      </c>
      <c r="EK59" s="102"/>
      <c r="EL59" s="102">
        <v>0</v>
      </c>
      <c r="EM59" s="102">
        <v>0</v>
      </c>
      <c r="EN59" s="102">
        <v>0</v>
      </c>
      <c r="EO59" s="102">
        <v>0</v>
      </c>
      <c r="EP59" s="102">
        <f>EO59</f>
        <v>0</v>
      </c>
      <c r="EQ59" s="102"/>
      <c r="ER59" s="102">
        <v>0</v>
      </c>
      <c r="ES59" s="102">
        <v>0</v>
      </c>
      <c r="ET59" s="102">
        <v>0</v>
      </c>
      <c r="EU59" s="102">
        <v>0</v>
      </c>
      <c r="EV59" s="102">
        <v>0</v>
      </c>
      <c r="EW59" s="30"/>
      <c r="EX59" s="102">
        <v>0</v>
      </c>
      <c r="EY59" s="102">
        <v>0</v>
      </c>
      <c r="EZ59" s="102">
        <v>0</v>
      </c>
      <c r="FA59" s="102">
        <f>EZ59</f>
        <v>0</v>
      </c>
      <c r="FB59" s="543">
        <f>FA59</f>
        <v>0</v>
      </c>
      <c r="FC59" s="30"/>
      <c r="FD59" s="543">
        <f>FA59</f>
        <v>0</v>
      </c>
      <c r="FE59" s="102">
        <f>FD59</f>
        <v>0</v>
      </c>
      <c r="FF59" s="102">
        <f>FE59</f>
        <v>0</v>
      </c>
      <c r="FG59" s="102">
        <f>FF59</f>
        <v>0</v>
      </c>
      <c r="FH59" s="102">
        <f>FG59</f>
        <v>0</v>
      </c>
      <c r="FI59" s="30"/>
      <c r="FJ59" s="102">
        <f>FG59</f>
        <v>0</v>
      </c>
      <c r="FK59" s="102">
        <f>FJ59</f>
        <v>0</v>
      </c>
      <c r="FL59" s="102">
        <f>FK59</f>
        <v>0</v>
      </c>
      <c r="FM59" s="102">
        <f>FL59</f>
        <v>0</v>
      </c>
      <c r="FN59" s="102">
        <f>FM59</f>
        <v>0</v>
      </c>
      <c r="FO59" s="30"/>
      <c r="FP59" s="102">
        <f>FM59</f>
        <v>0</v>
      </c>
      <c r="FQ59" s="102">
        <f>FP59</f>
        <v>0</v>
      </c>
      <c r="FR59" s="102">
        <f>FQ59</f>
        <v>0</v>
      </c>
      <c r="FS59" s="102">
        <f>FR59</f>
        <v>0</v>
      </c>
      <c r="FT59" s="102">
        <f>FS59</f>
        <v>0</v>
      </c>
      <c r="FU59" s="30"/>
      <c r="FV59" s="102">
        <f>FS59</f>
        <v>0</v>
      </c>
      <c r="FW59" s="102">
        <f>FV59</f>
        <v>0</v>
      </c>
      <c r="FX59" s="102">
        <f>FW59</f>
        <v>0</v>
      </c>
      <c r="FY59" s="102">
        <f>FX59</f>
        <v>0</v>
      </c>
      <c r="FZ59" s="102">
        <f>FY59</f>
        <v>0</v>
      </c>
      <c r="GA59" s="30"/>
      <c r="GB59" s="102">
        <f>FY59</f>
        <v>0</v>
      </c>
      <c r="GC59" s="102">
        <f>GB59</f>
        <v>0</v>
      </c>
      <c r="GD59" s="102">
        <f>GC59</f>
        <v>0</v>
      </c>
      <c r="GE59" s="102">
        <f>GD59</f>
        <v>0</v>
      </c>
      <c r="GF59" s="102">
        <f>GE59</f>
        <v>0</v>
      </c>
      <c r="GG59" s="30"/>
      <c r="GH59" s="102">
        <f>GE59</f>
        <v>0</v>
      </c>
      <c r="GI59" s="102">
        <f>GH59</f>
        <v>0</v>
      </c>
      <c r="GJ59" s="102">
        <f>GI59</f>
        <v>0</v>
      </c>
      <c r="GK59" s="102">
        <f>GJ59</f>
        <v>0</v>
      </c>
      <c r="GL59" s="102">
        <f>GK59</f>
        <v>0</v>
      </c>
      <c r="GM59" s="30"/>
      <c r="GN59" s="102">
        <f>GK59</f>
        <v>0</v>
      </c>
      <c r="GO59" s="102">
        <f>GN59</f>
        <v>0</v>
      </c>
      <c r="GP59" s="102">
        <f>GO59</f>
        <v>0</v>
      </c>
      <c r="GQ59" s="102">
        <f>GP59</f>
        <v>0</v>
      </c>
      <c r="GR59" s="102">
        <f>GQ59</f>
        <v>0</v>
      </c>
      <c r="GS59" s="30"/>
      <c r="GT59" s="102">
        <f>GQ59</f>
        <v>0</v>
      </c>
      <c r="GU59" s="102">
        <f>GT59</f>
        <v>0</v>
      </c>
      <c r="GV59" s="102">
        <f>GU59</f>
        <v>0</v>
      </c>
      <c r="GW59" s="102">
        <f>GV59</f>
        <v>0</v>
      </c>
      <c r="GX59" s="102">
        <f>GW59</f>
        <v>0</v>
      </c>
      <c r="GY59" s="30"/>
      <c r="GZ59" s="102">
        <f>GW59</f>
        <v>0</v>
      </c>
      <c r="HA59" s="102">
        <f>GZ59</f>
        <v>0</v>
      </c>
      <c r="HB59" s="102">
        <f>HA59</f>
        <v>0</v>
      </c>
      <c r="HC59" s="102">
        <f>HB59</f>
        <v>0</v>
      </c>
      <c r="HD59" s="102">
        <f>HC59</f>
        <v>0</v>
      </c>
      <c r="HF59" s="102">
        <f>HC59</f>
        <v>0</v>
      </c>
      <c r="HG59" s="102">
        <f>HF59</f>
        <v>0</v>
      </c>
      <c r="HH59" s="102">
        <f>HG59</f>
        <v>0</v>
      </c>
      <c r="HI59" s="102">
        <f>HH59</f>
        <v>0</v>
      </c>
      <c r="HJ59" s="102">
        <f>HI59</f>
        <v>0</v>
      </c>
    </row>
    <row r="60" spans="1:218">
      <c r="A60" s="30" t="s">
        <v>66</v>
      </c>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118"/>
      <c r="BT60" s="30"/>
      <c r="BU60" s="30"/>
      <c r="BV60" s="30"/>
      <c r="BW60" s="30"/>
      <c r="BX60" s="118"/>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102">
        <f>DH58+DH59</f>
        <v>208.01599999999996</v>
      </c>
      <c r="DI60" s="102">
        <f>DI58+DI59</f>
        <v>164.20899999999997</v>
      </c>
      <c r="DJ60" s="102">
        <f>DJ58+DJ59</f>
        <v>303.55900000000003</v>
      </c>
      <c r="DK60" s="102">
        <f>DK58+DK59</f>
        <v>320.44299999999998</v>
      </c>
      <c r="DL60" s="102">
        <f>DL58+DL59</f>
        <v>320.44299999999998</v>
      </c>
      <c r="DM60" s="102"/>
      <c r="DN60" s="102">
        <f>DN58+DN59</f>
        <v>323.84800000000001</v>
      </c>
      <c r="DO60" s="102">
        <f>DO58+DO59</f>
        <v>489.73399999999998</v>
      </c>
      <c r="DP60" s="102">
        <f>DP58+DP59</f>
        <v>497.00700000000001</v>
      </c>
      <c r="DQ60" s="102">
        <f>DQ58+DQ59</f>
        <v>507.40800000000007</v>
      </c>
      <c r="DR60" s="102">
        <f>DR58+DR59</f>
        <v>507.40800000000007</v>
      </c>
      <c r="DS60" s="102"/>
      <c r="DT60" s="102">
        <f>DT58+DT59</f>
        <v>505.04300000000001</v>
      </c>
      <c r="DU60" s="102">
        <f>DU58+DU59</f>
        <v>654.22900000000004</v>
      </c>
      <c r="DV60" s="102">
        <f>DV58+DV59</f>
        <v>666.36300000000006</v>
      </c>
      <c r="DW60" s="102">
        <f>DW58+DW59</f>
        <v>694.29399999999998</v>
      </c>
      <c r="DX60" s="102">
        <f>DX58+DX59</f>
        <v>694.29399999999998</v>
      </c>
      <c r="DY60" s="102"/>
      <c r="DZ60" s="102">
        <f>DZ58+DZ59</f>
        <v>843.71400000000006</v>
      </c>
      <c r="EA60" s="102">
        <f>EA58+EA59</f>
        <v>1148.3579999999999</v>
      </c>
      <c r="EB60" s="102">
        <f>EB58+EB59</f>
        <v>1137.2449999999999</v>
      </c>
      <c r="EC60" s="102">
        <f>EC58+EC59</f>
        <v>1108.277</v>
      </c>
      <c r="ED60" s="102">
        <f>ED58+ED59</f>
        <v>1108.277</v>
      </c>
      <c r="EE60" s="102"/>
      <c r="EF60" s="102">
        <f>EF58+EF59</f>
        <v>1075.0039999999999</v>
      </c>
      <c r="EG60" s="102">
        <f>EG58+EG59</f>
        <v>1043.519</v>
      </c>
      <c r="EH60" s="102">
        <f>EH58+EH59</f>
        <v>1012.9879999999999</v>
      </c>
      <c r="EI60" s="102">
        <f>EI58+EI59</f>
        <v>998.02300000000002</v>
      </c>
      <c r="EJ60" s="102">
        <f>EJ58+EJ59</f>
        <v>998.02300000000002</v>
      </c>
      <c r="EK60" s="102"/>
      <c r="EL60" s="102">
        <f>EL58+EL59</f>
        <v>974.46199999999988</v>
      </c>
      <c r="EM60" s="102">
        <f>EM58+EM59</f>
        <v>956.19199999999989</v>
      </c>
      <c r="EN60" s="102">
        <f>EN58+EN59</f>
        <v>947.42799999999988</v>
      </c>
      <c r="EO60" s="102">
        <f>EO58+EO59</f>
        <v>941.53699999999981</v>
      </c>
      <c r="EP60" s="102">
        <f>EP58+EP59</f>
        <v>941.53699999999981</v>
      </c>
      <c r="EQ60" s="102"/>
      <c r="ER60" s="102">
        <f>ER58+ER59</f>
        <v>923.41</v>
      </c>
      <c r="ES60" s="102">
        <f>ES58+ES59</f>
        <v>915.8839999999999</v>
      </c>
      <c r="ET60" s="102">
        <f>ET58+ET59</f>
        <v>908.21</v>
      </c>
      <c r="EU60" s="102">
        <f>EU58+EU59</f>
        <v>902.33900000000017</v>
      </c>
      <c r="EV60" s="102">
        <f>EV58+EV59</f>
        <v>902.33900000000017</v>
      </c>
      <c r="EW60" s="30"/>
      <c r="EX60" s="421">
        <f>EX58+EX59</f>
        <v>888.26200000000006</v>
      </c>
      <c r="EY60" s="102">
        <f>EY58+EY59</f>
        <v>854.04000000000008</v>
      </c>
      <c r="EZ60" s="102">
        <f>EZ58+EZ59</f>
        <v>838.29000000000019</v>
      </c>
      <c r="FA60" s="102">
        <f>FA58+FA59</f>
        <v>846.35600000000011</v>
      </c>
      <c r="FB60" s="543">
        <f>FB58+FB59</f>
        <v>846.35600000000011</v>
      </c>
      <c r="FC60" s="30"/>
      <c r="FD60" s="544">
        <f>FD58+FD59</f>
        <v>846.2711416552246</v>
      </c>
      <c r="FE60" s="102">
        <f>FE58+FE59</f>
        <v>849.00215573344383</v>
      </c>
      <c r="FF60" s="102">
        <f>FF58+FF59</f>
        <v>856.54429844577339</v>
      </c>
      <c r="FG60" s="102">
        <f>FG58+FG59</f>
        <v>866.29104582802177</v>
      </c>
      <c r="FH60" s="102">
        <f>FH58+FH59</f>
        <v>866.29104582802177</v>
      </c>
      <c r="FI60" s="30"/>
      <c r="FJ60" s="421">
        <f>FJ58+FJ59</f>
        <v>875.5875955822944</v>
      </c>
      <c r="FK60" s="102">
        <f>FK58+FK59</f>
        <v>885.49650984352684</v>
      </c>
      <c r="FL60" s="102">
        <f>FL58+FL59</f>
        <v>895.87101906255339</v>
      </c>
      <c r="FM60" s="102">
        <f>FM58+FM59</f>
        <v>904.38446879997196</v>
      </c>
      <c r="FN60" s="102">
        <f>FN58+FN59</f>
        <v>904.38446879997196</v>
      </c>
      <c r="FO60" s="30"/>
      <c r="FP60" s="421">
        <f>FP58+FP59</f>
        <v>917.4482140305679</v>
      </c>
      <c r="FQ60" s="102">
        <f>FQ58+FQ59</f>
        <v>931.48103209671319</v>
      </c>
      <c r="FR60" s="102">
        <f>FR58+FR59</f>
        <v>946.27509062120885</v>
      </c>
      <c r="FS60" s="102">
        <f>FS58+FS59</f>
        <v>961.55013300705741</v>
      </c>
      <c r="FT60" s="102">
        <f>FT58+FT59</f>
        <v>961.55013300705741</v>
      </c>
      <c r="FU60" s="30"/>
      <c r="FV60" s="421">
        <f>FV58+FV59</f>
        <v>975.5021541950174</v>
      </c>
      <c r="FW60" s="102">
        <f>FW58+FW59</f>
        <v>990.74390131817268</v>
      </c>
      <c r="FX60" s="102">
        <f>FX58+FX59</f>
        <v>1006.8684347390134</v>
      </c>
      <c r="FY60" s="102">
        <f>FY58+FY59</f>
        <v>1023.5389546872777</v>
      </c>
      <c r="FZ60" s="102">
        <f>FZ58+FZ59</f>
        <v>1023.5389546872777</v>
      </c>
      <c r="GA60" s="30"/>
      <c r="GB60" s="421">
        <f>GB58+GB59</f>
        <v>1043.621096565814</v>
      </c>
      <c r="GC60" s="102">
        <f>GC58+GC59</f>
        <v>1065.2156346639301</v>
      </c>
      <c r="GD60" s="102">
        <f>GD58+GD59</f>
        <v>1088.0213642706706</v>
      </c>
      <c r="GE60" s="102">
        <f>GE58+GE59</f>
        <v>1111.5820160481308</v>
      </c>
      <c r="GF60" s="102">
        <f>GF58+GF59</f>
        <v>1111.5820160481308</v>
      </c>
      <c r="GG60" s="30"/>
      <c r="GH60" s="421">
        <f>GH58+GH59</f>
        <v>1138.4710121824041</v>
      </c>
      <c r="GI60" s="102">
        <f>GI58+GI59</f>
        <v>1167.3124844052743</v>
      </c>
      <c r="GJ60" s="102">
        <f>GJ58+GJ59</f>
        <v>1197.7319658797803</v>
      </c>
      <c r="GK60" s="102">
        <f>GK58+GK59</f>
        <v>1230.8643873396272</v>
      </c>
      <c r="GL60" s="102">
        <f>GL58+GL59</f>
        <v>1230.8643873396272</v>
      </c>
      <c r="GM60" s="30"/>
      <c r="GN60" s="421">
        <f>GN58+GN59</f>
        <v>1266.8447189122378</v>
      </c>
      <c r="GO60" s="102">
        <f>GO58+GO59</f>
        <v>1305.2796047927277</v>
      </c>
      <c r="GP60" s="102">
        <f>GP58+GP59</f>
        <v>1345.7138544395766</v>
      </c>
      <c r="GQ60" s="102">
        <f>GQ58+GQ59</f>
        <v>1387.4080652637651</v>
      </c>
      <c r="GR60" s="102">
        <f>GR58+GR59</f>
        <v>1387.4080652637651</v>
      </c>
      <c r="GS60" s="30"/>
      <c r="GT60" s="421">
        <f>GT58+GT59</f>
        <v>1431.3834089827988</v>
      </c>
      <c r="GU60" s="102">
        <f>GU58+GU59</f>
        <v>1478.3081882887225</v>
      </c>
      <c r="GV60" s="102">
        <f>GV58+GV59</f>
        <v>1527.6462450487377</v>
      </c>
      <c r="GW60" s="102">
        <f>GW58+GW59</f>
        <v>1578.5080451595222</v>
      </c>
      <c r="GX60" s="102">
        <f>GX58+GX59</f>
        <v>1578.5080451595222</v>
      </c>
      <c r="GY60" s="30"/>
      <c r="GZ60" s="421">
        <f>GZ58+GZ59</f>
        <v>1631.5605069324249</v>
      </c>
      <c r="HA60" s="102">
        <f>HA58+HA59</f>
        <v>1688.1193079243524</v>
      </c>
      <c r="HB60" s="102">
        <f>HB58+HB59</f>
        <v>1747.5580536126949</v>
      </c>
      <c r="HC60" s="102">
        <f>HC58+HC59</f>
        <v>1808.8183863337792</v>
      </c>
      <c r="HD60" s="102">
        <f>HD58+HD59</f>
        <v>1808.8183863337792</v>
      </c>
      <c r="HF60" s="421">
        <f>HF58+HF59</f>
        <v>1871.7745147728799</v>
      </c>
      <c r="HG60" s="102">
        <f>HG58+HG59</f>
        <v>1938.8361780506098</v>
      </c>
      <c r="HH60" s="102">
        <f>HH58+HH59</f>
        <v>2009.2805931978203</v>
      </c>
      <c r="HI60" s="102">
        <f>HI58+HI59</f>
        <v>2081.867973426969</v>
      </c>
      <c r="HJ60" s="102">
        <f>HJ58+HJ59</f>
        <v>2081.867973426969</v>
      </c>
    </row>
    <row r="61" spans="1:218" ht="9.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118"/>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102"/>
      <c r="DI61" s="102"/>
      <c r="DJ61" s="102"/>
      <c r="DK61" s="102"/>
      <c r="DL61" s="102"/>
      <c r="DM61" s="102"/>
      <c r="DN61" s="102"/>
      <c r="DO61" s="102"/>
      <c r="DP61" s="102"/>
      <c r="DQ61" s="102"/>
      <c r="DR61" s="102"/>
      <c r="DS61" s="102"/>
      <c r="DT61" s="102"/>
      <c r="DU61" s="102"/>
      <c r="DV61" s="102"/>
      <c r="DW61" s="102"/>
      <c r="DX61" s="102"/>
      <c r="DY61" s="102"/>
      <c r="DZ61" s="102"/>
      <c r="EA61" s="102"/>
      <c r="EB61" s="102"/>
      <c r="EC61" s="102"/>
      <c r="ED61" s="102"/>
      <c r="EE61" s="102"/>
      <c r="EF61" s="102"/>
      <c r="EG61" s="102"/>
      <c r="EH61" s="102"/>
      <c r="EI61" s="102"/>
      <c r="EJ61" s="102"/>
      <c r="EK61" s="102"/>
      <c r="EL61" s="102"/>
      <c r="EM61" s="102"/>
      <c r="EN61" s="102"/>
      <c r="EO61" s="102"/>
      <c r="EP61" s="102"/>
      <c r="EQ61" s="102"/>
      <c r="ER61" s="102"/>
      <c r="ES61" s="102"/>
      <c r="ET61" s="102"/>
      <c r="EU61" s="102"/>
      <c r="EV61" s="102"/>
      <c r="EW61" s="30"/>
      <c r="EX61" s="102"/>
      <c r="EY61" s="102"/>
      <c r="EZ61" s="102"/>
      <c r="FA61" s="102"/>
      <c r="FB61" s="543"/>
      <c r="FC61" s="30"/>
      <c r="FD61" s="543"/>
      <c r="FE61" s="102"/>
      <c r="FF61" s="102"/>
      <c r="FG61" s="102"/>
      <c r="FH61" s="102"/>
      <c r="FI61" s="30"/>
      <c r="FJ61" s="102"/>
      <c r="FK61" s="102"/>
      <c r="FL61" s="102"/>
      <c r="FM61" s="102"/>
      <c r="FN61" s="102"/>
      <c r="FO61" s="30"/>
      <c r="FP61" s="102"/>
      <c r="FQ61" s="102"/>
      <c r="FR61" s="102"/>
      <c r="FS61" s="102"/>
      <c r="FT61" s="102"/>
      <c r="FU61" s="30"/>
      <c r="FV61" s="102"/>
      <c r="FW61" s="102"/>
      <c r="FX61" s="102"/>
      <c r="FY61" s="102"/>
      <c r="FZ61" s="102"/>
      <c r="GA61" s="30"/>
      <c r="GB61" s="102"/>
      <c r="GC61" s="102"/>
      <c r="GD61" s="102"/>
      <c r="GE61" s="102"/>
      <c r="GF61" s="102"/>
      <c r="GG61" s="30"/>
      <c r="GH61" s="102"/>
      <c r="GI61" s="102"/>
      <c r="GJ61" s="102"/>
      <c r="GK61" s="102"/>
      <c r="GL61" s="102"/>
      <c r="GM61" s="30"/>
      <c r="GN61" s="102"/>
      <c r="GO61" s="102"/>
      <c r="GP61" s="102"/>
      <c r="GQ61" s="102"/>
      <c r="GR61" s="102"/>
      <c r="GS61" s="30"/>
      <c r="GT61" s="102"/>
      <c r="GU61" s="102"/>
      <c r="GV61" s="102"/>
      <c r="GW61" s="102"/>
      <c r="GX61" s="102"/>
      <c r="GY61" s="30"/>
      <c r="GZ61" s="102"/>
      <c r="HA61" s="102"/>
      <c r="HB61" s="102"/>
      <c r="HC61" s="102"/>
      <c r="HD61" s="102"/>
      <c r="HF61" s="102"/>
      <c r="HG61" s="102"/>
      <c r="HH61" s="102"/>
      <c r="HI61" s="102"/>
      <c r="HJ61" s="102"/>
    </row>
    <row r="62" spans="1:218" s="531" customFormat="1">
      <c r="A62" s="29" t="s">
        <v>67</v>
      </c>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475"/>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29"/>
      <c r="DG62" s="29"/>
      <c r="DH62" s="821">
        <f>DH51+DH60</f>
        <v>349.27199999999993</v>
      </c>
      <c r="DI62" s="821">
        <f>DI51+DI60</f>
        <v>345.78300000000002</v>
      </c>
      <c r="DJ62" s="821">
        <f>DJ51+DJ60</f>
        <v>455.13900000000001</v>
      </c>
      <c r="DK62" s="821">
        <f>DK51+DK60</f>
        <v>505.01499999999999</v>
      </c>
      <c r="DL62" s="821">
        <f>DL51+DL60</f>
        <v>505.01499999999999</v>
      </c>
      <c r="DM62" s="821"/>
      <c r="DN62" s="821">
        <f>DN51+DN60</f>
        <v>533.34300000000007</v>
      </c>
      <c r="DO62" s="821">
        <f>DO51+DO60</f>
        <v>696.66700000000003</v>
      </c>
      <c r="DP62" s="821">
        <f>DP51+DP60</f>
        <v>711.15499999999997</v>
      </c>
      <c r="DQ62" s="821">
        <f>DQ51+DQ60</f>
        <v>709.50600000000009</v>
      </c>
      <c r="DR62" s="821">
        <f>DR51+DR60</f>
        <v>709.50600000000009</v>
      </c>
      <c r="DS62" s="821"/>
      <c r="DT62" s="821">
        <f>DT51+DT60</f>
        <v>732.24700000000007</v>
      </c>
      <c r="DU62" s="821">
        <f>DU51+DU60</f>
        <v>945.48500000000013</v>
      </c>
      <c r="DV62" s="821">
        <f>DV51+DV60</f>
        <v>959.42800000000011</v>
      </c>
      <c r="DW62" s="821">
        <f>DW51+DW60</f>
        <v>988.33100000000002</v>
      </c>
      <c r="DX62" s="821">
        <f>DX51+DX60</f>
        <v>988.33100000000002</v>
      </c>
      <c r="DY62" s="821"/>
      <c r="DZ62" s="821">
        <f>DZ51+DZ60</f>
        <v>1494.413</v>
      </c>
      <c r="EA62" s="821">
        <f>EA51+EA60</f>
        <v>1896.3109999999999</v>
      </c>
      <c r="EB62" s="821">
        <f>EB51+EB60</f>
        <v>1906.3869999999999</v>
      </c>
      <c r="EC62" s="821">
        <f>EC51+EC60</f>
        <v>1869.778</v>
      </c>
      <c r="ED62" s="821">
        <f>ED51+ED60</f>
        <v>1869.778</v>
      </c>
      <c r="EE62" s="821"/>
      <c r="EF62" s="821">
        <f>EF51+EF60</f>
        <v>1829.5469999999998</v>
      </c>
      <c r="EG62" s="821">
        <f>EG51+EG60</f>
        <v>1792.1129999999998</v>
      </c>
      <c r="EH62" s="821">
        <f>EH51+EH60</f>
        <v>1755.5819999999999</v>
      </c>
      <c r="EI62" s="821">
        <f>EI51+EI60</f>
        <v>1740.0340000000001</v>
      </c>
      <c r="EJ62" s="821">
        <f>EJ51+EJ60</f>
        <v>1740.0340000000001</v>
      </c>
      <c r="EK62" s="821"/>
      <c r="EL62" s="821">
        <f>EL51+EL60</f>
        <v>1709.174</v>
      </c>
      <c r="EM62" s="821">
        <f>EM51+EM60</f>
        <v>1695.1079999999997</v>
      </c>
      <c r="EN62" s="821">
        <f>EN51+EN60</f>
        <v>1678.241</v>
      </c>
      <c r="EO62" s="821">
        <f>EO51+EO60</f>
        <v>1681.2289999999998</v>
      </c>
      <c r="EP62" s="821">
        <f>EP51+EP60</f>
        <v>1681.2289999999998</v>
      </c>
      <c r="EQ62" s="821"/>
      <c r="ER62" s="821">
        <f>ER51+ER60</f>
        <v>1640.3389999999999</v>
      </c>
      <c r="ES62" s="821">
        <f>ES51+ES58</f>
        <v>1643.277</v>
      </c>
      <c r="ET62" s="821">
        <f>ET51+ET58</f>
        <v>1641.1110000000001</v>
      </c>
      <c r="EU62" s="821">
        <f>EU51+EU58</f>
        <v>1638.038</v>
      </c>
      <c r="EV62" s="821">
        <f>EU62</f>
        <v>1638.038</v>
      </c>
      <c r="EW62" s="29"/>
      <c r="EX62" s="821">
        <f>EX51+EX58</f>
        <v>1601.423</v>
      </c>
      <c r="EY62" s="821">
        <f>EY51+EY58</f>
        <v>1393.9500000000003</v>
      </c>
      <c r="EZ62" s="821">
        <f>EZ51+EZ58</f>
        <v>1374.7800000000002</v>
      </c>
      <c r="FA62" s="821">
        <f>FA51+FA58</f>
        <v>1381.0493087903606</v>
      </c>
      <c r="FB62" s="822">
        <f>FA62</f>
        <v>1381.0493087903606</v>
      </c>
      <c r="FC62" s="29"/>
      <c r="FD62" s="822">
        <f>FD51+FD58</f>
        <v>1383.2388620441434</v>
      </c>
      <c r="FE62" s="821">
        <f>FE51+FE58</f>
        <v>1388.0058295292356</v>
      </c>
      <c r="FF62" s="821">
        <f>FF51+FF58</f>
        <v>1397.9734149160161</v>
      </c>
      <c r="FG62" s="821">
        <f>FG51+FG58</f>
        <v>1410.5253233893509</v>
      </c>
      <c r="FH62" s="821">
        <f>FG62</f>
        <v>1410.5253233893509</v>
      </c>
      <c r="FI62" s="29"/>
      <c r="FJ62" s="821">
        <f>FJ51+FJ58</f>
        <v>1423.4895096568057</v>
      </c>
      <c r="FK62" s="821">
        <f>FK51+FK58</f>
        <v>1435.8992346628011</v>
      </c>
      <c r="FL62" s="821">
        <f>FL51+FL58</f>
        <v>1448.873990900895</v>
      </c>
      <c r="FM62" s="821">
        <f>FM51+FM58</f>
        <v>1805.1806761917796</v>
      </c>
      <c r="FN62" s="821">
        <f>FM62</f>
        <v>1805.1806761917796</v>
      </c>
      <c r="FO62" s="29"/>
      <c r="FP62" s="821">
        <f>FP51+FP58</f>
        <v>1822.1275228783898</v>
      </c>
      <c r="FQ62" s="821">
        <f>FQ51+FQ58</f>
        <v>1838.9555415536322</v>
      </c>
      <c r="FR62" s="821">
        <f>FR51+FR58</f>
        <v>1856.6656517311255</v>
      </c>
      <c r="FS62" s="821">
        <f>FS51+FS58</f>
        <v>1529.6511068206964</v>
      </c>
      <c r="FT62" s="821">
        <f>FS62</f>
        <v>1529.6511068206964</v>
      </c>
      <c r="FU62" s="29"/>
      <c r="FV62" s="821">
        <f>FV51+FV58</f>
        <v>1550.0523509404684</v>
      </c>
      <c r="FW62" s="821">
        <f>FW51+FW58</f>
        <v>1567.9369836648621</v>
      </c>
      <c r="FX62" s="821">
        <f>FX51+FX58</f>
        <v>1586.8326380873568</v>
      </c>
      <c r="FY62" s="821">
        <f>FY51+FY58</f>
        <v>1606.3488537577109</v>
      </c>
      <c r="FZ62" s="821">
        <f>FY62</f>
        <v>1606.3488537577109</v>
      </c>
      <c r="GA62" s="29"/>
      <c r="GB62" s="821">
        <f>GB51+GB58</f>
        <v>1633.3460272216814</v>
      </c>
      <c r="GC62" s="821">
        <f>GC51+GC58</f>
        <v>1657.7252806374136</v>
      </c>
      <c r="GD62" s="821">
        <f>GD51+GD58</f>
        <v>1683.4508426790719</v>
      </c>
      <c r="GE62" s="821">
        <f>GE51+GE58</f>
        <v>1710.009903643394</v>
      </c>
      <c r="GF62" s="821">
        <f>GE62</f>
        <v>1710.009903643394</v>
      </c>
      <c r="GG62" s="29"/>
      <c r="GH62" s="821">
        <f>GH51+GH58</f>
        <v>1744.1948691198727</v>
      </c>
      <c r="GI62" s="821">
        <f>GI51+GI58</f>
        <v>1775.866060350952</v>
      </c>
      <c r="GJ62" s="821">
        <f>GJ51+GJ58</f>
        <v>1809.2525615741572</v>
      </c>
      <c r="GK62" s="821">
        <f>GK51+GK58</f>
        <v>1500.4318494108929</v>
      </c>
      <c r="GL62" s="821">
        <f>GK62</f>
        <v>1500.4318494108929</v>
      </c>
      <c r="GM62" s="29"/>
      <c r="GN62" s="821">
        <f>GN51+GN58</f>
        <v>1544.1186604131965</v>
      </c>
      <c r="GO62" s="821">
        <f>GO51+GO58</f>
        <v>1585.4658693754538</v>
      </c>
      <c r="GP62" s="821">
        <f>GP51+GP58</f>
        <v>1628.9537508751932</v>
      </c>
      <c r="GQ62" s="821">
        <f>GQ51+GQ58</f>
        <v>1673.7837710326521</v>
      </c>
      <c r="GR62" s="821">
        <f>GQ62</f>
        <v>1673.7837710326521</v>
      </c>
      <c r="GS62" s="29"/>
      <c r="GT62" s="821">
        <f>GT51+GT58</f>
        <v>1725.8462438190809</v>
      </c>
      <c r="GU62" s="821">
        <f>GU51+GU58</f>
        <v>1775.735391884207</v>
      </c>
      <c r="GV62" s="821">
        <f>GV51+GV58</f>
        <v>1828.1816514818415</v>
      </c>
      <c r="GW62" s="821">
        <f>GW51+GW58</f>
        <v>1882.2353004917259</v>
      </c>
      <c r="GX62" s="821">
        <f>GW62</f>
        <v>1882.2353004917259</v>
      </c>
      <c r="GY62" s="29"/>
      <c r="GZ62" s="821">
        <f>GZ51+GZ58</f>
        <v>1943.7181810022964</v>
      </c>
      <c r="HA62" s="821">
        <f>HA51+HA58</f>
        <v>2003.2585058565251</v>
      </c>
      <c r="HB62" s="821">
        <f>HB51+HB58</f>
        <v>2065.8234418680067</v>
      </c>
      <c r="HC62" s="821">
        <f>HC51+HC58</f>
        <v>2130.2940950419643</v>
      </c>
      <c r="HD62" s="821">
        <f>HC62</f>
        <v>2130.2940950419643</v>
      </c>
      <c r="HF62" s="821">
        <f>HF51+HF58</f>
        <v>2201.9792352631825</v>
      </c>
      <c r="HG62" s="821">
        <f>HG51+HG58</f>
        <v>2272.0007171207112</v>
      </c>
      <c r="HH62" s="821">
        <f>HH51+HH58</f>
        <v>2345.5485641469718</v>
      </c>
      <c r="HI62" s="821">
        <f>HI51+HI58</f>
        <v>2421.3228939235196</v>
      </c>
      <c r="HJ62" s="821">
        <f>HI62</f>
        <v>2421.3228939235196</v>
      </c>
    </row>
    <row r="63" spans="1:218">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c r="EO63" s="102"/>
      <c r="EP63" s="102"/>
      <c r="EQ63" s="102"/>
      <c r="ER63" s="102"/>
      <c r="ES63" s="102"/>
      <c r="ET63" s="102"/>
      <c r="EU63" s="102"/>
      <c r="EV63" s="102"/>
      <c r="EW63" s="30"/>
      <c r="EX63" s="102"/>
      <c r="EY63" s="102"/>
      <c r="EZ63" s="102"/>
      <c r="FA63" s="102"/>
      <c r="FB63" s="543"/>
      <c r="FC63" s="30"/>
      <c r="FD63" s="543"/>
      <c r="FE63" s="102"/>
      <c r="FF63" s="102"/>
      <c r="FG63" s="102"/>
      <c r="FH63" s="102"/>
      <c r="FI63" s="30"/>
      <c r="FJ63" s="102"/>
      <c r="FK63" s="102"/>
      <c r="FL63" s="102"/>
      <c r="FM63" s="102"/>
      <c r="FN63" s="102"/>
      <c r="FO63" s="30"/>
      <c r="FP63" s="102"/>
      <c r="FQ63" s="102"/>
      <c r="FR63" s="102"/>
      <c r="FS63" s="102"/>
      <c r="FT63" s="102"/>
      <c r="FU63" s="30"/>
      <c r="FV63" s="102"/>
      <c r="FW63" s="102"/>
      <c r="FX63" s="102"/>
      <c r="FY63" s="102"/>
      <c r="FZ63" s="102"/>
      <c r="GA63" s="30"/>
      <c r="GB63" s="102"/>
      <c r="GC63" s="102"/>
      <c r="GD63" s="102"/>
      <c r="GE63" s="102"/>
      <c r="GF63" s="102"/>
      <c r="GG63" s="30"/>
      <c r="GH63" s="102"/>
      <c r="GI63" s="102"/>
      <c r="GJ63" s="102"/>
      <c r="GK63" s="102"/>
      <c r="GL63" s="102"/>
      <c r="GM63" s="30"/>
      <c r="GN63" s="102"/>
      <c r="GO63" s="102"/>
      <c r="GP63" s="102"/>
      <c r="GQ63" s="102"/>
      <c r="GR63" s="102"/>
      <c r="GS63" s="30"/>
      <c r="GT63" s="102"/>
      <c r="GU63" s="102"/>
      <c r="GV63" s="102"/>
      <c r="GW63" s="102"/>
      <c r="GX63" s="102"/>
      <c r="GY63" s="30"/>
      <c r="GZ63" s="102"/>
      <c r="HA63" s="102"/>
      <c r="HB63" s="102"/>
      <c r="HC63" s="102"/>
      <c r="HD63" s="102"/>
    </row>
    <row r="64" spans="1:218">
      <c r="A64" s="8" t="str">
        <f>IS!A95</f>
        <v>Source: NeoGenomics and Jefferies LLC estimates.</v>
      </c>
      <c r="DH64" s="102"/>
      <c r="DI64" s="102"/>
      <c r="DJ64" s="102"/>
      <c r="DK64" s="102"/>
      <c r="DL64" s="102"/>
      <c r="DM64" s="102"/>
      <c r="DN64" s="102"/>
      <c r="DO64" s="102"/>
      <c r="DP64" s="102"/>
      <c r="DQ64" s="102"/>
      <c r="DR64" s="102"/>
      <c r="DS64" s="102"/>
      <c r="DT64" s="102"/>
      <c r="DU64" s="102"/>
      <c r="DV64" s="102"/>
      <c r="DW64" s="102"/>
      <c r="DX64" s="102"/>
      <c r="DY64" s="102"/>
      <c r="DZ64" s="102"/>
      <c r="EA64" s="102"/>
      <c r="EB64" s="102"/>
      <c r="EC64" s="102"/>
      <c r="ED64" s="102"/>
      <c r="EE64" s="102"/>
      <c r="EF64" s="102"/>
      <c r="EG64" s="102"/>
      <c r="EH64" s="102"/>
      <c r="EI64" s="102"/>
      <c r="EJ64" s="102"/>
      <c r="EK64" s="102"/>
      <c r="EL64" s="458"/>
      <c r="EM64" s="458"/>
      <c r="EN64" s="458"/>
      <c r="EO64" s="458"/>
      <c r="EP64" s="102"/>
      <c r="EQ64" s="102"/>
      <c r="ER64" s="458"/>
      <c r="ES64" s="102"/>
      <c r="ET64" s="102"/>
      <c r="EU64" s="102"/>
      <c r="EV64" s="102"/>
      <c r="EX64" s="102"/>
      <c r="EY64" s="102"/>
      <c r="EZ64" s="102"/>
      <c r="FA64" s="102"/>
      <c r="FB64" s="543"/>
      <c r="FD64" s="543"/>
      <c r="FE64" s="102"/>
      <c r="FF64" s="102"/>
      <c r="FG64" s="102"/>
      <c r="FH64" s="102"/>
      <c r="FJ64" s="102"/>
      <c r="FK64" s="102"/>
      <c r="FL64" s="102"/>
      <c r="FM64" s="102"/>
      <c r="FN64" s="102"/>
      <c r="FP64" s="102"/>
      <c r="FQ64" s="102"/>
      <c r="FR64" s="102"/>
      <c r="FS64" s="102"/>
      <c r="FT64" s="102"/>
      <c r="FV64" s="102"/>
      <c r="FW64" s="102"/>
      <c r="FX64" s="102"/>
      <c r="FY64" s="102"/>
      <c r="FZ64" s="102"/>
      <c r="GB64" s="102"/>
      <c r="GC64" s="102"/>
      <c r="GD64" s="102"/>
      <c r="GE64" s="102"/>
      <c r="GF64" s="102"/>
      <c r="GH64" s="102"/>
      <c r="GI64" s="102"/>
      <c r="GJ64" s="102"/>
      <c r="GK64" s="102"/>
      <c r="GL64" s="102"/>
      <c r="GN64" s="102"/>
      <c r="GO64" s="102"/>
      <c r="GP64" s="102"/>
      <c r="GQ64" s="102"/>
      <c r="GR64" s="102"/>
      <c r="GT64" s="102"/>
      <c r="GU64" s="102"/>
      <c r="GV64" s="102"/>
      <c r="GW64" s="102"/>
      <c r="GX64" s="102"/>
      <c r="GZ64" s="102"/>
      <c r="HA64" s="102"/>
      <c r="HB64" s="102"/>
      <c r="HC64" s="102"/>
      <c r="HD64" s="102"/>
    </row>
    <row r="65" spans="1:218">
      <c r="A65" s="469" t="s">
        <v>68</v>
      </c>
      <c r="B65" s="469"/>
      <c r="C65" s="469"/>
      <c r="D65" s="469"/>
      <c r="E65" s="469"/>
      <c r="F65" s="469"/>
      <c r="G65" s="469"/>
      <c r="H65" s="469"/>
      <c r="I65" s="469"/>
      <c r="J65" s="469"/>
      <c r="K65" s="469"/>
      <c r="L65" s="469"/>
      <c r="M65" s="469"/>
      <c r="N65" s="469"/>
      <c r="O65" s="469"/>
      <c r="P65" s="469"/>
      <c r="Q65" s="469"/>
      <c r="R65" s="469"/>
      <c r="S65" s="469"/>
      <c r="T65" s="469"/>
      <c r="U65" s="469"/>
      <c r="V65" s="469"/>
      <c r="W65" s="469"/>
      <c r="X65" s="469"/>
      <c r="Y65" s="469"/>
      <c r="Z65" s="469"/>
      <c r="AA65" s="469"/>
      <c r="AB65" s="469"/>
      <c r="AC65" s="469"/>
      <c r="AD65" s="469"/>
      <c r="AE65" s="469"/>
      <c r="AF65" s="469"/>
      <c r="AG65" s="469"/>
      <c r="AH65" s="469"/>
      <c r="AI65" s="469"/>
      <c r="AJ65" s="469"/>
      <c r="AK65" s="469"/>
      <c r="AL65" s="469"/>
      <c r="AM65" s="469"/>
      <c r="AN65" s="469"/>
      <c r="AO65" s="469"/>
      <c r="AP65" s="469"/>
      <c r="AQ65" s="469"/>
      <c r="AR65" s="469"/>
      <c r="AS65" s="469"/>
      <c r="AT65" s="469"/>
      <c r="AU65" s="469"/>
      <c r="AV65" s="469"/>
      <c r="AW65" s="469"/>
      <c r="AX65" s="469"/>
      <c r="AY65" s="469"/>
      <c r="AZ65" s="469"/>
      <c r="BA65" s="469"/>
      <c r="BB65" s="469"/>
      <c r="BC65" s="469"/>
      <c r="BD65" s="469"/>
      <c r="BE65" s="469"/>
      <c r="BF65" s="469"/>
      <c r="BG65" s="469"/>
      <c r="BH65" s="469"/>
      <c r="BI65" s="469"/>
      <c r="BJ65" s="469"/>
      <c r="BK65" s="469"/>
      <c r="BL65" s="469"/>
      <c r="BM65" s="469"/>
      <c r="BN65" s="469"/>
      <c r="BO65" s="469"/>
      <c r="BP65" s="469"/>
      <c r="BQ65" s="469"/>
      <c r="BR65" s="469"/>
      <c r="BS65" s="469"/>
      <c r="BT65" s="469"/>
      <c r="BU65" s="469"/>
      <c r="BV65" s="469"/>
      <c r="BW65" s="469"/>
      <c r="BX65" s="469"/>
      <c r="BY65" s="469"/>
      <c r="BZ65" s="469"/>
      <c r="CA65" s="469"/>
      <c r="CB65" s="469"/>
      <c r="CC65" s="469"/>
      <c r="CD65" s="469"/>
      <c r="CE65" s="469"/>
      <c r="CF65" s="469"/>
      <c r="CG65" s="469"/>
      <c r="CH65" s="469"/>
      <c r="CI65" s="469"/>
      <c r="CJ65" s="469"/>
      <c r="CK65" s="469"/>
      <c r="CL65" s="469"/>
      <c r="CM65" s="469"/>
      <c r="CN65" s="469"/>
      <c r="CO65" s="469"/>
      <c r="CP65" s="469"/>
      <c r="CQ65" s="469"/>
      <c r="CR65" s="469"/>
      <c r="CS65" s="469"/>
      <c r="CT65" s="469"/>
      <c r="CU65" s="469"/>
      <c r="CV65" s="469"/>
      <c r="CW65" s="469"/>
      <c r="CX65" s="469"/>
      <c r="CY65" s="469"/>
      <c r="CZ65" s="469"/>
      <c r="DA65" s="469"/>
      <c r="DB65" s="469"/>
      <c r="DC65" s="469"/>
      <c r="DD65" s="469"/>
      <c r="DE65" s="469"/>
      <c r="DF65" s="469"/>
      <c r="DG65" s="469"/>
      <c r="DH65" s="469">
        <f>DH31-DH62</f>
        <v>0</v>
      </c>
      <c r="DI65" s="469">
        <f>DI31-DI62</f>
        <v>0</v>
      </c>
      <c r="DJ65" s="469">
        <f>DJ31-DJ62</f>
        <v>0</v>
      </c>
      <c r="DK65" s="469">
        <f>DK31-DK62</f>
        <v>0</v>
      </c>
      <c r="DL65" s="469">
        <f>DL31-DL62</f>
        <v>0</v>
      </c>
      <c r="DM65" s="469"/>
      <c r="DN65" s="469">
        <f>DN31-DN62</f>
        <v>0</v>
      </c>
      <c r="DO65" s="469">
        <f>DO31-DO62</f>
        <v>0</v>
      </c>
      <c r="DP65" s="469">
        <f>DP31-DP62</f>
        <v>0</v>
      </c>
      <c r="DQ65" s="469">
        <f>DQ31-DQ62</f>
        <v>0</v>
      </c>
      <c r="DR65" s="469">
        <f>DR31-DR62</f>
        <v>0</v>
      </c>
      <c r="DS65" s="469"/>
      <c r="DT65" s="469">
        <f>DT31-DT62</f>
        <v>0</v>
      </c>
      <c r="DU65" s="469">
        <f>DU31-DU62</f>
        <v>0</v>
      </c>
      <c r="DV65" s="469">
        <f>DV31-DV62</f>
        <v>0</v>
      </c>
      <c r="DW65" s="469">
        <f>DW31-DW62</f>
        <v>0</v>
      </c>
      <c r="DX65" s="469">
        <f>DX31-DX62</f>
        <v>0</v>
      </c>
      <c r="DY65" s="469"/>
      <c r="DZ65" s="469">
        <f>DZ31-DZ62</f>
        <v>0</v>
      </c>
      <c r="EA65" s="469">
        <f>EA31-EA62</f>
        <v>0</v>
      </c>
      <c r="EB65" s="469">
        <f>EB31-EB62</f>
        <v>0</v>
      </c>
      <c r="EC65" s="469">
        <f>EC31-EC62</f>
        <v>0</v>
      </c>
      <c r="ED65" s="469">
        <f>ED31-ED62</f>
        <v>0</v>
      </c>
      <c r="EE65" s="469"/>
      <c r="EF65" s="469">
        <f>EF31-EF62</f>
        <v>0</v>
      </c>
      <c r="EG65" s="469">
        <f>EG31-EG62</f>
        <v>0</v>
      </c>
      <c r="EH65" s="469">
        <f>EH31-EH62</f>
        <v>0</v>
      </c>
      <c r="EI65" s="469">
        <f>EI31-EI62</f>
        <v>0</v>
      </c>
      <c r="EJ65" s="469">
        <f>EJ31-EJ62</f>
        <v>0</v>
      </c>
      <c r="EK65" s="469"/>
      <c r="EL65" s="469">
        <f>EL31-EL62</f>
        <v>0</v>
      </c>
      <c r="EM65" s="469">
        <f>EM31-EM62</f>
        <v>0</v>
      </c>
      <c r="EN65" s="469">
        <f>EN31-EN62</f>
        <v>0</v>
      </c>
      <c r="EO65" s="469">
        <f>EO31-EO62</f>
        <v>0</v>
      </c>
      <c r="EP65" s="469">
        <f>EP31-EP62</f>
        <v>0</v>
      </c>
      <c r="EQ65" s="469"/>
      <c r="ER65" s="528">
        <f>ER31-ER62</f>
        <v>0</v>
      </c>
      <c r="ES65" s="527">
        <f>ROUND(ES31-ES62,1)</f>
        <v>0</v>
      </c>
      <c r="ET65" s="527">
        <f>ROUND(ET31-ET62,1)</f>
        <v>0</v>
      </c>
      <c r="EU65" s="527">
        <f>ROUND(EU31-EU62,1)</f>
        <v>0</v>
      </c>
      <c r="EV65" s="527">
        <f>ROUND(EV31-EV62,1)</f>
        <v>0</v>
      </c>
      <c r="EW65" s="469"/>
      <c r="EX65" s="527">
        <f>ROUND(EX31-EX62,1)</f>
        <v>0</v>
      </c>
      <c r="EY65" s="527">
        <f>ROUND(EY31-EY62,1)</f>
        <v>0</v>
      </c>
      <c r="EZ65" s="527">
        <f>ROUND(EZ31-EZ62,1)</f>
        <v>0</v>
      </c>
      <c r="FA65" s="527">
        <f>ROUND(FA31-FA62,1)</f>
        <v>0</v>
      </c>
      <c r="FB65" s="726">
        <f>ROUND(FB31-FB62,1)</f>
        <v>0</v>
      </c>
      <c r="FC65" s="469"/>
      <c r="FD65" s="726">
        <f>ROUND(FD31-FD62,1)</f>
        <v>0</v>
      </c>
      <c r="FE65" s="527">
        <f>ROUND(FE31-FE62,1)</f>
        <v>0</v>
      </c>
      <c r="FF65" s="527">
        <f>ROUND(FF31-FF62,1)</f>
        <v>0</v>
      </c>
      <c r="FG65" s="527">
        <f>ROUND(FG31-FG62,1)</f>
        <v>0</v>
      </c>
      <c r="FH65" s="527">
        <f>ROUND(FH31-FH62,1)</f>
        <v>0</v>
      </c>
      <c r="FI65" s="469"/>
      <c r="FJ65" s="527">
        <f>ROUND(FJ31-FJ62,1)</f>
        <v>0</v>
      </c>
      <c r="FK65" s="527">
        <f>ROUND(FK31-FK62,1)</f>
        <v>0</v>
      </c>
      <c r="FL65" s="527">
        <f>ROUND(FL31-FL62,1)</f>
        <v>0</v>
      </c>
      <c r="FM65" s="527">
        <f>ROUND(FM31-FM62,1)</f>
        <v>0</v>
      </c>
      <c r="FN65" s="527">
        <f>ROUND(FN31-FN62,1)</f>
        <v>0</v>
      </c>
      <c r="FO65" s="469"/>
      <c r="FP65" s="527">
        <f>ROUND(FP31-FP62,1)</f>
        <v>0</v>
      </c>
      <c r="FQ65" s="527">
        <f>ROUND(FQ31-FQ62,1)</f>
        <v>0</v>
      </c>
      <c r="FR65" s="527">
        <f>ROUND(FR31-FR62,1)</f>
        <v>0</v>
      </c>
      <c r="FS65" s="527">
        <f>ROUND(FS31-FS62,1)</f>
        <v>0</v>
      </c>
      <c r="FT65" s="527">
        <f>ROUND(FT31-FT62,1)</f>
        <v>0</v>
      </c>
      <c r="FU65" s="469"/>
      <c r="FV65" s="527">
        <f>ROUND(FV31-FV62,1)</f>
        <v>0</v>
      </c>
      <c r="FW65" s="527">
        <f>ROUND(FW31-FW62,1)</f>
        <v>0</v>
      </c>
      <c r="FX65" s="527">
        <f>ROUND(FX31-FX62,1)</f>
        <v>0</v>
      </c>
      <c r="FY65" s="527">
        <f>ROUND(FY31-FY62,1)</f>
        <v>0</v>
      </c>
      <c r="FZ65" s="527">
        <f>ROUND(FZ31-FZ62,1)</f>
        <v>0</v>
      </c>
      <c r="GA65" s="469"/>
      <c r="GB65" s="527">
        <f>ROUND(GB31-GB62,1)</f>
        <v>0</v>
      </c>
      <c r="GC65" s="527">
        <f>ROUND(GC31-GC62,1)</f>
        <v>0</v>
      </c>
      <c r="GD65" s="527">
        <f>ROUND(GD31-GD62,1)</f>
        <v>0</v>
      </c>
      <c r="GE65" s="527">
        <f>ROUND(GE31-GE62,1)</f>
        <v>0</v>
      </c>
      <c r="GF65" s="527">
        <f>ROUND(GF31-GF62,1)</f>
        <v>0</v>
      </c>
      <c r="GG65" s="469"/>
      <c r="GH65" s="527">
        <f>ROUND(GH31-GH62,1)</f>
        <v>0</v>
      </c>
      <c r="GI65" s="527">
        <f>ROUND(GI31-GI62,1)</f>
        <v>0</v>
      </c>
      <c r="GJ65" s="527">
        <f>ROUND(GJ31-GJ62,1)</f>
        <v>0</v>
      </c>
      <c r="GK65" s="527">
        <f>ROUND(GK31-GK62,1)</f>
        <v>0</v>
      </c>
      <c r="GL65" s="527">
        <f>ROUND(GL31-GL62,1)</f>
        <v>0</v>
      </c>
      <c r="GM65" s="469"/>
      <c r="GN65" s="527">
        <f>ROUND(GN31-GN62,1)</f>
        <v>0</v>
      </c>
      <c r="GO65" s="527">
        <f>ROUND(GO31-GO62,1)</f>
        <v>0</v>
      </c>
      <c r="GP65" s="527">
        <f>ROUND(GP31-GP62,1)</f>
        <v>0</v>
      </c>
      <c r="GQ65" s="527">
        <f>ROUND(GQ31-GQ62,1)</f>
        <v>0</v>
      </c>
      <c r="GR65" s="527">
        <f>ROUND(GR31-GR62,1)</f>
        <v>0</v>
      </c>
      <c r="GS65" s="469"/>
      <c r="GT65" s="527">
        <f>ROUND(GT31-GT62,1)</f>
        <v>0</v>
      </c>
      <c r="GU65" s="527">
        <f>ROUND(GU31-GU62,1)</f>
        <v>0</v>
      </c>
      <c r="GV65" s="527">
        <f>ROUND(GV31-GV62,1)</f>
        <v>0</v>
      </c>
      <c r="GW65" s="527">
        <f>ROUND(GW31-GW62,1)</f>
        <v>0</v>
      </c>
      <c r="GX65" s="527">
        <f>ROUND(GX31-GX62,1)</f>
        <v>0</v>
      </c>
      <c r="GY65" s="469"/>
      <c r="GZ65" s="527">
        <f>ROUND(GZ31-GZ62,1)</f>
        <v>0</v>
      </c>
      <c r="HA65" s="527">
        <f>ROUND(HA31-HA62,1)</f>
        <v>0</v>
      </c>
      <c r="HB65" s="527">
        <f>ROUND(HB31-HB62,1)</f>
        <v>0</v>
      </c>
      <c r="HC65" s="527">
        <f>ROUND(HC31-HC62,1)</f>
        <v>0</v>
      </c>
      <c r="HD65" s="527">
        <f>ROUND(HD31-HD62,1)</f>
        <v>0</v>
      </c>
      <c r="HF65" s="527">
        <f>ROUND(HF31-HF62,1)</f>
        <v>0</v>
      </c>
      <c r="HG65" s="527">
        <f>ROUND(HG31-HG62,1)</f>
        <v>0</v>
      </c>
      <c r="HH65" s="527">
        <f>ROUND(HH31-HH62,1)</f>
        <v>0</v>
      </c>
      <c r="HI65" s="527">
        <f>ROUND(HI31-HI62,1)</f>
        <v>0</v>
      </c>
      <c r="HJ65" s="527">
        <f>ROUND(HJ31-HJ62,1)</f>
        <v>0</v>
      </c>
    </row>
    <row r="66" spans="1:218">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c r="EO66" s="102"/>
      <c r="EP66" s="102"/>
      <c r="EQ66" s="102"/>
      <c r="ER66" s="102"/>
      <c r="ES66" s="102"/>
      <c r="ET66" s="102"/>
      <c r="EU66" s="102"/>
      <c r="EV66" s="102"/>
      <c r="EX66" s="102"/>
      <c r="EY66" s="102"/>
      <c r="EZ66" s="102"/>
      <c r="FA66" s="102"/>
      <c r="FB66" s="543"/>
      <c r="FD66" s="543"/>
      <c r="FE66" s="102"/>
      <c r="FF66" s="102"/>
      <c r="FG66" s="102"/>
      <c r="FH66" s="102"/>
      <c r="FJ66" s="102"/>
      <c r="FK66" s="102"/>
      <c r="FL66" s="102"/>
      <c r="FM66" s="102"/>
      <c r="FN66" s="102"/>
      <c r="FP66" s="102"/>
      <c r="FQ66" s="102"/>
      <c r="FR66" s="102"/>
      <c r="FS66" s="102"/>
      <c r="FT66" s="102"/>
      <c r="FV66" s="102"/>
      <c r="FW66" s="102"/>
      <c r="FX66" s="102"/>
      <c r="FY66" s="102"/>
      <c r="FZ66" s="102"/>
      <c r="GB66" s="102"/>
      <c r="GC66" s="102"/>
      <c r="GD66" s="102"/>
      <c r="GE66" s="102"/>
      <c r="GF66" s="102"/>
      <c r="GH66" s="102"/>
      <c r="GI66" s="102"/>
      <c r="GJ66" s="102"/>
      <c r="GK66" s="102"/>
      <c r="GL66" s="102"/>
      <c r="GN66" s="102"/>
      <c r="GO66" s="102"/>
      <c r="GP66" s="102"/>
      <c r="GQ66" s="102"/>
      <c r="GR66" s="102"/>
      <c r="GT66" s="102"/>
      <c r="GU66" s="102"/>
      <c r="GV66" s="102"/>
      <c r="GW66" s="102"/>
      <c r="GX66" s="102"/>
      <c r="GZ66" s="102"/>
      <c r="HA66" s="102"/>
      <c r="HB66" s="102"/>
      <c r="HC66" s="102"/>
      <c r="HD66" s="102"/>
    </row>
    <row r="67" spans="1:218" s="658" customFormat="1">
      <c r="A67" s="37"/>
      <c r="B67" s="37" t="s">
        <v>598</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60">
        <v>80.462000000000003</v>
      </c>
      <c r="DI67" s="360">
        <f>DH70</f>
        <v>80.507000000000005</v>
      </c>
      <c r="DJ67" s="360">
        <f>DI70</f>
        <v>81.016999999999996</v>
      </c>
      <c r="DK67" s="360">
        <f>DJ70</f>
        <v>87.253</v>
      </c>
      <c r="DL67" s="360">
        <f>DH67</f>
        <v>80.462000000000003</v>
      </c>
      <c r="DM67" s="535"/>
      <c r="DN67" s="360">
        <f>DK70</f>
        <v>93.27</v>
      </c>
      <c r="DO67" s="360">
        <f>DN70</f>
        <v>94.74</v>
      </c>
      <c r="DP67" s="360">
        <f>DO70</f>
        <v>98.296999999999997</v>
      </c>
      <c r="DQ67" s="360">
        <f>DP70</f>
        <v>103.899</v>
      </c>
      <c r="DR67" s="360">
        <f>DN67</f>
        <v>93.27</v>
      </c>
      <c r="DS67" s="535"/>
      <c r="DT67" s="360">
        <f>DQ70</f>
        <v>104.393</v>
      </c>
      <c r="DU67" s="360">
        <f>DT70</f>
        <v>104.48399999999999</v>
      </c>
      <c r="DV67" s="360">
        <f>DU70</f>
        <v>107.887</v>
      </c>
      <c r="DW67" s="360">
        <f>DV70</f>
        <v>110.461</v>
      </c>
      <c r="DX67" s="360">
        <f>DT67</f>
        <v>104.393</v>
      </c>
      <c r="DY67" s="535"/>
      <c r="DZ67" s="360">
        <f>DW70</f>
        <v>111.2</v>
      </c>
      <c r="EA67" s="360">
        <f>DZ70</f>
        <v>116.199</v>
      </c>
      <c r="EB67" s="360">
        <f>EA70</f>
        <v>118.28700000000001</v>
      </c>
      <c r="EC67" s="360">
        <f>EB70</f>
        <v>122.559</v>
      </c>
      <c r="ED67" s="360">
        <f>DZ67</f>
        <v>111.2</v>
      </c>
      <c r="EE67" s="535"/>
      <c r="EF67" s="360">
        <f>EC70</f>
        <v>123.08199999999999</v>
      </c>
      <c r="EG67" s="360">
        <f>EF70</f>
        <v>123.63</v>
      </c>
      <c r="EH67" s="360">
        <f>EG70</f>
        <v>124.068</v>
      </c>
      <c r="EI67" s="360">
        <f>EH70</f>
        <v>124.425</v>
      </c>
      <c r="EJ67" s="360">
        <f>EF67</f>
        <v>123.08199999999999</v>
      </c>
      <c r="EK67" s="535"/>
      <c r="EL67" s="360">
        <f>EI70</f>
        <v>124.714</v>
      </c>
      <c r="EM67" s="360">
        <f>EL70</f>
        <v>125.026</v>
      </c>
      <c r="EN67" s="360">
        <f>EM70</f>
        <v>125.35599999999999</v>
      </c>
      <c r="EO67" s="360">
        <f>EN70</f>
        <v>125.687</v>
      </c>
      <c r="EP67" s="360">
        <f>EL67</f>
        <v>124.714</v>
      </c>
      <c r="EQ67" s="535"/>
      <c r="ER67" s="360">
        <f>EO70</f>
        <v>125.929</v>
      </c>
      <c r="ES67" s="360">
        <f>ER70</f>
        <v>126.111</v>
      </c>
      <c r="ET67" s="709">
        <f>ES70</f>
        <v>126.405</v>
      </c>
      <c r="EU67" s="709">
        <f>ET70</f>
        <v>126.953</v>
      </c>
      <c r="EV67" s="360">
        <f>ER67</f>
        <v>125.929</v>
      </c>
      <c r="EW67" s="535"/>
      <c r="EX67" s="709">
        <f>EU70</f>
        <v>127.26950000000001</v>
      </c>
      <c r="EY67" s="709">
        <f>EX70</f>
        <v>127.376</v>
      </c>
      <c r="EZ67" s="709">
        <f>EY70</f>
        <v>127.949</v>
      </c>
      <c r="FA67" s="709">
        <f>EZ70</f>
        <v>128.41499999999999</v>
      </c>
      <c r="FB67" s="727">
        <f>EX67</f>
        <v>127.26950000000001</v>
      </c>
      <c r="FC67" s="360"/>
      <c r="FD67" s="727">
        <f>FA70</f>
        <v>128.88099999999997</v>
      </c>
      <c r="FE67" s="360">
        <f>FD70</f>
        <v>129.23387499999995</v>
      </c>
      <c r="FF67" s="360">
        <f>FE70</f>
        <v>129.58674999999994</v>
      </c>
      <c r="FG67" s="360">
        <f>FF70</f>
        <v>129.93962499999992</v>
      </c>
      <c r="FH67" s="360">
        <f>FD67</f>
        <v>128.88099999999997</v>
      </c>
      <c r="FI67" s="360"/>
      <c r="FJ67" s="360">
        <f>FG70</f>
        <v>130.2924999999999</v>
      </c>
      <c r="FK67" s="360">
        <f>FJ70</f>
        <v>130.5953749999999</v>
      </c>
      <c r="FL67" s="360">
        <f>FK70</f>
        <v>130.8982499999999</v>
      </c>
      <c r="FM67" s="360">
        <f>FL70</f>
        <v>131.20112499999991</v>
      </c>
      <c r="FN67" s="360">
        <f>FJ67</f>
        <v>130.2924999999999</v>
      </c>
      <c r="FO67" s="535"/>
      <c r="FP67" s="360">
        <f>FM70</f>
        <v>131.50399999999991</v>
      </c>
      <c r="FQ67" s="360">
        <f>FP70</f>
        <v>131.75687499999989</v>
      </c>
      <c r="FR67" s="360">
        <f>FQ70</f>
        <v>132.00974999999988</v>
      </c>
      <c r="FS67" s="360">
        <f>FR70</f>
        <v>132.26262499999987</v>
      </c>
      <c r="FT67" s="360">
        <f>FP67</f>
        <v>131.50399999999991</v>
      </c>
      <c r="FU67" s="535"/>
      <c r="FV67" s="360">
        <f>FS70</f>
        <v>132.51549999999986</v>
      </c>
      <c r="FW67" s="360">
        <f>FV70</f>
        <v>132.71837499999987</v>
      </c>
      <c r="FX67" s="360">
        <f>FW70</f>
        <v>132.92124999999987</v>
      </c>
      <c r="FY67" s="360">
        <f>FX70</f>
        <v>133.12412499999988</v>
      </c>
      <c r="FZ67" s="360">
        <f>FV67</f>
        <v>132.51549999999986</v>
      </c>
      <c r="GA67" s="535"/>
      <c r="GB67" s="360">
        <f>FY70</f>
        <v>133.32699999999988</v>
      </c>
      <c r="GC67" s="360">
        <f>GB70</f>
        <v>133.47987499999988</v>
      </c>
      <c r="GD67" s="360">
        <f>GC70</f>
        <v>133.63274999999987</v>
      </c>
      <c r="GE67" s="360">
        <f>GD70</f>
        <v>133.78562499999987</v>
      </c>
      <c r="GF67" s="360">
        <f>GB67</f>
        <v>133.32699999999988</v>
      </c>
      <c r="GG67" s="535"/>
      <c r="GH67" s="360">
        <f>GE70</f>
        <v>133.93849999999986</v>
      </c>
      <c r="GI67" s="360">
        <f>GH70</f>
        <v>134.04137499999985</v>
      </c>
      <c r="GJ67" s="360">
        <f>GI70</f>
        <v>134.14424999999983</v>
      </c>
      <c r="GK67" s="360">
        <f>GJ70</f>
        <v>134.24712499999981</v>
      </c>
      <c r="GL67" s="360">
        <f>GH67</f>
        <v>133.93849999999986</v>
      </c>
      <c r="GM67" s="535"/>
      <c r="GN67" s="360">
        <f>GK70</f>
        <v>134.3499999999998</v>
      </c>
      <c r="GO67" s="360">
        <f>GN70</f>
        <v>134.4028749999998</v>
      </c>
      <c r="GP67" s="360">
        <f>GO70</f>
        <v>134.4557499999998</v>
      </c>
      <c r="GQ67" s="360">
        <f>GP70</f>
        <v>134.5086249999998</v>
      </c>
      <c r="GR67" s="360">
        <f>GN67</f>
        <v>134.3499999999998</v>
      </c>
      <c r="GS67" s="535"/>
      <c r="GT67" s="360">
        <f>GQ70</f>
        <v>134.5614999999998</v>
      </c>
      <c r="GU67" s="360">
        <f>GT70</f>
        <v>134.5614999999998</v>
      </c>
      <c r="GV67" s="360">
        <f>GU70</f>
        <v>134.5614999999998</v>
      </c>
      <c r="GW67" s="360">
        <f>GV70</f>
        <v>134.5614999999998</v>
      </c>
      <c r="GX67" s="360">
        <f>GT67</f>
        <v>134.5614999999998</v>
      </c>
      <c r="GY67" s="535"/>
      <c r="GZ67" s="360">
        <f>GW70</f>
        <v>134.5614999999998</v>
      </c>
      <c r="HA67" s="360">
        <f>GZ70</f>
        <v>134.5614999999998</v>
      </c>
      <c r="HB67" s="360">
        <f>HA70</f>
        <v>134.5614999999998</v>
      </c>
      <c r="HC67" s="360">
        <f>HB70</f>
        <v>134.5614999999998</v>
      </c>
      <c r="HD67" s="360">
        <f>GZ67</f>
        <v>134.5614999999998</v>
      </c>
      <c r="HE67" s="657"/>
      <c r="HF67" s="360">
        <f>HC70</f>
        <v>134.5614999999998</v>
      </c>
      <c r="HG67" s="360">
        <f>HF70</f>
        <v>134.5614999999998</v>
      </c>
      <c r="HH67" s="360">
        <f>HG70</f>
        <v>134.5614999999998</v>
      </c>
      <c r="HI67" s="360">
        <f>HH70</f>
        <v>134.5614999999998</v>
      </c>
      <c r="HJ67" s="360">
        <f>HF67</f>
        <v>134.5614999999998</v>
      </c>
    </row>
    <row r="68" spans="1:218" s="658" customFormat="1">
      <c r="A68" s="37"/>
      <c r="B68" s="37" t="s">
        <v>69</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60"/>
      <c r="DI68" s="656">
        <f>DI70+DI69-DI67</f>
        <v>0.50999999999999091</v>
      </c>
      <c r="DJ68" s="360">
        <f>IF(DJ70-DJ67&gt;0,DJ70-DJ67,)</f>
        <v>6.2360000000000042</v>
      </c>
      <c r="DK68" s="360">
        <f>IF(DK70-DK67&gt;0,DK70-DK67,)</f>
        <v>6.0169999999999959</v>
      </c>
      <c r="DL68" s="360">
        <f>SUM(DH68:DK68)</f>
        <v>12.762999999999991</v>
      </c>
      <c r="DM68" s="535"/>
      <c r="DN68" s="656">
        <f>DN70+DN69-DN67</f>
        <v>1.4699999999999989</v>
      </c>
      <c r="DO68" s="656">
        <f>DO70+DO69-DO67</f>
        <v>3.5570000000000022</v>
      </c>
      <c r="DP68" s="360">
        <f>IF(DP70-DP67&gt;0,DP70-DP67,)</f>
        <v>5.6020000000000039</v>
      </c>
      <c r="DQ68" s="360">
        <f>IF(DQ70-DQ67&gt;0,DQ70-DQ67,)</f>
        <v>0.49399999999999977</v>
      </c>
      <c r="DR68" s="360">
        <f>SUM(DN68:DQ68)</f>
        <v>11.123000000000005</v>
      </c>
      <c r="DS68" s="535"/>
      <c r="DT68" s="656">
        <f>DT70+DT69-DT67</f>
        <v>9.0999999999993975E-2</v>
      </c>
      <c r="DU68" s="656">
        <f>DU70+DU69-DU67</f>
        <v>3.4030000000000058</v>
      </c>
      <c r="DV68" s="360">
        <f>IF(DV70-DV67&gt;0,DV70-DV67,)</f>
        <v>2.5739999999999981</v>
      </c>
      <c r="DW68" s="360">
        <f>IF(DW70-DW67&gt;0,DW70-DW67,)</f>
        <v>0.73900000000000432</v>
      </c>
      <c r="DX68" s="360">
        <f>SUM(DT68:DW68)</f>
        <v>6.8070000000000022</v>
      </c>
      <c r="DY68" s="535"/>
      <c r="DZ68" s="656">
        <f>DZ70+DZ69-DZ67</f>
        <v>4.9989999999999952</v>
      </c>
      <c r="EA68" s="656">
        <f>EA70+EA69-EA67</f>
        <v>2.0880000000000081</v>
      </c>
      <c r="EB68" s="360">
        <f>IF(EB70-EB67&gt;0,EB70-EB67,)</f>
        <v>4.2719999999999914</v>
      </c>
      <c r="EC68" s="360">
        <f>IF(EC70-EC67&gt;0,EC70-EC67,)</f>
        <v>0.52299999999999613</v>
      </c>
      <c r="ED68" s="360">
        <f>SUM(DZ68:EC68)</f>
        <v>11.881999999999991</v>
      </c>
      <c r="EE68" s="535"/>
      <c r="EF68" s="656">
        <f>EF70+EF69-EF67</f>
        <v>0.54800000000000182</v>
      </c>
      <c r="EG68" s="656">
        <f>EG70+EG69-EG67</f>
        <v>0.43800000000000239</v>
      </c>
      <c r="EH68" s="360">
        <f>IF(EH70-EH67&gt;0,EH70-EH67,)</f>
        <v>0.35699999999999932</v>
      </c>
      <c r="EI68" s="360">
        <f>IF(EI70-EI67&gt;0,EI70-EI67,)</f>
        <v>0.28900000000000148</v>
      </c>
      <c r="EJ68" s="360">
        <f>SUM(EF68:EI68)</f>
        <v>1.632000000000005</v>
      </c>
      <c r="EK68" s="360"/>
      <c r="EL68" s="656">
        <f>EL70+EL69-EL67</f>
        <v>0.31199999999999761</v>
      </c>
      <c r="EM68" s="656">
        <f>EM70+EM69-EM67</f>
        <v>0.32999999999999829</v>
      </c>
      <c r="EN68" s="360">
        <f>IF(EN70-EN67&gt;0,EN70-EN67,)</f>
        <v>0.33100000000000307</v>
      </c>
      <c r="EO68" s="360">
        <f>IF(EO70-EO67&gt;0,EO70-EO67,)</f>
        <v>0.24200000000000443</v>
      </c>
      <c r="EP68" s="360">
        <f>SUM(EL68:EO68)</f>
        <v>1.2150000000000034</v>
      </c>
      <c r="EQ68" s="360"/>
      <c r="ER68" s="656">
        <f>ER70+ER69-ER67</f>
        <v>0.18200000000000216</v>
      </c>
      <c r="ES68" s="656">
        <f>ES70+ES69-ES67</f>
        <v>0.29399999999999693</v>
      </c>
      <c r="ET68" s="656">
        <f>ET70+ET69-ET67</f>
        <v>0.54800000000000182</v>
      </c>
      <c r="EU68" s="709">
        <f>AVERAGE(ET68,ES68,ER68,EO68)</f>
        <v>0.31650000000000134</v>
      </c>
      <c r="EV68" s="360">
        <f>SUM(ER68:EU68)</f>
        <v>1.3405000000000022</v>
      </c>
      <c r="EW68" s="360"/>
      <c r="EX68" s="656">
        <f>EX70+EX69-EX67</f>
        <v>0.10649999999999693</v>
      </c>
      <c r="EY68" s="656">
        <f>EY70+EY69-EY67</f>
        <v>0.57299999999999329</v>
      </c>
      <c r="EZ68" s="656">
        <f>EZ70+EZ69-EZ67</f>
        <v>0.46599999999999397</v>
      </c>
      <c r="FA68" s="709">
        <f>EZ68</f>
        <v>0.46599999999999397</v>
      </c>
      <c r="FB68" s="727">
        <f>SUM(EX68:FA68)</f>
        <v>1.6114999999999782</v>
      </c>
      <c r="FC68" s="360"/>
      <c r="FD68" s="727">
        <f>FH68/4</f>
        <v>0.35287499999999455</v>
      </c>
      <c r="FE68" s="360">
        <f>(FH68-FD68)/3</f>
        <v>0.35287499999999455</v>
      </c>
      <c r="FF68" s="360">
        <f>(FH68-SUM(FD68:FE68))/2</f>
        <v>0.35287499999999455</v>
      </c>
      <c r="FG68" s="709">
        <f>FH68-SUM(FD68:FF68)</f>
        <v>0.3528749999999945</v>
      </c>
      <c r="FH68" s="643">
        <f>FB68-0.2</f>
        <v>1.4114999999999782</v>
      </c>
      <c r="FI68" s="360"/>
      <c r="FJ68" s="360">
        <f>FN68/4</f>
        <v>0.30287499999999457</v>
      </c>
      <c r="FK68" s="360">
        <f>(FN68-FJ68)/3</f>
        <v>0.30287499999999457</v>
      </c>
      <c r="FL68" s="360">
        <f>(FN68-SUM(FJ68:FK68))/2</f>
        <v>0.30287499999999457</v>
      </c>
      <c r="FM68" s="709">
        <f>FN68-SUM(FJ68:FL68)</f>
        <v>0.30287499999999457</v>
      </c>
      <c r="FN68" s="643">
        <f>FH68-0.2</f>
        <v>1.2114999999999783</v>
      </c>
      <c r="FO68" s="360"/>
      <c r="FP68" s="360">
        <f>FT68/4</f>
        <v>0.25287499999999458</v>
      </c>
      <c r="FQ68" s="360">
        <f>(FT68-FP68)/3</f>
        <v>0.25287499999999458</v>
      </c>
      <c r="FR68" s="360">
        <f>(FT68-SUM(FP68:FQ68))/2</f>
        <v>0.25287499999999458</v>
      </c>
      <c r="FS68" s="709">
        <f>FT68-SUM(FP68:FR68)</f>
        <v>0.25287499999999463</v>
      </c>
      <c r="FT68" s="643">
        <f>FN68-0.2</f>
        <v>1.0114999999999783</v>
      </c>
      <c r="FU68" s="360"/>
      <c r="FV68" s="360">
        <f>FZ68/4</f>
        <v>0.20287499999999459</v>
      </c>
      <c r="FW68" s="360">
        <f>(FZ68-FV68)/3</f>
        <v>0.20287499999999459</v>
      </c>
      <c r="FX68" s="360">
        <f>(FZ68-SUM(FV68:FW68))/2</f>
        <v>0.20287499999999459</v>
      </c>
      <c r="FY68" s="709">
        <f>FZ68-SUM(FV68:FX68)</f>
        <v>0.20287499999999459</v>
      </c>
      <c r="FZ68" s="643">
        <f>FT68-0.2</f>
        <v>0.81149999999997835</v>
      </c>
      <c r="GA68" s="360"/>
      <c r="GB68" s="360">
        <f>GF68/4</f>
        <v>0.1528749999999946</v>
      </c>
      <c r="GC68" s="360">
        <f>(GF68-GB68)/3</f>
        <v>0.1528749999999946</v>
      </c>
      <c r="GD68" s="360">
        <f>(GF68-SUM(GB68:GC68))/2</f>
        <v>0.1528749999999946</v>
      </c>
      <c r="GE68" s="709">
        <f>GF68-SUM(GB68:GD68)</f>
        <v>0.1528749999999946</v>
      </c>
      <c r="GF68" s="643">
        <f>FZ68-0.2</f>
        <v>0.61149999999997839</v>
      </c>
      <c r="GG68" s="360"/>
      <c r="GH68" s="360">
        <f>GL68/4</f>
        <v>0.1028749999999946</v>
      </c>
      <c r="GI68" s="360">
        <f>(GL68-GH68)/3</f>
        <v>0.1028749999999946</v>
      </c>
      <c r="GJ68" s="360">
        <f>(GL68-SUM(GH68:GI68))/2</f>
        <v>0.1028749999999946</v>
      </c>
      <c r="GK68" s="709">
        <f>GL68-SUM(GH68:GJ68)</f>
        <v>0.10287499999999461</v>
      </c>
      <c r="GL68" s="643">
        <f>GF68-0.2</f>
        <v>0.41149999999997838</v>
      </c>
      <c r="GM68" s="360"/>
      <c r="GN68" s="360">
        <f>GR68/4</f>
        <v>5.2874999999994593E-2</v>
      </c>
      <c r="GO68" s="360">
        <f>(GR68-GN68)/3</f>
        <v>5.2874999999994593E-2</v>
      </c>
      <c r="GP68" s="360">
        <f>(GR68-SUM(GN68:GO68))/2</f>
        <v>5.2874999999994593E-2</v>
      </c>
      <c r="GQ68" s="709">
        <f>GR68-SUM(GN68:GP68)</f>
        <v>5.2874999999994593E-2</v>
      </c>
      <c r="GR68" s="643">
        <f>GL68-0.2</f>
        <v>0.21149999999997837</v>
      </c>
      <c r="GS68" s="360"/>
      <c r="GT68" s="360">
        <f>GX68/4</f>
        <v>0</v>
      </c>
      <c r="GU68" s="360">
        <f>(GX68-GT68)/3</f>
        <v>0</v>
      </c>
      <c r="GV68" s="360">
        <f>(GX68-SUM(GT68:GU68))/2</f>
        <v>0</v>
      </c>
      <c r="GW68" s="709">
        <f>GX68-SUM(GT68:GV68)</f>
        <v>0</v>
      </c>
      <c r="GX68" s="643">
        <v>0</v>
      </c>
      <c r="GY68" s="360"/>
      <c r="GZ68" s="360">
        <f>HD68/4</f>
        <v>0</v>
      </c>
      <c r="HA68" s="360">
        <f>(HD68-GZ68)/3</f>
        <v>0</v>
      </c>
      <c r="HB68" s="360">
        <f>(HD68-SUM(GZ68:HA68))/2</f>
        <v>0</v>
      </c>
      <c r="HC68" s="709">
        <f>HD68-SUM(GZ68:HB68)</f>
        <v>0</v>
      </c>
      <c r="HD68" s="643">
        <v>0</v>
      </c>
      <c r="HE68" s="657"/>
      <c r="HF68" s="360">
        <f>HJ68/4</f>
        <v>0</v>
      </c>
      <c r="HG68" s="360">
        <f>(HJ68-HF68)/3</f>
        <v>0</v>
      </c>
      <c r="HH68" s="360">
        <f>(HJ68-SUM(HF68:HG68))/2</f>
        <v>0</v>
      </c>
      <c r="HI68" s="709">
        <f>HJ68-SUM(HF68:HH68)</f>
        <v>0</v>
      </c>
      <c r="HJ68" s="643">
        <v>0</v>
      </c>
    </row>
    <row r="69" spans="1:218">
      <c r="A69" s="37"/>
      <c r="B69" s="37" t="s">
        <v>70</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8"/>
      <c r="BP69" s="37"/>
      <c r="BQ69" s="37"/>
      <c r="BR69" s="38"/>
      <c r="BS69" s="38"/>
      <c r="BT69" s="38"/>
      <c r="BU69" s="38"/>
      <c r="BV69" s="37"/>
      <c r="BW69" s="37"/>
      <c r="BX69" s="38"/>
      <c r="BY69" s="137"/>
      <c r="BZ69" s="37"/>
      <c r="CA69" s="38"/>
      <c r="CB69" s="37"/>
      <c r="CC69" s="37"/>
      <c r="CD69" s="112"/>
      <c r="CE69" s="38"/>
      <c r="CF69" s="38"/>
      <c r="CG69" s="38"/>
      <c r="CH69" s="37"/>
      <c r="CI69" s="37"/>
      <c r="CJ69" s="112"/>
      <c r="CK69" s="38"/>
      <c r="CL69" s="38"/>
      <c r="CM69" s="38"/>
      <c r="CN69" s="37"/>
      <c r="CO69" s="37"/>
      <c r="CP69" s="112"/>
      <c r="CQ69" s="112"/>
      <c r="CR69" s="38"/>
      <c r="CS69" s="38"/>
      <c r="CT69" s="37"/>
      <c r="CU69" s="37"/>
      <c r="CV69" s="112"/>
      <c r="CW69" s="112"/>
      <c r="CX69" s="112"/>
      <c r="CY69" s="112"/>
      <c r="CZ69" s="37"/>
      <c r="DA69" s="37"/>
      <c r="DB69" s="38"/>
      <c r="DC69" s="112"/>
      <c r="DD69" s="38"/>
      <c r="DE69" s="112"/>
      <c r="DF69" s="37"/>
      <c r="DG69" s="37"/>
      <c r="DH69" s="643">
        <v>0</v>
      </c>
      <c r="DI69" s="643">
        <v>0</v>
      </c>
      <c r="DJ69" s="643">
        <v>0</v>
      </c>
      <c r="DK69" s="643">
        <v>0</v>
      </c>
      <c r="DL69" s="360">
        <f>SUM(DH69:DK69)</f>
        <v>0</v>
      </c>
      <c r="DM69" s="535"/>
      <c r="DN69" s="643">
        <v>0</v>
      </c>
      <c r="DO69" s="643">
        <v>0</v>
      </c>
      <c r="DP69" s="643">
        <v>0</v>
      </c>
      <c r="DQ69" s="643">
        <v>0</v>
      </c>
      <c r="DR69" s="360">
        <f>SUM(DN69:DQ69)</f>
        <v>0</v>
      </c>
      <c r="DS69" s="535"/>
      <c r="DT69" s="643">
        <v>0</v>
      </c>
      <c r="DU69" s="643">
        <v>0</v>
      </c>
      <c r="DV69" s="643">
        <v>0</v>
      </c>
      <c r="DW69" s="643">
        <v>0</v>
      </c>
      <c r="DX69" s="360">
        <f>SUM(DT69:DW69)</f>
        <v>0</v>
      </c>
      <c r="DY69" s="535"/>
      <c r="DZ69" s="643">
        <v>0</v>
      </c>
      <c r="EA69" s="643">
        <v>0</v>
      </c>
      <c r="EB69" s="643">
        <v>0</v>
      </c>
      <c r="EC69" s="643">
        <v>0</v>
      </c>
      <c r="ED69" s="360">
        <f>SUM(DZ69:EC69)</f>
        <v>0</v>
      </c>
      <c r="EE69" s="535"/>
      <c r="EF69" s="643">
        <v>0</v>
      </c>
      <c r="EG69" s="643">
        <v>0</v>
      </c>
      <c r="EH69" s="643">
        <v>0</v>
      </c>
      <c r="EI69" s="643">
        <v>0</v>
      </c>
      <c r="EJ69" s="360">
        <f>SUM(EF69:EI69)</f>
        <v>0</v>
      </c>
      <c r="EK69" s="535"/>
      <c r="EL69" s="643">
        <v>0</v>
      </c>
      <c r="EM69" s="643">
        <v>0</v>
      </c>
      <c r="EN69" s="643">
        <v>0</v>
      </c>
      <c r="EO69" s="643">
        <v>0</v>
      </c>
      <c r="EP69" s="360">
        <f>SUM(EL69:EO69)</f>
        <v>0</v>
      </c>
      <c r="EQ69" s="535"/>
      <c r="ER69" s="643">
        <v>0</v>
      </c>
      <c r="ES69" s="643">
        <v>0</v>
      </c>
      <c r="ET69" s="710">
        <v>0</v>
      </c>
      <c r="EU69" s="709">
        <f>IF(CF!EU57&lt;0,-CF!EU57/BS!EU74,0)</f>
        <v>0</v>
      </c>
      <c r="EV69" s="360">
        <f>SUM(ER69:EU69)</f>
        <v>0</v>
      </c>
      <c r="EW69" s="535"/>
      <c r="EX69" s="710">
        <v>0</v>
      </c>
      <c r="EY69" s="710">
        <v>0</v>
      </c>
      <c r="EZ69" s="709">
        <v>0</v>
      </c>
      <c r="FA69" s="709">
        <f>IF(CF!FA57&lt;0,-CF!FA57/BS!FA74,0)</f>
        <v>0</v>
      </c>
      <c r="FB69" s="839">
        <f>SUM(EX69:FA69)</f>
        <v>0</v>
      </c>
      <c r="FC69" s="535"/>
      <c r="FD69" s="727">
        <f>IF(CF!FD57&lt;0,-CF!FD57/BS!FD74,0)</f>
        <v>0</v>
      </c>
      <c r="FE69" s="360">
        <f>IF(CF!FE57&lt;0,-CF!FE57/BS!FE74,0)</f>
        <v>0</v>
      </c>
      <c r="FF69" s="360">
        <f>IF(CF!FF57&lt;0,-CF!FF57/BS!FF74,0)</f>
        <v>0</v>
      </c>
      <c r="FG69" s="360">
        <f>IF(CF!FG57&lt;0,-CF!FG57/BS!FG74,0)</f>
        <v>0</v>
      </c>
      <c r="FH69" s="535">
        <f>SUM(FD69:FG69)</f>
        <v>0</v>
      </c>
      <c r="FI69" s="535"/>
      <c r="FJ69" s="360">
        <f>IF(CF!FJ57&lt;0,-CF!FJ57/BS!FJ74,0)</f>
        <v>0</v>
      </c>
      <c r="FK69" s="360">
        <f>IF(CF!FK57&lt;0,-CF!FK57/BS!FK74,0)</f>
        <v>0</v>
      </c>
      <c r="FL69" s="360">
        <f>IF(CF!FL57&lt;0,-CF!FL57/BS!FL74,0)</f>
        <v>0</v>
      </c>
      <c r="FM69" s="360">
        <f>IF(CF!FM57&lt;0,-CF!FM57/BS!FM74,0)</f>
        <v>0</v>
      </c>
      <c r="FN69" s="535">
        <f>SUM(FJ69:FM69)</f>
        <v>0</v>
      </c>
      <c r="FO69" s="535"/>
      <c r="FP69" s="360">
        <f>IF(CF!FP57&lt;0,-CF!FP57/BS!FP74,0)</f>
        <v>0</v>
      </c>
      <c r="FQ69" s="360">
        <f>IF(CF!FQ57&lt;0,-CF!FQ57/BS!FQ74,0)</f>
        <v>0</v>
      </c>
      <c r="FR69" s="360">
        <f>IF(CF!FR57&lt;0,-CF!FR57/BS!FR74,0)</f>
        <v>0</v>
      </c>
      <c r="FS69" s="360">
        <f>IF(CF!FS57&lt;0,-CF!FS57/BS!FS74,0)</f>
        <v>0</v>
      </c>
      <c r="FT69" s="535">
        <f>SUM(FP69:FS69)</f>
        <v>0</v>
      </c>
      <c r="FU69" s="535"/>
      <c r="FV69" s="360">
        <f>IF(CF!FV57&lt;0,-CF!FV57/BS!FV74,0)</f>
        <v>0</v>
      </c>
      <c r="FW69" s="360">
        <f>IF(CF!FW57&lt;0,-CF!FW57/BS!FW74,0)</f>
        <v>0</v>
      </c>
      <c r="FX69" s="360">
        <f>IF(CF!FX57&lt;0,-CF!FX57/BS!FX74,0)</f>
        <v>0</v>
      </c>
      <c r="FY69" s="360">
        <f>IF(CF!FY57&lt;0,-CF!FY57/BS!FY74,0)</f>
        <v>0</v>
      </c>
      <c r="FZ69" s="535">
        <f>SUM(FV69:FY69)</f>
        <v>0</v>
      </c>
      <c r="GA69" s="535"/>
      <c r="GB69" s="360">
        <f>IF(CF!GB57&lt;0,-CF!GB57/BS!GB74,0)</f>
        <v>0</v>
      </c>
      <c r="GC69" s="360">
        <f>IF(CF!GC57&lt;0,-CF!GC57/BS!GC74,0)</f>
        <v>0</v>
      </c>
      <c r="GD69" s="360">
        <f>IF(CF!GD57&lt;0,-CF!GD57/BS!GD74,0)</f>
        <v>0</v>
      </c>
      <c r="GE69" s="360">
        <f>IF(CF!GE57&lt;0,-CF!GE57/BS!GE74,0)</f>
        <v>0</v>
      </c>
      <c r="GF69" s="535">
        <f>SUM(GB69:GE69)</f>
        <v>0</v>
      </c>
      <c r="GG69" s="535"/>
      <c r="GH69" s="360">
        <f>IF(CF!GH57&lt;0,-CF!GH57/BS!GH74,0)</f>
        <v>0</v>
      </c>
      <c r="GI69" s="360">
        <f>IF(CF!GI57&lt;0,-CF!GI57/BS!GI74,0)</f>
        <v>0</v>
      </c>
      <c r="GJ69" s="360">
        <f>IF(CF!GJ57&lt;0,-CF!GJ57/BS!GJ74,0)</f>
        <v>0</v>
      </c>
      <c r="GK69" s="360">
        <f>IF(CF!GK57&lt;0,-CF!GK57/BS!GK74,0)</f>
        <v>0</v>
      </c>
      <c r="GL69" s="535">
        <f>SUM(GH69:GK69)</f>
        <v>0</v>
      </c>
      <c r="GM69" s="535"/>
      <c r="GN69" s="360">
        <f>IF(CF!GN57&lt;0,-CF!GN57/BS!GN74,0)</f>
        <v>0</v>
      </c>
      <c r="GO69" s="360">
        <f>IF(CF!GO57&lt;0,-CF!GO57/BS!GO74,0)</f>
        <v>0</v>
      </c>
      <c r="GP69" s="360">
        <f>IF(CF!GP57&lt;0,-CF!GP57/BS!GP74,0)</f>
        <v>0</v>
      </c>
      <c r="GQ69" s="360">
        <f>IF(CF!GQ57&lt;0,-CF!GQ57/BS!GQ74,0)</f>
        <v>0</v>
      </c>
      <c r="GR69" s="535">
        <f>SUM(GN69:GQ69)</f>
        <v>0</v>
      </c>
      <c r="GS69" s="535"/>
      <c r="GT69" s="360">
        <f>IF(CF!GT57&lt;0,-CF!GT57/BS!GT74,0)</f>
        <v>0</v>
      </c>
      <c r="GU69" s="360">
        <f>IF(CF!GU57&lt;0,-CF!GU57/BS!GU74,0)</f>
        <v>0</v>
      </c>
      <c r="GV69" s="360">
        <f>IF(CF!GV57&lt;0,-CF!GV57/BS!GV74,0)</f>
        <v>0</v>
      </c>
      <c r="GW69" s="360">
        <f>IF(CF!GW57&lt;0,-CF!GW57/BS!GW74,0)</f>
        <v>0</v>
      </c>
      <c r="GX69" s="535">
        <f>SUM(GT69:GW69)</f>
        <v>0</v>
      </c>
      <c r="GY69" s="535"/>
      <c r="GZ69" s="360">
        <f>IF(CF!GZ57&lt;0,-CF!GZ57/BS!GZ74,0)</f>
        <v>0</v>
      </c>
      <c r="HA69" s="360">
        <f>IF(CF!HA57&lt;0,-CF!HA57/BS!HA74,0)</f>
        <v>0</v>
      </c>
      <c r="HB69" s="360">
        <f>IF(CF!HB57&lt;0,-CF!HB57/BS!HB74,0)</f>
        <v>0</v>
      </c>
      <c r="HC69" s="360">
        <f>IF(CF!HC57&lt;0,-CF!HC57/BS!HC74,0)</f>
        <v>0</v>
      </c>
      <c r="HD69" s="535">
        <f>SUM(GZ69:HC69)</f>
        <v>0</v>
      </c>
      <c r="HE69" s="655"/>
      <c r="HF69" s="360">
        <f>IF(CF!HF57&lt;0,-CF!HF57/BS!HF74,0)</f>
        <v>0</v>
      </c>
      <c r="HG69" s="360">
        <f>IF(CF!HG57&lt;0,-CF!HG57/BS!HG74,0)</f>
        <v>0</v>
      </c>
      <c r="HH69" s="360">
        <f>IF(CF!HH57&lt;0,-CF!HH57/BS!HH74,0)</f>
        <v>0</v>
      </c>
      <c r="HI69" s="360">
        <f>IF(CF!HI57&lt;0,-CF!HI57/BS!HI74,0)</f>
        <v>0</v>
      </c>
      <c r="HJ69" s="535">
        <f>SUM(HF69:HI69)</f>
        <v>0</v>
      </c>
    </row>
    <row r="70" spans="1:218" s="658" customFormat="1">
      <c r="A70" s="37"/>
      <c r="B70" s="37" t="s">
        <v>599</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60">
        <f>IS!DH24</f>
        <v>80.507000000000005</v>
      </c>
      <c r="DI70" s="360">
        <f>IS!DI24</f>
        <v>81.016999999999996</v>
      </c>
      <c r="DJ70" s="360">
        <f>IS!DJ24</f>
        <v>87.253</v>
      </c>
      <c r="DK70" s="360">
        <f>IS!DK24</f>
        <v>93.27</v>
      </c>
      <c r="DL70" s="360">
        <f>DK70</f>
        <v>93.27</v>
      </c>
      <c r="DM70" s="535"/>
      <c r="DN70" s="360">
        <f>IS!DN24</f>
        <v>94.74</v>
      </c>
      <c r="DO70" s="360">
        <f>IS!DO24</f>
        <v>98.296999999999997</v>
      </c>
      <c r="DP70" s="360">
        <f>IS!DP24</f>
        <v>103.899</v>
      </c>
      <c r="DQ70" s="360">
        <f>IS!DQ24</f>
        <v>104.393</v>
      </c>
      <c r="DR70" s="360">
        <f>DQ70</f>
        <v>104.393</v>
      </c>
      <c r="DS70" s="535"/>
      <c r="DT70" s="360">
        <f>IS!DT24</f>
        <v>104.48399999999999</v>
      </c>
      <c r="DU70" s="360">
        <f>IS!DU24</f>
        <v>107.887</v>
      </c>
      <c r="DV70" s="360">
        <f>IS!DV24</f>
        <v>110.461</v>
      </c>
      <c r="DW70" s="360">
        <f>IS!DW24</f>
        <v>111.2</v>
      </c>
      <c r="DX70" s="360">
        <f>DW70</f>
        <v>111.2</v>
      </c>
      <c r="DY70" s="535"/>
      <c r="DZ70" s="360">
        <f>IS!DZ24</f>
        <v>116.199</v>
      </c>
      <c r="EA70" s="360">
        <f>IS!EA24</f>
        <v>118.28700000000001</v>
      </c>
      <c r="EB70" s="360">
        <f>IS!EB24</f>
        <v>122.559</v>
      </c>
      <c r="EC70" s="360">
        <f>IS!EC24</f>
        <v>123.08199999999999</v>
      </c>
      <c r="ED70" s="360">
        <f>EC70</f>
        <v>123.08199999999999</v>
      </c>
      <c r="EE70" s="535"/>
      <c r="EF70" s="360">
        <f>IS!EF24</f>
        <v>123.63</v>
      </c>
      <c r="EG70" s="360">
        <f>IS!EG24</f>
        <v>124.068</v>
      </c>
      <c r="EH70" s="360">
        <f>IS!EH24</f>
        <v>124.425</v>
      </c>
      <c r="EI70" s="360">
        <f>IS!EI24</f>
        <v>124.714</v>
      </c>
      <c r="EJ70" s="360">
        <f>EI70</f>
        <v>124.714</v>
      </c>
      <c r="EK70" s="535"/>
      <c r="EL70" s="360">
        <f>IS!EL24</f>
        <v>125.026</v>
      </c>
      <c r="EM70" s="360">
        <f>IS!EM24</f>
        <v>125.35599999999999</v>
      </c>
      <c r="EN70" s="360">
        <f>IS!EN24</f>
        <v>125.687</v>
      </c>
      <c r="EO70" s="360">
        <f>IS!EO24</f>
        <v>125.929</v>
      </c>
      <c r="EP70" s="360">
        <f>EO70</f>
        <v>125.929</v>
      </c>
      <c r="EQ70" s="535"/>
      <c r="ER70" s="360">
        <f>IS!ER24</f>
        <v>126.111</v>
      </c>
      <c r="ES70" s="360">
        <f>IS!ES24</f>
        <v>126.405</v>
      </c>
      <c r="ET70" s="709">
        <f>IS!ET24</f>
        <v>126.953</v>
      </c>
      <c r="EU70" s="709">
        <f>EU67+EU68-EU69</f>
        <v>127.26950000000001</v>
      </c>
      <c r="EV70" s="360">
        <f>EV67+EV68-EV69</f>
        <v>127.26950000000001</v>
      </c>
      <c r="EW70" s="535"/>
      <c r="EX70" s="709">
        <f>IS!EX24</f>
        <v>127.376</v>
      </c>
      <c r="EY70" s="709">
        <f>IS!EY24</f>
        <v>127.949</v>
      </c>
      <c r="EZ70" s="709">
        <f>IS!EZ24</f>
        <v>128.41499999999999</v>
      </c>
      <c r="FA70" s="709">
        <f>FA67+FA68-FA69</f>
        <v>128.88099999999997</v>
      </c>
      <c r="FB70" s="727">
        <f>FB67+FB68-FB69</f>
        <v>128.88099999999997</v>
      </c>
      <c r="FC70" s="535"/>
      <c r="FD70" s="727">
        <f>FD67+FD68-FD69</f>
        <v>129.23387499999995</v>
      </c>
      <c r="FE70" s="360">
        <f>FE67+FE68-FE69</f>
        <v>129.58674999999994</v>
      </c>
      <c r="FF70" s="360">
        <f>FF67+FF68-FF69</f>
        <v>129.93962499999992</v>
      </c>
      <c r="FG70" s="360">
        <f>FG67+FG68-FG69</f>
        <v>130.2924999999999</v>
      </c>
      <c r="FH70" s="360">
        <f>FH67+FH68-FH69</f>
        <v>130.29249999999996</v>
      </c>
      <c r="FI70" s="535"/>
      <c r="FJ70" s="360">
        <f>FJ67+FJ68-FJ69</f>
        <v>130.5953749999999</v>
      </c>
      <c r="FK70" s="360">
        <f>FK67+FK68-FK69</f>
        <v>130.8982499999999</v>
      </c>
      <c r="FL70" s="360">
        <f>FL67+FL68-FL69</f>
        <v>131.20112499999991</v>
      </c>
      <c r="FM70" s="360">
        <f>FM67+FM68-FM69</f>
        <v>131.50399999999991</v>
      </c>
      <c r="FN70" s="360">
        <f>FN67+FN68-FN69</f>
        <v>131.50399999999988</v>
      </c>
      <c r="FO70" s="535"/>
      <c r="FP70" s="360">
        <f>FP67+FP68-FP69</f>
        <v>131.75687499999989</v>
      </c>
      <c r="FQ70" s="360">
        <f>FQ67+FQ68-FQ69</f>
        <v>132.00974999999988</v>
      </c>
      <c r="FR70" s="360">
        <f>FR67+FR68-FR69</f>
        <v>132.26262499999987</v>
      </c>
      <c r="FS70" s="360">
        <f>FS67+FS68-FS69</f>
        <v>132.51549999999986</v>
      </c>
      <c r="FT70" s="360">
        <f>FT67+FT68-FT69</f>
        <v>132.51549999999989</v>
      </c>
      <c r="FU70" s="535"/>
      <c r="FV70" s="360">
        <f>FV67+FV68-FV69</f>
        <v>132.71837499999987</v>
      </c>
      <c r="FW70" s="360">
        <f>FW67+FW68-FW69</f>
        <v>132.92124999999987</v>
      </c>
      <c r="FX70" s="360">
        <f>FX67+FX68-FX69</f>
        <v>133.12412499999988</v>
      </c>
      <c r="FY70" s="360">
        <f>FY67+FY68-FY69</f>
        <v>133.32699999999988</v>
      </c>
      <c r="FZ70" s="360">
        <f>FZ67+FZ68-FZ69</f>
        <v>133.32699999999983</v>
      </c>
      <c r="GA70" s="535"/>
      <c r="GB70" s="360">
        <f>GB67+GB68-GB69</f>
        <v>133.47987499999988</v>
      </c>
      <c r="GC70" s="360">
        <f>GC67+GC68-GC69</f>
        <v>133.63274999999987</v>
      </c>
      <c r="GD70" s="360">
        <f>GD67+GD68-GD69</f>
        <v>133.78562499999987</v>
      </c>
      <c r="GE70" s="360">
        <f>GE67+GE68-GE69</f>
        <v>133.93849999999986</v>
      </c>
      <c r="GF70" s="360">
        <f>GF67+GF68-GF69</f>
        <v>133.93849999999986</v>
      </c>
      <c r="GG70" s="535"/>
      <c r="GH70" s="360">
        <f>GH67+GH68-GH69</f>
        <v>134.04137499999985</v>
      </c>
      <c r="GI70" s="360">
        <f>GI67+GI68-GI69</f>
        <v>134.14424999999983</v>
      </c>
      <c r="GJ70" s="360">
        <f>GJ67+GJ68-GJ69</f>
        <v>134.24712499999981</v>
      </c>
      <c r="GK70" s="360">
        <f>GK67+GK68-GK69</f>
        <v>134.3499999999998</v>
      </c>
      <c r="GL70" s="360">
        <f>GL67+GL68-GL69</f>
        <v>134.34999999999985</v>
      </c>
      <c r="GM70" s="535"/>
      <c r="GN70" s="360">
        <f>GN67+GN68-GN69</f>
        <v>134.4028749999998</v>
      </c>
      <c r="GO70" s="360">
        <f>GO67+GO68-GO69</f>
        <v>134.4557499999998</v>
      </c>
      <c r="GP70" s="360">
        <f>GP67+GP68-GP69</f>
        <v>134.5086249999998</v>
      </c>
      <c r="GQ70" s="360">
        <f>GQ67+GQ68-GQ69</f>
        <v>134.5614999999998</v>
      </c>
      <c r="GR70" s="360">
        <f>GR67+GR68-GR69</f>
        <v>134.56149999999977</v>
      </c>
      <c r="GS70" s="535"/>
      <c r="GT70" s="360">
        <f>GT67+GT68-GT69</f>
        <v>134.5614999999998</v>
      </c>
      <c r="GU70" s="360">
        <f>GU67+GU68-GU69</f>
        <v>134.5614999999998</v>
      </c>
      <c r="GV70" s="360">
        <f>GV67+GV68-GV69</f>
        <v>134.5614999999998</v>
      </c>
      <c r="GW70" s="360">
        <f>GW67+GW68-GW69</f>
        <v>134.5614999999998</v>
      </c>
      <c r="GX70" s="360">
        <f>GX67+GX68-GX69</f>
        <v>134.5614999999998</v>
      </c>
      <c r="GY70" s="535"/>
      <c r="GZ70" s="360">
        <f>GZ67+GZ68-GZ69</f>
        <v>134.5614999999998</v>
      </c>
      <c r="HA70" s="360">
        <f>HA67+HA68-HA69</f>
        <v>134.5614999999998</v>
      </c>
      <c r="HB70" s="360">
        <f>HB67+HB68-HB69</f>
        <v>134.5614999999998</v>
      </c>
      <c r="HC70" s="360">
        <f>HC67+HC68-HC69</f>
        <v>134.5614999999998</v>
      </c>
      <c r="HD70" s="360">
        <f>HD67+HD68-HD69</f>
        <v>134.5614999999998</v>
      </c>
      <c r="HE70" s="657"/>
      <c r="HF70" s="360">
        <f>HF67+HF68-HF69</f>
        <v>134.5614999999998</v>
      </c>
      <c r="HG70" s="360">
        <f>HG67+HG68-HG69</f>
        <v>134.5614999999998</v>
      </c>
      <c r="HH70" s="360">
        <f>HH67+HH68-HH69</f>
        <v>134.5614999999998</v>
      </c>
      <c r="HI70" s="360">
        <f>HI67+HI68-HI69</f>
        <v>134.5614999999998</v>
      </c>
      <c r="HJ70" s="360">
        <f>HJ67+HJ68-HJ69</f>
        <v>134.5614999999998</v>
      </c>
    </row>
    <row r="71" spans="1:218">
      <c r="A71" s="37"/>
      <c r="B71" s="37" t="s">
        <v>601</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8"/>
      <c r="BM71" s="38"/>
      <c r="BN71" s="38"/>
      <c r="BO71" s="38"/>
      <c r="BP71" s="37"/>
      <c r="BQ71" s="37"/>
      <c r="BR71" s="38"/>
      <c r="BS71" s="38"/>
      <c r="BT71" s="38"/>
      <c r="BU71" s="38"/>
      <c r="BV71" s="37"/>
      <c r="BW71" s="37"/>
      <c r="BX71" s="121"/>
      <c r="BY71" s="38"/>
      <c r="BZ71" s="38"/>
      <c r="CA71" s="38"/>
      <c r="CB71" s="37"/>
      <c r="CC71" s="37"/>
      <c r="CD71" s="38"/>
      <c r="CE71" s="38"/>
      <c r="CF71" s="38"/>
      <c r="CG71" s="38"/>
      <c r="CH71" s="37"/>
      <c r="CI71" s="37"/>
      <c r="CJ71" s="38"/>
      <c r="CK71" s="38"/>
      <c r="CL71" s="38"/>
      <c r="CM71" s="38"/>
      <c r="CN71" s="37"/>
      <c r="CO71" s="37"/>
      <c r="CP71" s="38"/>
      <c r="CQ71" s="38"/>
      <c r="CR71" s="38"/>
      <c r="CS71" s="38"/>
      <c r="CT71" s="37"/>
      <c r="CU71" s="37"/>
      <c r="CV71" s="38"/>
      <c r="CW71" s="38"/>
      <c r="CX71" s="38"/>
      <c r="CY71" s="38"/>
      <c r="CZ71" s="37"/>
      <c r="DA71" s="37"/>
      <c r="DB71" s="38"/>
      <c r="DC71" s="38"/>
      <c r="DD71" s="38"/>
      <c r="DE71" s="38"/>
      <c r="DF71" s="37"/>
      <c r="DG71" s="37"/>
      <c r="DH71" s="102"/>
      <c r="DI71" s="656">
        <f>DI72-DI70</f>
        <v>9.1510000000000105</v>
      </c>
      <c r="DJ71" s="656">
        <f>DJ72-DJ70</f>
        <v>3.6740000000000066</v>
      </c>
      <c r="DK71" s="656">
        <f>DK72-DK70</f>
        <v>3.6039999999999992</v>
      </c>
      <c r="DL71" s="656">
        <f>DL72-DL70</f>
        <v>3.6039999999999992</v>
      </c>
      <c r="DM71" s="102"/>
      <c r="DN71" s="656">
        <f>DN72-DN70</f>
        <v>0</v>
      </c>
      <c r="DO71" s="656">
        <f>DO72-DO70</f>
        <v>4.0390000000000015</v>
      </c>
      <c r="DP71" s="656">
        <f>DP72-DP70</f>
        <v>3.9809999999999945</v>
      </c>
      <c r="DQ71" s="656">
        <f>DQ72-DQ70</f>
        <v>3.4230000000000018</v>
      </c>
      <c r="DR71" s="656">
        <f>DR72-DR70</f>
        <v>3.4230000000000018</v>
      </c>
      <c r="DS71" s="102"/>
      <c r="DT71" s="656">
        <f>DT72-DT70</f>
        <v>0</v>
      </c>
      <c r="DU71" s="656">
        <f>DU72-DU70</f>
        <v>0</v>
      </c>
      <c r="DV71" s="656">
        <f>DV72-DV70</f>
        <v>8.730000000000004</v>
      </c>
      <c r="DW71" s="656">
        <f>DW72-DW70</f>
        <v>3.0360000000000014</v>
      </c>
      <c r="DX71" s="656">
        <f>DX72-DX70</f>
        <v>3.0360000000000014</v>
      </c>
      <c r="DY71" s="102"/>
      <c r="DZ71" s="656">
        <f>DZ72-DZ70</f>
        <v>0</v>
      </c>
      <c r="EA71" s="656">
        <f>EA72-EA70</f>
        <v>12.949999999999989</v>
      </c>
      <c r="EB71" s="656">
        <f>EB72-EB70</f>
        <v>0</v>
      </c>
      <c r="EC71" s="656">
        <f>EC72-EC70</f>
        <v>0</v>
      </c>
      <c r="ED71" s="656">
        <f>ED72-ED70</f>
        <v>0</v>
      </c>
      <c r="EE71" s="102"/>
      <c r="EF71" s="656">
        <f>EF72-EF70</f>
        <v>0</v>
      </c>
      <c r="EG71" s="656">
        <f>EG72-EG70</f>
        <v>0</v>
      </c>
      <c r="EH71" s="656">
        <f>EH72-EH70</f>
        <v>0</v>
      </c>
      <c r="EI71" s="656">
        <f>EI72-EI70</f>
        <v>0</v>
      </c>
      <c r="EJ71" s="656">
        <f>EJ72-EJ70</f>
        <v>0</v>
      </c>
      <c r="EK71" s="102"/>
      <c r="EL71" s="656">
        <f>EL72-EL70</f>
        <v>0</v>
      </c>
      <c r="EM71" s="656">
        <f>EM72-EM70</f>
        <v>0</v>
      </c>
      <c r="EN71" s="656">
        <f>EN72-EN70</f>
        <v>0</v>
      </c>
      <c r="EO71" s="656">
        <f>EO72-EO70</f>
        <v>0</v>
      </c>
      <c r="EP71" s="656">
        <f>EP72-EP70</f>
        <v>0</v>
      </c>
      <c r="EQ71" s="102"/>
      <c r="ER71" s="656">
        <f>ER72-ER70</f>
        <v>0</v>
      </c>
      <c r="ES71" s="656">
        <f>ES72-ES70</f>
        <v>0</v>
      </c>
      <c r="ET71" s="656">
        <f>ET72-ET70</f>
        <v>0</v>
      </c>
      <c r="EU71" s="656">
        <f>ET71</f>
        <v>0</v>
      </c>
      <c r="EV71" s="656">
        <f>EU71</f>
        <v>0</v>
      </c>
      <c r="EW71" s="37"/>
      <c r="EX71" s="656">
        <f>EX72-EX70</f>
        <v>0</v>
      </c>
      <c r="EY71" s="656">
        <f>EY72-EY70</f>
        <v>0</v>
      </c>
      <c r="EZ71" s="656">
        <f>EZ72-EZ70</f>
        <v>0</v>
      </c>
      <c r="FA71" s="656">
        <f>EZ71</f>
        <v>0</v>
      </c>
      <c r="FB71" s="728">
        <f>FA71</f>
        <v>0</v>
      </c>
      <c r="FC71" s="37"/>
      <c r="FD71" s="728">
        <f>FA71</f>
        <v>0</v>
      </c>
      <c r="FE71" s="656">
        <f>FD71</f>
        <v>0</v>
      </c>
      <c r="FF71" s="656">
        <f>FE71</f>
        <v>0</v>
      </c>
      <c r="FG71" s="656">
        <f>FF71</f>
        <v>0</v>
      </c>
      <c r="FH71" s="656">
        <f>FG71</f>
        <v>0</v>
      </c>
      <c r="FI71" s="37"/>
      <c r="FJ71" s="656">
        <f>FG71</f>
        <v>0</v>
      </c>
      <c r="FK71" s="656">
        <f>FJ71</f>
        <v>0</v>
      </c>
      <c r="FL71" s="656">
        <f>FK71</f>
        <v>0</v>
      </c>
      <c r="FM71" s="656">
        <f>FL71</f>
        <v>0</v>
      </c>
      <c r="FN71" s="656">
        <f>FM71</f>
        <v>0</v>
      </c>
      <c r="FO71" s="37"/>
      <c r="FP71" s="656">
        <f>FM71</f>
        <v>0</v>
      </c>
      <c r="FQ71" s="656">
        <f>FP71</f>
        <v>0</v>
      </c>
      <c r="FR71" s="656">
        <f>FQ71</f>
        <v>0</v>
      </c>
      <c r="FS71" s="656">
        <f>FR71</f>
        <v>0</v>
      </c>
      <c r="FT71" s="656">
        <f>FS71</f>
        <v>0</v>
      </c>
      <c r="FU71" s="37"/>
      <c r="FV71" s="656">
        <f>FS71</f>
        <v>0</v>
      </c>
      <c r="FW71" s="656">
        <f>FV71</f>
        <v>0</v>
      </c>
      <c r="FX71" s="656">
        <f>FW71</f>
        <v>0</v>
      </c>
      <c r="FY71" s="656">
        <f>FX71</f>
        <v>0</v>
      </c>
      <c r="FZ71" s="656">
        <f>FY71</f>
        <v>0</v>
      </c>
      <c r="GA71" s="37"/>
      <c r="GB71" s="656">
        <f>FY71</f>
        <v>0</v>
      </c>
      <c r="GC71" s="656">
        <f>GB71</f>
        <v>0</v>
      </c>
      <c r="GD71" s="656">
        <f>GC71</f>
        <v>0</v>
      </c>
      <c r="GE71" s="656">
        <f>GD71</f>
        <v>0</v>
      </c>
      <c r="GF71" s="656">
        <f>GE71</f>
        <v>0</v>
      </c>
      <c r="GG71" s="37"/>
      <c r="GH71" s="656">
        <f>GE71</f>
        <v>0</v>
      </c>
      <c r="GI71" s="656">
        <f>GH71</f>
        <v>0</v>
      </c>
      <c r="GJ71" s="656">
        <f>GI71</f>
        <v>0</v>
      </c>
      <c r="GK71" s="656">
        <f>GJ71</f>
        <v>0</v>
      </c>
      <c r="GL71" s="656">
        <f>GK71</f>
        <v>0</v>
      </c>
      <c r="GM71" s="37"/>
      <c r="GN71" s="656">
        <f>GK71</f>
        <v>0</v>
      </c>
      <c r="GO71" s="656">
        <f>GN71</f>
        <v>0</v>
      </c>
      <c r="GP71" s="656">
        <f>GO71</f>
        <v>0</v>
      </c>
      <c r="GQ71" s="656">
        <f>GP71</f>
        <v>0</v>
      </c>
      <c r="GR71" s="656">
        <f>GQ71</f>
        <v>0</v>
      </c>
      <c r="GS71" s="37"/>
      <c r="GT71" s="656">
        <f>GQ71</f>
        <v>0</v>
      </c>
      <c r="GU71" s="656">
        <f>GT71</f>
        <v>0</v>
      </c>
      <c r="GV71" s="656">
        <f>GU71</f>
        <v>0</v>
      </c>
      <c r="GW71" s="656">
        <f>GV71</f>
        <v>0</v>
      </c>
      <c r="GX71" s="656">
        <f>GW71</f>
        <v>0</v>
      </c>
      <c r="GY71" s="37"/>
      <c r="GZ71" s="656">
        <f>GW71</f>
        <v>0</v>
      </c>
      <c r="HA71" s="656">
        <f>GZ71</f>
        <v>0</v>
      </c>
      <c r="HB71" s="656">
        <f>HA71</f>
        <v>0</v>
      </c>
      <c r="HC71" s="656">
        <f>HB71</f>
        <v>0</v>
      </c>
      <c r="HD71" s="656">
        <f>HC71</f>
        <v>0</v>
      </c>
      <c r="HF71" s="656">
        <f>HC71</f>
        <v>0</v>
      </c>
      <c r="HG71" s="656">
        <f>HF71</f>
        <v>0</v>
      </c>
      <c r="HH71" s="656">
        <f>HG71</f>
        <v>0</v>
      </c>
      <c r="HI71" s="656">
        <f>HH71</f>
        <v>0</v>
      </c>
      <c r="HJ71" s="656">
        <f>HI71</f>
        <v>0</v>
      </c>
    </row>
    <row r="72" spans="1:218">
      <c r="A72" s="37"/>
      <c r="B72" s="37" t="s">
        <v>600</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8"/>
      <c r="BM72" s="38"/>
      <c r="BN72" s="38"/>
      <c r="BO72" s="38"/>
      <c r="BP72" s="37"/>
      <c r="BQ72" s="37"/>
      <c r="BR72" s="38"/>
      <c r="BS72" s="38"/>
      <c r="BT72" s="38"/>
      <c r="BU72" s="38"/>
      <c r="BV72" s="37"/>
      <c r="BW72" s="37"/>
      <c r="BX72" s="121"/>
      <c r="BY72" s="38"/>
      <c r="BZ72" s="38"/>
      <c r="CA72" s="38"/>
      <c r="CB72" s="37"/>
      <c r="CC72" s="37"/>
      <c r="CD72" s="38"/>
      <c r="CE72" s="38"/>
      <c r="CF72" s="38"/>
      <c r="CG72" s="38"/>
      <c r="CH72" s="37"/>
      <c r="CI72" s="37"/>
      <c r="CJ72" s="38"/>
      <c r="CK72" s="38"/>
      <c r="CL72" s="38"/>
      <c r="CM72" s="38"/>
      <c r="CN72" s="37"/>
      <c r="CO72" s="37"/>
      <c r="CP72" s="38"/>
      <c r="CQ72" s="38"/>
      <c r="CR72" s="38"/>
      <c r="CS72" s="38"/>
      <c r="CT72" s="37"/>
      <c r="CU72" s="37"/>
      <c r="CV72" s="38"/>
      <c r="CW72" s="38"/>
      <c r="CX72" s="38"/>
      <c r="CY72" s="38"/>
      <c r="CZ72" s="37"/>
      <c r="DA72" s="37"/>
      <c r="DB72" s="38"/>
      <c r="DC72" s="38"/>
      <c r="DD72" s="38"/>
      <c r="DE72" s="38"/>
      <c r="DF72" s="37"/>
      <c r="DG72" s="37"/>
      <c r="DH72" s="360">
        <f>IS!DH25</f>
        <v>80.507000000000005</v>
      </c>
      <c r="DI72" s="360">
        <f>IS!DI25</f>
        <v>90.168000000000006</v>
      </c>
      <c r="DJ72" s="360">
        <f>IS!DJ25</f>
        <v>90.927000000000007</v>
      </c>
      <c r="DK72" s="360">
        <f>IS!DK25</f>
        <v>96.873999999999995</v>
      </c>
      <c r="DL72" s="360">
        <f>DK72</f>
        <v>96.873999999999995</v>
      </c>
      <c r="DM72" s="102"/>
      <c r="DN72" s="360">
        <f>IS!DN25</f>
        <v>94.74</v>
      </c>
      <c r="DO72" s="360">
        <f>IS!DO25</f>
        <v>102.336</v>
      </c>
      <c r="DP72" s="360">
        <f>IS!DP25</f>
        <v>107.88</v>
      </c>
      <c r="DQ72" s="360">
        <f>IS!DQ25</f>
        <v>107.816</v>
      </c>
      <c r="DR72" s="360">
        <f>DQ72</f>
        <v>107.816</v>
      </c>
      <c r="DS72" s="102"/>
      <c r="DT72" s="360">
        <f>IS!DT25</f>
        <v>104.48399999999999</v>
      </c>
      <c r="DU72" s="360">
        <f>IS!DU25</f>
        <v>107.887</v>
      </c>
      <c r="DV72" s="360">
        <f>IS!DV25</f>
        <v>119.191</v>
      </c>
      <c r="DW72" s="360">
        <f>IS!DW25</f>
        <v>114.236</v>
      </c>
      <c r="DX72" s="360">
        <f>DW72</f>
        <v>114.236</v>
      </c>
      <c r="DY72" s="102"/>
      <c r="DZ72" s="360">
        <f>IS!DZ25</f>
        <v>116.199</v>
      </c>
      <c r="EA72" s="360">
        <f>IS!EA25</f>
        <v>131.23699999999999</v>
      </c>
      <c r="EB72" s="360">
        <f>IS!EB25</f>
        <v>122.559</v>
      </c>
      <c r="EC72" s="360">
        <f>IS!EC25</f>
        <v>123.08199999999999</v>
      </c>
      <c r="ED72" s="360">
        <f>EC72</f>
        <v>123.08199999999999</v>
      </c>
      <c r="EE72" s="102"/>
      <c r="EF72" s="360">
        <f>IS!EF25</f>
        <v>123.63</v>
      </c>
      <c r="EG72" s="360">
        <f>IS!EG25</f>
        <v>124.068</v>
      </c>
      <c r="EH72" s="360">
        <f>IS!EH25</f>
        <v>124.425</v>
      </c>
      <c r="EI72" s="360">
        <f>IS!EI25</f>
        <v>124.714</v>
      </c>
      <c r="EJ72" s="360">
        <f>EI72</f>
        <v>124.714</v>
      </c>
      <c r="EK72" s="102"/>
      <c r="EL72" s="360">
        <f>IS!EL25</f>
        <v>125.026</v>
      </c>
      <c r="EM72" s="360">
        <f>IS!EM25</f>
        <v>125.35599999999999</v>
      </c>
      <c r="EN72" s="360">
        <f>IS!EN25</f>
        <v>125.687</v>
      </c>
      <c r="EO72" s="360">
        <f>IS!EO25</f>
        <v>125.929</v>
      </c>
      <c r="EP72" s="360">
        <f>EO72</f>
        <v>125.929</v>
      </c>
      <c r="EQ72" s="102"/>
      <c r="ER72" s="360">
        <f>IS!ER25</f>
        <v>126.111</v>
      </c>
      <c r="ES72" s="360">
        <f>IS!ES25</f>
        <v>126.405</v>
      </c>
      <c r="ET72" s="709">
        <f>IS!ET25</f>
        <v>126.953</v>
      </c>
      <c r="EU72" s="709">
        <f>EU70+EU71</f>
        <v>127.26950000000001</v>
      </c>
      <c r="EV72" s="360">
        <f>EV70+EV71</f>
        <v>127.26950000000001</v>
      </c>
      <c r="EW72" s="37"/>
      <c r="EX72" s="709">
        <f>IS!EX25</f>
        <v>127.376</v>
      </c>
      <c r="EY72" s="709">
        <f>IS!EY25</f>
        <v>127.949</v>
      </c>
      <c r="EZ72" s="709">
        <f>IS!EZ25</f>
        <v>128.41499999999999</v>
      </c>
      <c r="FA72" s="709">
        <f>FA70+FA71</f>
        <v>128.88099999999997</v>
      </c>
      <c r="FB72" s="727">
        <f>FB70+FB71</f>
        <v>128.88099999999997</v>
      </c>
      <c r="FC72" s="37"/>
      <c r="FD72" s="727">
        <f>FD70+FD71</f>
        <v>129.23387499999995</v>
      </c>
      <c r="FE72" s="360">
        <f>FE70+FE71</f>
        <v>129.58674999999994</v>
      </c>
      <c r="FF72" s="360">
        <f>FF70+FF71</f>
        <v>129.93962499999992</v>
      </c>
      <c r="FG72" s="360">
        <f>FG70+FG71</f>
        <v>130.2924999999999</v>
      </c>
      <c r="FH72" s="360">
        <f>FH70+FH71</f>
        <v>130.29249999999996</v>
      </c>
      <c r="FI72" s="37"/>
      <c r="FJ72" s="360">
        <f>FJ70+FJ71</f>
        <v>130.5953749999999</v>
      </c>
      <c r="FK72" s="360">
        <f>FK70+FK71</f>
        <v>130.8982499999999</v>
      </c>
      <c r="FL72" s="360">
        <f>FL70+FL71</f>
        <v>131.20112499999991</v>
      </c>
      <c r="FM72" s="360">
        <f>FM70+FM71</f>
        <v>131.50399999999991</v>
      </c>
      <c r="FN72" s="360">
        <f>FN70+FN71</f>
        <v>131.50399999999988</v>
      </c>
      <c r="FO72" s="37"/>
      <c r="FP72" s="360">
        <f>FP70+FP71</f>
        <v>131.75687499999989</v>
      </c>
      <c r="FQ72" s="360">
        <f>FQ70+FQ71</f>
        <v>132.00974999999988</v>
      </c>
      <c r="FR72" s="360">
        <f>FR70+FR71</f>
        <v>132.26262499999987</v>
      </c>
      <c r="FS72" s="360">
        <f>FS70+FS71</f>
        <v>132.51549999999986</v>
      </c>
      <c r="FT72" s="360">
        <f>FT70+FT71</f>
        <v>132.51549999999989</v>
      </c>
      <c r="FU72" s="37"/>
      <c r="FV72" s="360">
        <f>FV70+FV71</f>
        <v>132.71837499999987</v>
      </c>
      <c r="FW72" s="360">
        <f>FW70+FW71</f>
        <v>132.92124999999987</v>
      </c>
      <c r="FX72" s="360">
        <f>FX70+FX71</f>
        <v>133.12412499999988</v>
      </c>
      <c r="FY72" s="360">
        <f>FY70+FY71</f>
        <v>133.32699999999988</v>
      </c>
      <c r="FZ72" s="360">
        <f>FZ70+FZ71</f>
        <v>133.32699999999983</v>
      </c>
      <c r="GA72" s="37"/>
      <c r="GB72" s="360">
        <f>GB70+GB71</f>
        <v>133.47987499999988</v>
      </c>
      <c r="GC72" s="360">
        <f>GC70+GC71</f>
        <v>133.63274999999987</v>
      </c>
      <c r="GD72" s="360">
        <f>GD70+GD71</f>
        <v>133.78562499999987</v>
      </c>
      <c r="GE72" s="360">
        <f>GE70+GE71</f>
        <v>133.93849999999986</v>
      </c>
      <c r="GF72" s="360">
        <f>GF70+GF71</f>
        <v>133.93849999999986</v>
      </c>
      <c r="GG72" s="37"/>
      <c r="GH72" s="360">
        <f>GH70+GH71</f>
        <v>134.04137499999985</v>
      </c>
      <c r="GI72" s="360">
        <f>GI70+GI71</f>
        <v>134.14424999999983</v>
      </c>
      <c r="GJ72" s="360">
        <f>GJ70+GJ71</f>
        <v>134.24712499999981</v>
      </c>
      <c r="GK72" s="360">
        <f>GK70+GK71</f>
        <v>134.3499999999998</v>
      </c>
      <c r="GL72" s="360">
        <f>GL70+GL71</f>
        <v>134.34999999999985</v>
      </c>
      <c r="GM72" s="37"/>
      <c r="GN72" s="360">
        <f>GN70+GN71</f>
        <v>134.4028749999998</v>
      </c>
      <c r="GO72" s="360">
        <f>GO70+GO71</f>
        <v>134.4557499999998</v>
      </c>
      <c r="GP72" s="360">
        <f>GP70+GP71</f>
        <v>134.5086249999998</v>
      </c>
      <c r="GQ72" s="360">
        <f>GQ70+GQ71</f>
        <v>134.5614999999998</v>
      </c>
      <c r="GR72" s="360">
        <f>GR70+GR71</f>
        <v>134.56149999999977</v>
      </c>
      <c r="GS72" s="37"/>
      <c r="GT72" s="360">
        <f>GT70+GT71</f>
        <v>134.5614999999998</v>
      </c>
      <c r="GU72" s="360">
        <f>GU70+GU71</f>
        <v>134.5614999999998</v>
      </c>
      <c r="GV72" s="360">
        <f>GV70+GV71</f>
        <v>134.5614999999998</v>
      </c>
      <c r="GW72" s="360">
        <f>GW70+GW71</f>
        <v>134.5614999999998</v>
      </c>
      <c r="GX72" s="360">
        <f>GX70+GX71</f>
        <v>134.5614999999998</v>
      </c>
      <c r="GY72" s="37"/>
      <c r="GZ72" s="360">
        <f>GZ70+GZ71</f>
        <v>134.5614999999998</v>
      </c>
      <c r="HA72" s="360">
        <f>HA70+HA71</f>
        <v>134.5614999999998</v>
      </c>
      <c r="HB72" s="360">
        <f>HB70+HB71</f>
        <v>134.5614999999998</v>
      </c>
      <c r="HC72" s="360">
        <f>HC70+HC71</f>
        <v>134.5614999999998</v>
      </c>
      <c r="HD72" s="360">
        <f>HD70+HD71</f>
        <v>134.5614999999998</v>
      </c>
      <c r="HF72" s="360">
        <f>HF70+HF71</f>
        <v>134.5614999999998</v>
      </c>
      <c r="HG72" s="360">
        <f>HG70+HG71</f>
        <v>134.5614999999998</v>
      </c>
      <c r="HH72" s="360">
        <f>HH70+HH71</f>
        <v>134.5614999999998</v>
      </c>
      <c r="HI72" s="360">
        <f>HI70+HI71</f>
        <v>134.5614999999998</v>
      </c>
      <c r="HJ72" s="360">
        <f>HJ70+HJ71</f>
        <v>134.5614999999998</v>
      </c>
    </row>
    <row r="73" spans="1:218">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8"/>
      <c r="BM73" s="38"/>
      <c r="BN73" s="38"/>
      <c r="BO73" s="38"/>
      <c r="BP73" s="37"/>
      <c r="BQ73" s="37"/>
      <c r="BR73" s="38"/>
      <c r="BS73" s="38"/>
      <c r="BT73" s="38"/>
      <c r="BU73" s="38"/>
      <c r="BV73" s="37"/>
      <c r="BW73" s="37"/>
      <c r="BX73" s="121"/>
      <c r="BY73" s="38"/>
      <c r="BZ73" s="38"/>
      <c r="CA73" s="38"/>
      <c r="CB73" s="37"/>
      <c r="CC73" s="37"/>
      <c r="CD73" s="38"/>
      <c r="CE73" s="38"/>
      <c r="CF73" s="38"/>
      <c r="CG73" s="38"/>
      <c r="CH73" s="37"/>
      <c r="CI73" s="37"/>
      <c r="CJ73" s="38"/>
      <c r="CK73" s="38"/>
      <c r="CL73" s="38"/>
      <c r="CM73" s="38"/>
      <c r="CN73" s="37"/>
      <c r="CO73" s="37"/>
      <c r="CP73" s="38"/>
      <c r="CQ73" s="38"/>
      <c r="CR73" s="38"/>
      <c r="CS73" s="38"/>
      <c r="CT73" s="37"/>
      <c r="CU73" s="37"/>
      <c r="CV73" s="38"/>
      <c r="CW73" s="38"/>
      <c r="CX73" s="38"/>
      <c r="CY73" s="38"/>
      <c r="CZ73" s="37"/>
      <c r="DA73" s="37"/>
      <c r="DB73" s="38"/>
      <c r="DC73" s="38"/>
      <c r="DD73" s="38"/>
      <c r="DE73" s="38"/>
      <c r="DF73" s="37"/>
      <c r="DG73" s="37"/>
      <c r="DH73" s="360"/>
      <c r="DI73" s="360"/>
      <c r="DJ73" s="360"/>
      <c r="DK73" s="360"/>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c r="EO73" s="102"/>
      <c r="EP73" s="102"/>
      <c r="EQ73" s="102"/>
      <c r="ER73" s="102"/>
      <c r="ES73" s="459"/>
      <c r="ET73" s="459"/>
      <c r="EU73" s="459"/>
      <c r="EV73" s="102"/>
      <c r="EW73" s="37"/>
      <c r="EX73" s="102"/>
      <c r="EY73" s="102"/>
      <c r="EZ73" s="459"/>
      <c r="FA73" s="459"/>
      <c r="FB73" s="543"/>
      <c r="FC73" s="37"/>
      <c r="FD73" s="729"/>
      <c r="FE73" s="459"/>
      <c r="FF73" s="459"/>
      <c r="FG73" s="459"/>
      <c r="FH73" s="102"/>
      <c r="FI73" s="37"/>
      <c r="FJ73" s="459"/>
      <c r="FK73" s="459"/>
      <c r="FL73" s="459"/>
      <c r="FM73" s="459"/>
      <c r="FN73" s="102"/>
      <c r="FO73" s="37"/>
      <c r="FP73" s="459"/>
      <c r="FQ73" s="459"/>
      <c r="FR73" s="459"/>
      <c r="FS73" s="459"/>
      <c r="FT73" s="102"/>
      <c r="FU73" s="37"/>
      <c r="FV73" s="459"/>
      <c r="FW73" s="459"/>
      <c r="FX73" s="459"/>
      <c r="FY73" s="459"/>
      <c r="FZ73" s="102"/>
      <c r="GA73" s="37"/>
      <c r="GB73" s="459"/>
      <c r="GC73" s="459"/>
      <c r="GD73" s="459"/>
      <c r="GE73" s="459"/>
      <c r="GF73" s="102"/>
      <c r="GG73" s="37"/>
      <c r="GH73" s="459"/>
      <c r="GI73" s="459"/>
      <c r="GJ73" s="459"/>
      <c r="GK73" s="459"/>
      <c r="GL73" s="102"/>
      <c r="GM73" s="37"/>
      <c r="GN73" s="459"/>
      <c r="GO73" s="459"/>
      <c r="GP73" s="459"/>
      <c r="GQ73" s="459"/>
      <c r="GR73" s="102"/>
      <c r="GS73" s="37"/>
      <c r="GT73" s="459"/>
      <c r="GU73" s="459"/>
      <c r="GV73" s="459"/>
      <c r="GW73" s="459"/>
      <c r="GX73" s="102"/>
      <c r="GY73" s="37"/>
      <c r="GZ73" s="459"/>
      <c r="HA73" s="459"/>
      <c r="HB73" s="459"/>
      <c r="HC73" s="459"/>
      <c r="HD73" s="102"/>
      <c r="HF73" s="459"/>
      <c r="HG73" s="459"/>
      <c r="HH73" s="459"/>
      <c r="HI73" s="459"/>
      <c r="HJ73" s="102"/>
    </row>
    <row r="74" spans="1:218">
      <c r="A74" s="37"/>
      <c r="B74" s="37" t="s">
        <v>71</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8"/>
      <c r="BM74" s="38"/>
      <c r="BN74" s="38"/>
      <c r="BO74" s="38"/>
      <c r="BP74" s="37"/>
      <c r="BQ74" s="37"/>
      <c r="BR74" s="38"/>
      <c r="BS74" s="38"/>
      <c r="BT74" s="38"/>
      <c r="BU74" s="38"/>
      <c r="BV74" s="37"/>
      <c r="BW74" s="37"/>
      <c r="BX74" s="121"/>
      <c r="BY74" s="38"/>
      <c r="BZ74" s="38"/>
      <c r="CA74" s="38"/>
      <c r="CB74" s="37"/>
      <c r="CC74" s="37"/>
      <c r="CD74" s="38"/>
      <c r="CE74" s="38"/>
      <c r="CF74" s="38"/>
      <c r="CG74" s="38"/>
      <c r="CH74" s="37"/>
      <c r="CI74" s="37"/>
      <c r="CJ74" s="38"/>
      <c r="CK74" s="38"/>
      <c r="CL74" s="38"/>
      <c r="CM74" s="38"/>
      <c r="CN74" s="37"/>
      <c r="CO74" s="37"/>
      <c r="CP74" s="38"/>
      <c r="CQ74" s="38"/>
      <c r="CR74" s="38"/>
      <c r="CS74" s="38"/>
      <c r="CT74" s="37"/>
      <c r="CU74" s="37"/>
      <c r="CV74" s="38"/>
      <c r="CW74" s="38"/>
      <c r="CX74" s="38"/>
      <c r="CY74" s="38"/>
      <c r="CZ74" s="37"/>
      <c r="DA74" s="37"/>
      <c r="DB74" s="38"/>
      <c r="DC74" s="38"/>
      <c r="DD74" s="38"/>
      <c r="DE74" s="38"/>
      <c r="DF74" s="37"/>
      <c r="DG74" s="37"/>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c r="EO74" s="102"/>
      <c r="EP74" s="102"/>
      <c r="EQ74" s="102"/>
      <c r="ER74" s="102"/>
      <c r="ES74" s="460"/>
      <c r="ET74" s="460"/>
      <c r="EU74" s="460"/>
      <c r="EV74" s="460"/>
      <c r="EW74" s="37"/>
      <c r="EX74" s="102"/>
      <c r="EY74" s="102"/>
      <c r="EZ74" s="102">
        <f>EY74</f>
        <v>0</v>
      </c>
      <c r="FA74" s="102">
        <f>EZ74</f>
        <v>0</v>
      </c>
      <c r="FB74" s="543">
        <f>AVERAGE(EX74:FA74)</f>
        <v>0</v>
      </c>
      <c r="FC74" s="37"/>
      <c r="FD74" s="543">
        <f>FA74</f>
        <v>0</v>
      </c>
      <c r="FE74" s="102">
        <f>FD74</f>
        <v>0</v>
      </c>
      <c r="FF74" s="102">
        <f>FE74</f>
        <v>0</v>
      </c>
      <c r="FG74" s="102">
        <f>FF74</f>
        <v>0</v>
      </c>
      <c r="FH74" s="102">
        <f>AVERAGE(FD74:FG74)</f>
        <v>0</v>
      </c>
      <c r="FI74" s="37"/>
      <c r="FJ74" s="102">
        <f>FG74</f>
        <v>0</v>
      </c>
      <c r="FK74" s="102">
        <f>FJ74</f>
        <v>0</v>
      </c>
      <c r="FL74" s="102">
        <f>FK74</f>
        <v>0</v>
      </c>
      <c r="FM74" s="102">
        <f>FL74</f>
        <v>0</v>
      </c>
      <c r="FN74" s="102">
        <f>AVERAGE(FJ74:FM74)</f>
        <v>0</v>
      </c>
      <c r="FO74" s="37"/>
      <c r="FP74" s="102">
        <f>FM74</f>
        <v>0</v>
      </c>
      <c r="FQ74" s="102">
        <f>FP74</f>
        <v>0</v>
      </c>
      <c r="FR74" s="102">
        <f>FQ74</f>
        <v>0</v>
      </c>
      <c r="FS74" s="102">
        <f>FR74</f>
        <v>0</v>
      </c>
      <c r="FT74" s="102">
        <f>AVERAGE(FP74:FS74)</f>
        <v>0</v>
      </c>
      <c r="FU74" s="37"/>
      <c r="FV74" s="102">
        <f>FS74</f>
        <v>0</v>
      </c>
      <c r="FW74" s="102">
        <f>FV74</f>
        <v>0</v>
      </c>
      <c r="FX74" s="102">
        <f>FW74</f>
        <v>0</v>
      </c>
      <c r="FY74" s="102">
        <f>FX74</f>
        <v>0</v>
      </c>
      <c r="FZ74" s="102">
        <f>AVERAGE(FV74:FY74)</f>
        <v>0</v>
      </c>
      <c r="GA74" s="37"/>
      <c r="GB74" s="102">
        <f>FY74</f>
        <v>0</v>
      </c>
      <c r="GC74" s="102">
        <f>GB74</f>
        <v>0</v>
      </c>
      <c r="GD74" s="102">
        <f>GC74</f>
        <v>0</v>
      </c>
      <c r="GE74" s="102">
        <f>GD74</f>
        <v>0</v>
      </c>
      <c r="GF74" s="102">
        <f>AVERAGE(GB74:GE74)</f>
        <v>0</v>
      </c>
      <c r="GG74" s="37"/>
      <c r="GH74" s="102">
        <f>GE74</f>
        <v>0</v>
      </c>
      <c r="GI74" s="102">
        <f>GH74</f>
        <v>0</v>
      </c>
      <c r="GJ74" s="102">
        <f>GI74</f>
        <v>0</v>
      </c>
      <c r="GK74" s="102">
        <f>GJ74</f>
        <v>0</v>
      </c>
      <c r="GL74" s="102">
        <f>AVERAGE(GH74:GK74)</f>
        <v>0</v>
      </c>
      <c r="GM74" s="37"/>
      <c r="GN74" s="102">
        <f>GK74</f>
        <v>0</v>
      </c>
      <c r="GO74" s="102">
        <f>GN74</f>
        <v>0</v>
      </c>
      <c r="GP74" s="102">
        <f>GO74</f>
        <v>0</v>
      </c>
      <c r="GQ74" s="102">
        <f>GP74</f>
        <v>0</v>
      </c>
      <c r="GR74" s="102">
        <f>AVERAGE(GN74:GQ74)</f>
        <v>0</v>
      </c>
      <c r="GS74" s="37"/>
      <c r="GT74" s="102">
        <f>GQ74</f>
        <v>0</v>
      </c>
      <c r="GU74" s="102">
        <f>GT74</f>
        <v>0</v>
      </c>
      <c r="GV74" s="102">
        <f>GU74</f>
        <v>0</v>
      </c>
      <c r="GW74" s="102">
        <f>GV74</f>
        <v>0</v>
      </c>
      <c r="GX74" s="102">
        <f>AVERAGE(GT74:GW74)</f>
        <v>0</v>
      </c>
      <c r="GY74" s="37"/>
      <c r="GZ74" s="102">
        <f>GW74</f>
        <v>0</v>
      </c>
      <c r="HA74" s="102">
        <f>GZ74</f>
        <v>0</v>
      </c>
      <c r="HB74" s="102">
        <f>HA74</f>
        <v>0</v>
      </c>
      <c r="HC74" s="102">
        <f>HB74</f>
        <v>0</v>
      </c>
      <c r="HD74" s="102">
        <f>AVERAGE(GZ74:HC74)</f>
        <v>0</v>
      </c>
      <c r="HF74" s="102">
        <f>HC74</f>
        <v>0</v>
      </c>
      <c r="HG74" s="102">
        <f>HF74</f>
        <v>0</v>
      </c>
      <c r="HH74" s="102">
        <f>HG74</f>
        <v>0</v>
      </c>
      <c r="HI74" s="102">
        <f>HH74</f>
        <v>0</v>
      </c>
      <c r="HJ74" s="102">
        <f>AVERAGE(HF74:HI74)</f>
        <v>0</v>
      </c>
    </row>
    <row r="75" spans="1:218">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8"/>
      <c r="BM75" s="38"/>
      <c r="BN75" s="38"/>
      <c r="BO75" s="38"/>
      <c r="BP75" s="37"/>
      <c r="BQ75" s="37"/>
      <c r="BR75" s="38"/>
      <c r="BS75" s="38"/>
      <c r="BT75" s="38"/>
      <c r="BU75" s="38"/>
      <c r="BV75" s="37"/>
      <c r="BW75" s="37"/>
      <c r="BX75" s="121"/>
      <c r="BY75" s="38"/>
      <c r="BZ75" s="38"/>
      <c r="CA75" s="38"/>
      <c r="CB75" s="37"/>
      <c r="CC75" s="37"/>
      <c r="CD75" s="38"/>
      <c r="CE75" s="38"/>
      <c r="CF75" s="38"/>
      <c r="CG75" s="38"/>
      <c r="CH75" s="37"/>
      <c r="CI75" s="37"/>
      <c r="CJ75" s="38"/>
      <c r="CK75" s="38"/>
      <c r="CL75" s="38"/>
      <c r="CM75" s="38"/>
      <c r="CN75" s="37"/>
      <c r="CO75" s="37"/>
      <c r="CP75" s="38"/>
      <c r="CQ75" s="38"/>
      <c r="CR75" s="38"/>
      <c r="CS75" s="38"/>
      <c r="CT75" s="37"/>
      <c r="CU75" s="37"/>
      <c r="CV75" s="38"/>
      <c r="CW75" s="38"/>
      <c r="CX75" s="38"/>
      <c r="CY75" s="38"/>
      <c r="CZ75" s="37"/>
      <c r="DA75" s="37"/>
      <c r="DB75" s="38"/>
      <c r="DC75" s="38"/>
      <c r="DD75" s="38"/>
      <c r="DE75" s="38"/>
      <c r="DF75" s="37"/>
      <c r="DG75" s="37"/>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c r="EO75" s="102"/>
      <c r="EP75" s="102"/>
      <c r="EQ75" s="102"/>
      <c r="ER75" s="102"/>
      <c r="ES75" s="460"/>
      <c r="ET75" s="460"/>
      <c r="EU75" s="460"/>
      <c r="EV75" s="102"/>
      <c r="EW75" s="37"/>
      <c r="EX75" s="102"/>
      <c r="EY75" s="102"/>
      <c r="EZ75" s="461"/>
      <c r="FA75" s="461"/>
      <c r="FB75" s="543"/>
      <c r="FC75" s="37"/>
      <c r="FD75" s="904"/>
      <c r="FE75" s="461"/>
      <c r="FF75" s="461"/>
      <c r="FG75" s="461"/>
      <c r="FH75" s="102"/>
      <c r="FI75" s="37"/>
      <c r="FJ75" s="460"/>
      <c r="FK75" s="461"/>
      <c r="FL75" s="461"/>
      <c r="FM75" s="461"/>
      <c r="FN75" s="102"/>
      <c r="FO75" s="37"/>
      <c r="FP75" s="460"/>
      <c r="FQ75" s="461"/>
      <c r="FR75" s="461"/>
      <c r="FS75" s="461"/>
      <c r="FT75" s="102"/>
      <c r="FU75" s="37"/>
      <c r="FV75" s="460"/>
      <c r="FW75" s="461"/>
      <c r="FX75" s="461"/>
      <c r="FY75" s="461"/>
      <c r="FZ75" s="102"/>
      <c r="GA75" s="37"/>
      <c r="GB75" s="460"/>
      <c r="GC75" s="461"/>
      <c r="GD75" s="461"/>
      <c r="GE75" s="461"/>
      <c r="GF75" s="102"/>
      <c r="GG75" s="37"/>
      <c r="GH75" s="460"/>
      <c r="GI75" s="461"/>
      <c r="GJ75" s="461"/>
      <c r="GK75" s="461"/>
      <c r="GL75" s="102"/>
      <c r="GM75" s="37"/>
      <c r="GN75" s="460"/>
      <c r="GO75" s="461"/>
      <c r="GP75" s="461"/>
      <c r="GQ75" s="461"/>
      <c r="GR75" s="102"/>
      <c r="GS75" s="37"/>
      <c r="GT75" s="460"/>
      <c r="GU75" s="461"/>
      <c r="GV75" s="461"/>
      <c r="GW75" s="461"/>
      <c r="GX75" s="102"/>
      <c r="GY75" s="37"/>
      <c r="GZ75" s="460"/>
      <c r="HA75" s="461"/>
      <c r="HB75" s="461"/>
      <c r="HC75" s="461"/>
      <c r="HD75" s="102"/>
      <c r="HF75" s="460"/>
      <c r="HG75" s="461"/>
      <c r="HH75" s="461"/>
      <c r="HI75" s="461"/>
      <c r="HJ75" s="102"/>
    </row>
    <row r="76" spans="1:218">
      <c r="A76" s="31" t="s">
        <v>72</v>
      </c>
      <c r="BH76" s="37"/>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c r="EO76" s="102"/>
      <c r="EP76" s="102"/>
      <c r="EQ76" s="102"/>
      <c r="ER76" s="102"/>
      <c r="ES76" s="102"/>
      <c r="ET76" s="102"/>
      <c r="EU76" s="102"/>
      <c r="EV76" s="102"/>
      <c r="EX76" s="102"/>
      <c r="EY76" s="102"/>
      <c r="EZ76" s="102"/>
      <c r="FA76" s="102"/>
      <c r="FB76" s="543"/>
      <c r="FD76" s="543"/>
      <c r="FE76" s="102"/>
      <c r="FF76" s="102"/>
      <c r="FG76" s="102"/>
      <c r="FH76" s="102"/>
      <c r="FJ76" s="102"/>
      <c r="FK76" s="102"/>
      <c r="FL76" s="102"/>
      <c r="FM76" s="102"/>
      <c r="FN76" s="102"/>
      <c r="FP76" s="102"/>
      <c r="FQ76" s="102"/>
      <c r="FR76" s="102"/>
      <c r="FS76" s="102"/>
      <c r="FT76" s="102"/>
      <c r="FV76" s="102"/>
      <c r="FW76" s="102"/>
      <c r="FX76" s="102"/>
      <c r="FY76" s="102"/>
      <c r="FZ76" s="102"/>
      <c r="GB76" s="102"/>
      <c r="GC76" s="102"/>
      <c r="GD76" s="102"/>
      <c r="GE76" s="102"/>
      <c r="GF76" s="102"/>
      <c r="GH76" s="102"/>
      <c r="GI76" s="102"/>
      <c r="GJ76" s="102"/>
      <c r="GK76" s="102"/>
      <c r="GL76" s="102"/>
      <c r="GN76" s="102"/>
      <c r="GO76" s="102"/>
      <c r="GP76" s="102"/>
      <c r="GQ76" s="102"/>
      <c r="GR76" s="102"/>
      <c r="GT76" s="102"/>
      <c r="GU76" s="102"/>
      <c r="GV76" s="102"/>
      <c r="GW76" s="102"/>
      <c r="GX76" s="102"/>
      <c r="GZ76" s="102"/>
      <c r="HA76" s="102"/>
      <c r="HB76" s="102"/>
      <c r="HC76" s="102"/>
      <c r="HD76" s="102"/>
    </row>
    <row r="77" spans="1:218">
      <c r="B77" s="31" t="s">
        <v>73</v>
      </c>
      <c r="G77" s="39"/>
      <c r="J77" s="39"/>
      <c r="K77" s="39"/>
      <c r="L77" s="39"/>
      <c r="M77" s="39"/>
      <c r="P77" s="39"/>
      <c r="Q77" s="39"/>
      <c r="R77" s="39"/>
      <c r="S77" s="39"/>
      <c r="V77" s="39"/>
      <c r="W77" s="39"/>
      <c r="X77" s="39"/>
      <c r="Y77" s="39"/>
      <c r="AB77" s="39"/>
      <c r="AC77" s="39"/>
      <c r="AD77" s="39"/>
      <c r="AE77" s="39"/>
      <c r="AH77" s="39"/>
      <c r="AI77" s="39"/>
      <c r="AJ77" s="39"/>
      <c r="AK77" s="39"/>
      <c r="AN77" s="39"/>
      <c r="AO77" s="39"/>
      <c r="AP77" s="39"/>
      <c r="AQ77" s="39"/>
      <c r="AT77" s="39"/>
      <c r="AU77" s="39"/>
      <c r="AV77" s="39"/>
      <c r="AW77" s="39"/>
      <c r="AZ77" s="39"/>
      <c r="BA77" s="39"/>
      <c r="BB77" s="39"/>
      <c r="BC77" s="39"/>
      <c r="BF77" s="39"/>
      <c r="BG77" s="39"/>
      <c r="BH77" s="39"/>
      <c r="BI77" s="39"/>
      <c r="BL77" s="39"/>
      <c r="BM77" s="39"/>
      <c r="BN77" s="39"/>
      <c r="BO77" s="39"/>
      <c r="BR77" s="39"/>
      <c r="BS77" s="39"/>
      <c r="BT77" s="39"/>
      <c r="BU77" s="39"/>
      <c r="BX77" s="39"/>
      <c r="BY77" s="39"/>
      <c r="BZ77" s="39"/>
      <c r="CA77" s="39"/>
      <c r="CD77" s="39"/>
      <c r="CE77" s="39"/>
      <c r="CF77" s="39"/>
      <c r="CG77" s="39"/>
      <c r="CJ77" s="39"/>
      <c r="CK77" s="39"/>
      <c r="CL77" s="39"/>
      <c r="CM77" s="39"/>
      <c r="CP77" s="39"/>
      <c r="CQ77" s="39"/>
      <c r="CR77" s="39"/>
      <c r="CS77" s="39"/>
      <c r="CV77" s="39"/>
      <c r="CW77" s="39"/>
      <c r="CX77" s="39"/>
      <c r="CY77" s="39"/>
      <c r="DB77" s="39"/>
      <c r="DC77" s="39"/>
      <c r="DD77" s="39"/>
      <c r="DE77" s="39"/>
      <c r="DH77" s="102">
        <f>IS!DH49+IS!DE49+IS!DD49+IS!DC49</f>
        <v>63.423000000000002</v>
      </c>
      <c r="DI77" s="102">
        <f>IS!DI49+IS!DH49+IS!DE49+IS!DD49</f>
        <v>131.16899999999998</v>
      </c>
      <c r="DJ77" s="102">
        <f>IS!DJ49+IS!DI49+IS!DH49+IS!DE49</f>
        <v>200.26499999999999</v>
      </c>
      <c r="DK77" s="102">
        <f>IS!DK49+IS!DJ49+IS!DI49+IS!DH49</f>
        <v>276.74</v>
      </c>
      <c r="DL77" s="102">
        <f>DK77</f>
        <v>276.74</v>
      </c>
      <c r="DM77" s="102"/>
      <c r="DN77" s="102">
        <f>IS!DN49+IS!DK49+IS!DJ49+IS!DI49</f>
        <v>308.89400000000001</v>
      </c>
      <c r="DO77" s="102">
        <f>IS!DO49+IS!DN49+IS!DK49+IS!DJ49</f>
        <v>342.86099999999999</v>
      </c>
      <c r="DP77" s="102">
        <f>IS!DP49+IS!DO49+IS!DN49+IS!DK49</f>
        <v>378.43700000000001</v>
      </c>
      <c r="DQ77" s="102">
        <f>IS!DQ49+IS!DP49+IS!DO49+IS!DN49</f>
        <v>408.83</v>
      </c>
      <c r="DR77" s="102">
        <f>DQ77</f>
        <v>408.83</v>
      </c>
      <c r="DS77" s="102"/>
      <c r="DT77" s="102">
        <f>IS!DT49+IS!DQ49+IS!DP49+IS!DO49</f>
        <v>419.28300000000002</v>
      </c>
      <c r="DU77" s="102">
        <f>IS!DU49+IS!DT49+IS!DQ49+IS!DP49</f>
        <v>404.54700000000003</v>
      </c>
      <c r="DV77" s="102">
        <f>IS!DV49+IS!DU49+IS!DT49+IS!DQ49</f>
        <v>425.31900000000002</v>
      </c>
      <c r="DW77" s="102">
        <f>IS!DW49+IS!DV49+IS!DU49+IS!DT49</f>
        <v>444.44799999999998</v>
      </c>
      <c r="DX77" s="102">
        <f>DW77</f>
        <v>444.44799999999998</v>
      </c>
      <c r="DY77" s="102"/>
      <c r="DZ77" s="102">
        <f>IS!DZ49+IS!DW49+IS!DV49+IS!DU49</f>
        <v>453.95100000000002</v>
      </c>
      <c r="EA77" s="102">
        <f>IS!EA49+IS!DZ49+IS!DW49+IS!DV49</f>
        <v>488.69800000000004</v>
      </c>
      <c r="EB77" s="102">
        <f>IS!EB49+IS!EA49+IS!DZ49+IS!DW49</f>
        <v>484.59400000000005</v>
      </c>
      <c r="EC77" s="102">
        <f>IS!EC49+IS!EB49+IS!EA49+IS!DZ49</f>
        <v>484.32900000000001</v>
      </c>
      <c r="ED77" s="102">
        <f>EC77</f>
        <v>484.32900000000001</v>
      </c>
      <c r="EE77" s="102"/>
      <c r="EF77" s="102">
        <f>IS!EF49+IS!EC49+IS!EB49+IS!EA49</f>
        <v>485.96499999999997</v>
      </c>
      <c r="EG77" s="102">
        <f>IS!EG49+IS!EF49+IS!EC49+IS!EB49</f>
        <v>489.31299999999999</v>
      </c>
      <c r="EH77" s="102">
        <f>IS!EH49+IS!EG49+IS!EF49+IS!EC49</f>
        <v>496.755</v>
      </c>
      <c r="EI77" s="102">
        <f>IS!EI49+IS!EH49+IS!EG49+IS!EF49</f>
        <v>509.72800000000001</v>
      </c>
      <c r="EJ77" s="102">
        <f>EI77</f>
        <v>509.72800000000001</v>
      </c>
      <c r="EK77" s="102"/>
      <c r="EL77" s="102">
        <f>IS!EL49+IS!EI49+IS!EH49+IS!EG49</f>
        <v>529.779</v>
      </c>
      <c r="EM77" s="102">
        <f>IS!EM49+IS!EL49+IS!EI49+IS!EH49</f>
        <v>551.62400000000002</v>
      </c>
      <c r="EN77" s="102">
        <f>IS!EN49+IS!EM49+IS!EL49+IS!EI49</f>
        <v>574.79600000000005</v>
      </c>
      <c r="EO77" s="102">
        <f>IS!EO49+IS!EN49+IS!EM49+IS!EL49</f>
        <v>591.64300000000003</v>
      </c>
      <c r="EP77" s="102">
        <f>EO77</f>
        <v>591.64300000000003</v>
      </c>
      <c r="EQ77" s="102"/>
      <c r="ER77" s="102">
        <f>IS!ER49+IS!EO49+IS!EN49+IS!EM49</f>
        <v>610.66300000000001</v>
      </c>
      <c r="ES77" s="102">
        <f>IS!ES49+IS!ER49+IS!EO49+IS!EN49</f>
        <v>628.24800000000005</v>
      </c>
      <c r="ET77" s="102">
        <f>IS!ET49+IS!ES49+IS!ER49+IS!EO49</f>
        <v>644.11800000000005</v>
      </c>
      <c r="EU77" s="102">
        <f>IS!EU49+IS!ET49+IS!ES49+IS!ER49</f>
        <v>660.56600000000003</v>
      </c>
      <c r="EV77" s="102">
        <f>EU77</f>
        <v>660.56600000000003</v>
      </c>
      <c r="EX77" s="102">
        <f>IS!EX49+IS!EU49+IS!ET49+IS!ES49</f>
        <v>672.36099999999999</v>
      </c>
      <c r="EY77" s="102">
        <f>IS!EY49+IS!EX49+IS!EU49+IS!ET49</f>
        <v>689.18900000000008</v>
      </c>
      <c r="EZ77" s="102">
        <f>IS!EZ49+IS!EY49+IS!EX49+IS!EU49</f>
        <v>709.16200000000003</v>
      </c>
      <c r="FA77" s="102">
        <f>IS!FA49+IS!EZ49+IS!EY49+IS!EX49</f>
        <v>727.33199999999999</v>
      </c>
      <c r="FB77" s="543">
        <f>FA77</f>
        <v>727.33199999999999</v>
      </c>
      <c r="FD77" s="543">
        <f>IS!FD49+IS!FA49+IS!EZ49+IS!EY49</f>
        <v>743.91886601815008</v>
      </c>
      <c r="FE77" s="102">
        <f>IS!FE49+IS!FD49+IS!FA49+IS!EZ49</f>
        <v>758.65931126815008</v>
      </c>
      <c r="FF77" s="102">
        <f>IS!FF49+IS!FE49+IS!FD49+IS!FA49</f>
        <v>776.44316698215005</v>
      </c>
      <c r="FG77" s="102">
        <f>IS!FG49+IS!FF49+IS!FE49+IS!FD49</f>
        <v>797.36310775014999</v>
      </c>
      <c r="FH77" s="102">
        <f>FG77</f>
        <v>797.36310775014999</v>
      </c>
      <c r="FJ77" s="102">
        <f>IS!FJ49+IS!FG49+IS!FF49+IS!FE49</f>
        <v>815.37297387376213</v>
      </c>
      <c r="FK77" s="102">
        <f>IS!FK49+IS!FJ49+IS!FG49+IS!FF49</f>
        <v>834.55178783201211</v>
      </c>
      <c r="FL77" s="102">
        <f>IS!FL49+IS!FK49+IS!FJ49+IS!FG49</f>
        <v>854.66261948955662</v>
      </c>
      <c r="FM77" s="102">
        <f>IS!FM49+IS!FL49+IS!FK49+IS!FJ49</f>
        <v>875.32547255822533</v>
      </c>
      <c r="FN77" s="102">
        <f>FM77</f>
        <v>875.32547255822533</v>
      </c>
      <c r="FP77" s="102">
        <f>IS!FP49+IS!FM49+IS!FL49+IS!FK49</f>
        <v>895.13167691821627</v>
      </c>
      <c r="FQ77" s="102">
        <f>IS!FQ49+IS!FP49+IS!FM49+IS!FL49</f>
        <v>916.22615640651497</v>
      </c>
      <c r="FR77" s="102">
        <f>IS!FR49+IS!FQ49+IS!FP49+IS!FM49</f>
        <v>938.34583764075194</v>
      </c>
      <c r="FS77" s="102">
        <f>IS!FS49+IS!FR49+IS!FQ49+IS!FP49</f>
        <v>961.07336101354463</v>
      </c>
      <c r="FT77" s="102">
        <f>FS77</f>
        <v>961.07336101354463</v>
      </c>
      <c r="FV77" s="102">
        <f>IS!FV49+IS!FS49+IS!FR49+IS!FQ49</f>
        <v>981.75144702316129</v>
      </c>
      <c r="FW77" s="102">
        <f>IS!FW49+IS!FV49+IS!FS49+IS!FR49</f>
        <v>1003.722232373272</v>
      </c>
      <c r="FX77" s="102">
        <f>IS!FX49+IS!FW49+IS!FV49+IS!FS49</f>
        <v>1026.7590617683818</v>
      </c>
      <c r="FY77" s="102">
        <f>IS!FY49+IS!FX49+IS!FW49+IS!FV49</f>
        <v>1050.4158442838514</v>
      </c>
      <c r="FZ77" s="102">
        <f>FY77</f>
        <v>1050.4158442838514</v>
      </c>
      <c r="GB77" s="102">
        <f>IS!GB49+IS!FY49+IS!FX49+IS!FW49</f>
        <v>1071.8006088016557</v>
      </c>
      <c r="GC77" s="102">
        <f>IS!GC49+IS!GB49+IS!FY49+IS!FX49</f>
        <v>1094.5222509674168</v>
      </c>
      <c r="GD77" s="102">
        <f>IS!GD49+IS!GC49+IS!GB49+IS!FY49</f>
        <v>1118.3463694870006</v>
      </c>
      <c r="GE77" s="102">
        <f>IS!GE49+IS!GD49+IS!GC49+IS!GB49</f>
        <v>1142.8116281723042</v>
      </c>
      <c r="GF77" s="102">
        <f>GE77</f>
        <v>1142.8116281723042</v>
      </c>
      <c r="GH77" s="102">
        <f>IS!GH49+IS!GE49+IS!GD49+IS!GC49</f>
        <v>1164.2259156246816</v>
      </c>
      <c r="GI77" s="102">
        <f>IS!GI49+IS!GH49+IS!GE49+IS!GD49</f>
        <v>1186.9789263638261</v>
      </c>
      <c r="GJ77" s="102">
        <f>IS!GJ49+IS!GI49+IS!GH49+IS!GE49</f>
        <v>1210.8359354907268</v>
      </c>
      <c r="GK77" s="102">
        <f>IS!GK49+IS!GJ49+IS!GI49+IS!GH49</f>
        <v>1235.3349699153366</v>
      </c>
      <c r="GL77" s="102">
        <f>GK77</f>
        <v>1235.3349699153366</v>
      </c>
      <c r="GN77" s="102">
        <f>IS!GN49+IS!GK49+IS!GJ49+IS!GI49</f>
        <v>1257.0534072981445</v>
      </c>
      <c r="GO77" s="102">
        <f>IS!GO49+IS!GN49+IS!GK49+IS!GJ49</f>
        <v>1280.1295820299633</v>
      </c>
      <c r="GP77" s="102">
        <f>IS!GP49+IS!GO49+IS!GN49+IS!GK49</f>
        <v>1304.3254353832881</v>
      </c>
      <c r="GQ77" s="102">
        <f>IS!GQ49+IS!GP49+IS!GO49+IS!GN49</f>
        <v>1329.1724328037449</v>
      </c>
      <c r="GR77" s="102">
        <f>GQ77</f>
        <v>1329.1724328037449</v>
      </c>
      <c r="GT77" s="102">
        <f>IS!GT49+IS!GQ49+IS!GP49+IS!GO49</f>
        <v>1351.0024600707873</v>
      </c>
      <c r="GU77" s="102">
        <f>IS!GU49+IS!GT49+IS!GQ49+IS!GP49</f>
        <v>1374.1972007759089</v>
      </c>
      <c r="GV77" s="102">
        <f>IS!GV49+IS!GU49+IS!GT49+IS!GQ49</f>
        <v>1398.517373039801</v>
      </c>
      <c r="GW77" s="102">
        <f>IS!GW49+IS!GV49+IS!GU49+IS!GT49</f>
        <v>1423.4920349656206</v>
      </c>
      <c r="GX77" s="102">
        <f>GW77</f>
        <v>1423.4920349656206</v>
      </c>
      <c r="GZ77" s="102">
        <f>IS!GZ49+IS!GW49+IS!GV49+IS!GU49</f>
        <v>1445.2238283399761</v>
      </c>
      <c r="HA77" s="102">
        <f>IS!HA49+IS!GZ49+IS!GW49+IS!GV49</f>
        <v>1468.3141940188339</v>
      </c>
      <c r="HB77" s="102">
        <f>IS!HB49+IS!HA49+IS!GZ49+IS!GW49</f>
        <v>1492.5249268778603</v>
      </c>
      <c r="HC77" s="102">
        <f>IS!HC49+IS!HB49+IS!HA49+IS!GZ49</f>
        <v>1517.387204232213</v>
      </c>
      <c r="HD77" s="102">
        <f>HC77</f>
        <v>1517.387204232213</v>
      </c>
      <c r="HF77" s="102">
        <f>IS!HF49+IS!HC49+IS!HB49+IS!HA49</f>
        <v>1538.7964749903076</v>
      </c>
      <c r="HG77" s="102">
        <f>IS!HG49+IS!HF49+IS!HC49+IS!HB49</f>
        <v>1561.5441554143924</v>
      </c>
      <c r="HH77" s="102">
        <f>IS!HH49+IS!HG49+IS!HF49+IS!HC49</f>
        <v>1585.3955755941215</v>
      </c>
      <c r="HI77" s="102">
        <f>IS!HI49+IS!HH49+IS!HG49+IS!HF49</f>
        <v>1609.8888706652174</v>
      </c>
      <c r="HJ77" s="102">
        <f>HI77</f>
        <v>1609.8888706652174</v>
      </c>
    </row>
    <row r="78" spans="1:218">
      <c r="B78" s="31" t="s">
        <v>74</v>
      </c>
      <c r="G78" s="39"/>
      <c r="J78" s="39"/>
      <c r="K78" s="39"/>
      <c r="L78" s="39"/>
      <c r="M78" s="39"/>
      <c r="P78" s="39"/>
      <c r="Q78" s="39"/>
      <c r="R78" s="39"/>
      <c r="S78" s="39"/>
      <c r="V78" s="39"/>
      <c r="W78" s="39"/>
      <c r="X78" s="39"/>
      <c r="Y78" s="39"/>
      <c r="AB78" s="39"/>
      <c r="AC78" s="39"/>
      <c r="AD78" s="39"/>
      <c r="AE78" s="39"/>
      <c r="AH78" s="39"/>
      <c r="AI78" s="39"/>
      <c r="AJ78" s="39"/>
      <c r="AK78" s="39"/>
      <c r="AN78" s="39"/>
      <c r="AO78" s="39"/>
      <c r="AP78" s="39"/>
      <c r="AQ78" s="39"/>
      <c r="AT78" s="39"/>
      <c r="AU78" s="39"/>
      <c r="AV78" s="39"/>
      <c r="AW78" s="39"/>
      <c r="AZ78" s="39"/>
      <c r="BA78" s="39"/>
      <c r="BB78" s="39"/>
      <c r="BC78" s="39"/>
      <c r="BF78" s="39"/>
      <c r="BG78" s="39"/>
      <c r="BH78" s="39"/>
      <c r="BI78" s="39"/>
      <c r="BL78" s="39"/>
      <c r="BM78" s="39"/>
      <c r="BN78" s="39"/>
      <c r="BO78" s="39"/>
      <c r="BR78" s="39"/>
      <c r="BS78" s="39"/>
      <c r="BT78" s="39"/>
      <c r="BU78" s="39"/>
      <c r="BX78" s="39"/>
      <c r="BY78" s="39"/>
      <c r="BZ78" s="39"/>
      <c r="CA78" s="39"/>
      <c r="CD78" s="39"/>
      <c r="CE78" s="39"/>
      <c r="CF78" s="39"/>
      <c r="CG78" s="39"/>
      <c r="CJ78" s="39"/>
      <c r="CK78" s="39"/>
      <c r="CL78" s="39"/>
      <c r="CM78" s="39"/>
      <c r="CP78" s="39"/>
      <c r="CQ78" s="39"/>
      <c r="CR78" s="39"/>
      <c r="CS78" s="39"/>
      <c r="CV78" s="39"/>
      <c r="CW78" s="39"/>
      <c r="CX78" s="39"/>
      <c r="CY78" s="39"/>
      <c r="DB78" s="39"/>
      <c r="DC78" s="39"/>
      <c r="DD78" s="39"/>
      <c r="DE78" s="39"/>
      <c r="DH78" s="102">
        <f>IS!DH50+IS!DE50+IS!DD50+IS!DC50</f>
        <v>36.119999999999997</v>
      </c>
      <c r="DI78" s="102">
        <f>IS!DI50+IS!DH50+IS!DE50+IS!DD50</f>
        <v>73.335999999999999</v>
      </c>
      <c r="DJ78" s="102">
        <f>IS!DJ50+IS!DI50+IS!DH50+IS!DE50</f>
        <v>110.11099999999999</v>
      </c>
      <c r="DK78" s="102">
        <f>IS!DK50+IS!DJ50+IS!DI50+IS!DH50</f>
        <v>149.47499999999999</v>
      </c>
      <c r="DL78" s="102">
        <f>DK78</f>
        <v>149.47499999999999</v>
      </c>
      <c r="DM78" s="102"/>
      <c r="DN78" s="102">
        <f>IS!DN50+IS!DK50+IS!DJ50+IS!DI50</f>
        <v>161.81700000000001</v>
      </c>
      <c r="DO78" s="102">
        <f>IS!DO50+IS!DN50+IS!DK50+IS!DJ50</f>
        <v>177.34800000000001</v>
      </c>
      <c r="DP78" s="102">
        <f>IS!DP50+IS!DO50+IS!DN50+IS!DK50</f>
        <v>194.41300000000001</v>
      </c>
      <c r="DQ78" s="102">
        <f>IS!DQ50+IS!DP50+IS!DO50+IS!DN50</f>
        <v>211.99399999999997</v>
      </c>
      <c r="DR78" s="102">
        <f>DQ78</f>
        <v>211.99399999999997</v>
      </c>
      <c r="DS78" s="102"/>
      <c r="DT78" s="102">
        <f>IS!DT50+IS!DQ50+IS!DP50+IS!DO50</f>
        <v>223.19299999999998</v>
      </c>
      <c r="DU78" s="102">
        <f>IS!DU50+IS!DT50+IS!DQ50+IS!DP50</f>
        <v>229.417</v>
      </c>
      <c r="DV78" s="102">
        <f>IS!DV50+IS!DU50+IS!DT50+IS!DQ50</f>
        <v>246.95599999999999</v>
      </c>
      <c r="DW78" s="102">
        <f>IS!DW50+IS!DV50+IS!DU50+IS!DT50</f>
        <v>258.55500000000001</v>
      </c>
      <c r="DX78" s="102">
        <f>DW78</f>
        <v>258.55500000000001</v>
      </c>
      <c r="DY78" s="102"/>
      <c r="DZ78" s="102">
        <f>IS!DZ50+IS!DW50+IS!DV50+IS!DU50</f>
        <v>267.55400000000003</v>
      </c>
      <c r="EA78" s="102">
        <f>IS!EA50+IS!DZ50+IS!DW50+IS!DV50</f>
        <v>276.58800000000002</v>
      </c>
      <c r="EB78" s="102">
        <f>IS!EB50+IS!EA50+IS!DZ50+IS!DW50</f>
        <v>274.48599999999999</v>
      </c>
      <c r="EC78" s="102">
        <f>IS!EC50+IS!EB50+IS!EA50+IS!DZ50</f>
        <v>281.56399999999996</v>
      </c>
      <c r="ED78" s="102">
        <f>EC78</f>
        <v>281.56399999999996</v>
      </c>
      <c r="EE78" s="102"/>
      <c r="EF78" s="102">
        <f>IS!EF50+IS!EC50+IS!EB50+IS!EA50</f>
        <v>286.988</v>
      </c>
      <c r="EG78" s="102">
        <f>IS!EG50+IS!EF50+IS!EC50+IS!EB50</f>
        <v>295.25600000000003</v>
      </c>
      <c r="EH78" s="102">
        <f>IS!EH50+IS!EG50+IS!EF50+IS!EC50</f>
        <v>301.01500000000004</v>
      </c>
      <c r="EI78" s="102">
        <f>IS!EI50+IS!EH50+IS!EG50+IS!EF50</f>
        <v>302.41900000000004</v>
      </c>
      <c r="EJ78" s="102">
        <f>EI78</f>
        <v>302.41900000000004</v>
      </c>
      <c r="EK78" s="102"/>
      <c r="EL78" s="102">
        <f>IS!EL50+IS!EI50+IS!EH50+IS!EG50</f>
        <v>305.88800000000003</v>
      </c>
      <c r="EM78" s="102">
        <f>IS!EM50+IS!EL50+IS!EI50+IS!EH50</f>
        <v>311.78800000000001</v>
      </c>
      <c r="EN78" s="102">
        <f>IS!EN50+IS!EM50+IS!EL50+IS!EI50</f>
        <v>321.54200000000003</v>
      </c>
      <c r="EO78" s="102">
        <f>IS!EO50+IS!EN50+IS!EM50+IS!EL50</f>
        <v>327.40100000000001</v>
      </c>
      <c r="EP78" s="102">
        <f>EO78</f>
        <v>327.40100000000001</v>
      </c>
      <c r="EQ78" s="102"/>
      <c r="ER78" s="102">
        <f>IS!ER50+IS!EO50+IS!EN50+IS!EM50</f>
        <v>335.31400000000002</v>
      </c>
      <c r="ES78" s="102">
        <f>IS!ES50+IS!ER50+IS!EO50+IS!EN50</f>
        <v>339.88200000000001</v>
      </c>
      <c r="ET78" s="102">
        <f>IS!ET50+IS!ES50+IS!ER50+IS!EO50</f>
        <v>342.83600000000001</v>
      </c>
      <c r="EU78" s="102">
        <f>IS!EU50+IS!ET50+IS!ES50+IS!ER50</f>
        <v>349.49399999999997</v>
      </c>
      <c r="EV78" s="102">
        <f>EU78</f>
        <v>349.49399999999997</v>
      </c>
      <c r="EX78" s="102">
        <f>IS!EX50+IS!EU50+IS!ET50+IS!ES50</f>
        <v>353.51199999999994</v>
      </c>
      <c r="EY78" s="102">
        <f>IS!EY50+IS!EX50+IS!EU50+IS!ET50</f>
        <v>365.72900000000004</v>
      </c>
      <c r="EZ78" s="102">
        <f>IS!EZ50+IS!EY50+IS!EX50+IS!EU50</f>
        <v>380.38599999999997</v>
      </c>
      <c r="FA78" s="102">
        <f>IS!FA50+IS!EZ50+IS!EY50+IS!EX50</f>
        <v>392.70599999999996</v>
      </c>
      <c r="FB78" s="543">
        <f>FA78</f>
        <v>392.70599999999996</v>
      </c>
      <c r="FD78" s="543">
        <f>IS!FD50+IS!FA50+IS!EZ50+IS!EY50</f>
        <v>399.6928168310443</v>
      </c>
      <c r="FE78" s="102">
        <f>IS!FE50+IS!FD50+IS!FA50+IS!EZ50</f>
        <v>405.58040845317248</v>
      </c>
      <c r="FF78" s="102">
        <f>IS!FF50+IS!FE50+IS!FD50+IS!FA50</f>
        <v>413.22169095163673</v>
      </c>
      <c r="FG78" s="102">
        <f>IS!FG50+IS!FF50+IS!FE50+IS!FD50</f>
        <v>422.3163861511544</v>
      </c>
      <c r="FH78" s="102">
        <f>FG78</f>
        <v>422.3163861511544</v>
      </c>
      <c r="FJ78" s="102">
        <f>IS!FJ50+IS!FG50+IS!FF50+IS!FE50</f>
        <v>430.63479480553644</v>
      </c>
      <c r="FK78" s="102">
        <f>IS!FK50+IS!FJ50+IS!FG50+IS!FF50</f>
        <v>437.10347227806403</v>
      </c>
      <c r="FL78" s="102">
        <f>IS!FL50+IS!FK50+IS!FJ50+IS!FG50</f>
        <v>443.77566913674917</v>
      </c>
      <c r="FM78" s="102">
        <f>IS!FM50+IS!FL50+IS!FK50+IS!FJ50</f>
        <v>452.66690141537293</v>
      </c>
      <c r="FN78" s="102">
        <f>FM78</f>
        <v>452.66690141537293</v>
      </c>
      <c r="FP78" s="102">
        <f>IS!FP50+IS!FM50+IS!FL50+IS!FK50</f>
        <v>460.12903231715734</v>
      </c>
      <c r="FQ78" s="102">
        <f>IS!FQ50+IS!FP50+IS!FM50+IS!FL50</f>
        <v>468.08356089048863</v>
      </c>
      <c r="FR78" s="102">
        <f>IS!FR50+IS!FQ50+IS!FP50+IS!FM50</f>
        <v>476.42491819342627</v>
      </c>
      <c r="FS78" s="102">
        <f>IS!FS50+IS!FR50+IS!FQ50+IS!FP50</f>
        <v>484.99725387686158</v>
      </c>
      <c r="FT78" s="102">
        <f>FS78</f>
        <v>484.99725387686158</v>
      </c>
      <c r="FV78" s="102">
        <f>IS!FV50+IS!FS50+IS!FR50+IS!FQ50</f>
        <v>492.39331858695488</v>
      </c>
      <c r="FW78" s="102">
        <f>IS!FW50+IS!FV50+IS!FS50+IS!FR50</f>
        <v>500.25175142766454</v>
      </c>
      <c r="FX78" s="102">
        <f>IS!FX50+IS!FW50+IS!FV50+IS!FS50</f>
        <v>508.49148313408904</v>
      </c>
      <c r="FY78" s="102">
        <f>IS!FY50+IS!FX50+IS!FW50+IS!FV50</f>
        <v>516.95295748116564</v>
      </c>
      <c r="FZ78" s="102">
        <f>FY78</f>
        <v>516.95295748116564</v>
      </c>
      <c r="GB78" s="102">
        <f>IS!GB50+IS!FY50+IS!FX50+IS!FW50</f>
        <v>524.17102219788183</v>
      </c>
      <c r="GC78" s="102">
        <f>IS!GC50+IS!GB50+IS!FY50+IS!FX50</f>
        <v>531.84032729993157</v>
      </c>
      <c r="GD78" s="102">
        <f>IS!GD50+IS!GC50+IS!GB50+IS!FY50</f>
        <v>539.88175460439879</v>
      </c>
      <c r="GE78" s="102">
        <f>IS!GE50+IS!GD50+IS!GC50+IS!GB50</f>
        <v>548.13958790224467</v>
      </c>
      <c r="GF78" s="102">
        <f>GE78</f>
        <v>548.13958790224467</v>
      </c>
      <c r="GH78" s="102">
        <f>IS!GH50+IS!GE50+IS!GD50+IS!GC50</f>
        <v>554.83682488631894</v>
      </c>
      <c r="GI78" s="102">
        <f>IS!GI50+IS!GH50+IS!GE50+IS!GD50</f>
        <v>561.95274248853252</v>
      </c>
      <c r="GJ78" s="102">
        <f>IS!GJ50+IS!GI50+IS!GH50+IS!GE50</f>
        <v>569.41393138913895</v>
      </c>
      <c r="GK78" s="102">
        <f>IS!GK50+IS!GJ50+IS!GI50+IS!GH50</f>
        <v>577.07591126063767</v>
      </c>
      <c r="GL78" s="102">
        <f>GK78</f>
        <v>577.07591126063767</v>
      </c>
      <c r="GN78" s="102">
        <f>IS!GN50+IS!GK50+IS!GJ50+IS!GI50</f>
        <v>583.37607016031291</v>
      </c>
      <c r="GO78" s="102">
        <f>IS!GO50+IS!GN50+IS!GK50+IS!GJ50</f>
        <v>590.07008617281906</v>
      </c>
      <c r="GP78" s="102">
        <f>IS!GP50+IS!GO50+IS!GN50+IS!GK50</f>
        <v>597.08890240495987</v>
      </c>
      <c r="GQ78" s="102">
        <f>IS!GQ50+IS!GP50+IS!GO50+IS!GN50</f>
        <v>604.29660474419961</v>
      </c>
      <c r="GR78" s="102">
        <f>GQ78</f>
        <v>604.29660474419961</v>
      </c>
      <c r="GT78" s="102">
        <f>IS!GT50+IS!GQ50+IS!GP50+IS!GO50</f>
        <v>610.10314119923612</v>
      </c>
      <c r="GU78" s="102">
        <f>IS!GU50+IS!GT50+IS!GQ50+IS!GP50</f>
        <v>616.27267575005817</v>
      </c>
      <c r="GV78" s="102">
        <f>IS!GV50+IS!GU50+IS!GT50+IS!GQ50</f>
        <v>622.74156216580047</v>
      </c>
      <c r="GW78" s="102">
        <f>IS!GW50+IS!GV50+IS!GU50+IS!GT50</f>
        <v>629.38453531239918</v>
      </c>
      <c r="GX78" s="102">
        <f>GW78</f>
        <v>629.38453531239918</v>
      </c>
      <c r="GZ78" s="102">
        <f>IS!GZ50+IS!GW50+IS!GV50+IS!GU50</f>
        <v>634.60311575416824</v>
      </c>
      <c r="HA78" s="102">
        <f>IS!HA50+IS!GZ50+IS!GW50+IS!GV50</f>
        <v>640.14793797151822</v>
      </c>
      <c r="HB78" s="102">
        <f>IS!HB50+IS!HA50+IS!GZ50+IS!GW50</f>
        <v>645.96180039891021</v>
      </c>
      <c r="HC78" s="102">
        <f>IS!HC50+IS!HB50+IS!HA50+IS!GZ50</f>
        <v>651.93212195057606</v>
      </c>
      <c r="HD78" s="102">
        <f>HC78</f>
        <v>651.93212195057606</v>
      </c>
      <c r="HF78" s="102">
        <f>IS!HF50+IS!HC50+IS!HB50+IS!HA50</f>
        <v>656.47287007349371</v>
      </c>
      <c r="HG78" s="102">
        <f>IS!HG50+IS!HF50+IS!HC50+IS!HB50</f>
        <v>661.29748499632296</v>
      </c>
      <c r="HH78" s="102">
        <f>IS!HH50+IS!HG50+IS!HF50+IS!HC50</f>
        <v>666.35619496518427</v>
      </c>
      <c r="HI78" s="102">
        <f>IS!HI50+IS!HH50+IS!HG50+IS!HF50</f>
        <v>671.55104185533798</v>
      </c>
      <c r="HJ78" s="102">
        <f>HI78</f>
        <v>671.55104185533798</v>
      </c>
    </row>
    <row r="79" spans="1:218">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c r="EO79" s="102"/>
      <c r="EP79" s="102"/>
      <c r="EQ79" s="102"/>
      <c r="ER79" s="102"/>
      <c r="ES79" s="102"/>
      <c r="ET79" s="102"/>
      <c r="EU79" s="102"/>
      <c r="EV79" s="102"/>
      <c r="EX79" s="102"/>
      <c r="EY79" s="102"/>
      <c r="EZ79" s="102"/>
      <c r="FA79" s="102"/>
      <c r="FB79" s="543"/>
      <c r="FD79" s="543"/>
      <c r="FE79" s="102"/>
      <c r="FF79" s="102"/>
      <c r="FG79" s="102"/>
      <c r="FH79" s="102"/>
      <c r="FJ79" s="102"/>
      <c r="FK79" s="102"/>
      <c r="FL79" s="102"/>
      <c r="FM79" s="102"/>
      <c r="FN79" s="102"/>
      <c r="FP79" s="102"/>
      <c r="FQ79" s="102"/>
      <c r="FR79" s="102"/>
      <c r="FS79" s="102"/>
      <c r="FT79" s="102"/>
      <c r="FV79" s="102"/>
      <c r="FW79" s="102"/>
      <c r="FX79" s="102"/>
      <c r="FY79" s="102"/>
      <c r="FZ79" s="102"/>
      <c r="GB79" s="102"/>
      <c r="GC79" s="102"/>
      <c r="GD79" s="102"/>
      <c r="GE79" s="102"/>
      <c r="GF79" s="102"/>
      <c r="GH79" s="102"/>
      <c r="GI79" s="102"/>
      <c r="GJ79" s="102"/>
      <c r="GK79" s="102"/>
      <c r="GL79" s="102"/>
      <c r="GN79" s="102"/>
      <c r="GO79" s="102"/>
      <c r="GP79" s="102"/>
      <c r="GQ79" s="102"/>
      <c r="GR79" s="102"/>
      <c r="GT79" s="102"/>
      <c r="GU79" s="102"/>
      <c r="GV79" s="102"/>
      <c r="GW79" s="102"/>
      <c r="GX79" s="102"/>
      <c r="GZ79" s="102"/>
      <c r="HA79" s="102"/>
      <c r="HB79" s="102"/>
      <c r="HC79" s="102"/>
      <c r="HD79" s="102"/>
    </row>
    <row r="80" spans="1:218">
      <c r="A80" s="31" t="s">
        <v>603</v>
      </c>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c r="EO80" s="102"/>
      <c r="EP80" s="102"/>
      <c r="EQ80" s="102"/>
      <c r="ER80" s="102"/>
      <c r="ES80" s="102"/>
      <c r="ET80" s="102"/>
      <c r="EU80" s="102"/>
      <c r="EV80" s="102"/>
      <c r="EX80" s="102"/>
      <c r="EY80" s="102"/>
      <c r="EZ80" s="102"/>
      <c r="FA80" s="102"/>
      <c r="FB80" s="543"/>
      <c r="FD80" s="543"/>
      <c r="FE80" s="102"/>
      <c r="FF80" s="102"/>
      <c r="FG80" s="102"/>
      <c r="FH80" s="102"/>
      <c r="FJ80" s="102"/>
      <c r="FK80" s="102"/>
      <c r="FL80" s="102"/>
      <c r="FM80" s="102"/>
      <c r="FN80" s="102"/>
      <c r="FP80" s="102"/>
      <c r="FQ80" s="102"/>
      <c r="FR80" s="102"/>
      <c r="FS80" s="102"/>
      <c r="FT80" s="102"/>
      <c r="FV80" s="102"/>
      <c r="FW80" s="102"/>
      <c r="FX80" s="102"/>
      <c r="FY80" s="102"/>
      <c r="FZ80" s="102"/>
      <c r="GB80" s="102"/>
      <c r="GC80" s="102"/>
      <c r="GD80" s="102"/>
      <c r="GE80" s="102"/>
      <c r="GF80" s="102"/>
      <c r="GH80" s="102"/>
      <c r="GI80" s="102"/>
      <c r="GJ80" s="102"/>
      <c r="GK80" s="102"/>
      <c r="GL80" s="102"/>
      <c r="GN80" s="102"/>
      <c r="GO80" s="102"/>
      <c r="GP80" s="102"/>
      <c r="GQ80" s="102"/>
      <c r="GR80" s="102"/>
      <c r="GT80" s="102"/>
      <c r="GU80" s="102"/>
      <c r="GV80" s="102"/>
      <c r="GW80" s="102"/>
      <c r="GX80" s="102"/>
      <c r="GZ80" s="102"/>
      <c r="HA80" s="102"/>
      <c r="HB80" s="102"/>
      <c r="HC80" s="102"/>
      <c r="HD80" s="102"/>
    </row>
    <row r="81" spans="1:218">
      <c r="A81" s="39"/>
      <c r="B81" s="39" t="s">
        <v>604</v>
      </c>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V81" s="39"/>
      <c r="CW81" s="39"/>
      <c r="CX81" s="39"/>
      <c r="CY81" s="39"/>
      <c r="CZ81" s="39"/>
      <c r="DA81" s="39"/>
      <c r="DB81" s="39"/>
      <c r="DC81" s="39"/>
      <c r="DD81" s="39"/>
      <c r="DE81" s="39"/>
      <c r="DF81" s="39"/>
      <c r="DG81" s="39"/>
      <c r="DH81" s="535">
        <f>(1/(IS!DH49/BS!DH14))*91.25</f>
        <v>83.63324424893176</v>
      </c>
      <c r="DI81" s="535">
        <f>(1/(IS!DI49/AVERAGE(BS!DI14,DH14))*91.25)</f>
        <v>80.071720101555812</v>
      </c>
      <c r="DJ81" s="535">
        <f>(1/(IS!DJ49/AVERAGE(BS!DJ14,DI14))*91.25)</f>
        <v>81.521605809308795</v>
      </c>
      <c r="DK81" s="535">
        <f>(1/(IS!DK49/AVERAGE(BS!DK14,DJ14))*91.25)</f>
        <v>83.293143184047068</v>
      </c>
      <c r="DL81" s="535">
        <f>DK81</f>
        <v>83.293143184047068</v>
      </c>
      <c r="DM81" s="535"/>
      <c r="DN81" s="535">
        <f>(1/(IS!DN49/AVERAGE(BS!DN14,DK14))*91.25)</f>
        <v>76.141435701057787</v>
      </c>
      <c r="DO81" s="535">
        <f>(1/(IS!DO49/AVERAGE(BS!DO14,DN14))*91.25)</f>
        <v>77.411736946113095</v>
      </c>
      <c r="DP81" s="535">
        <f>(1/(IS!DP49/AVERAGE(BS!DP14,DO14))*91.25)</f>
        <v>78.949313092326506</v>
      </c>
      <c r="DQ81" s="535">
        <f>(1/(IS!DQ49/AVERAGE(BS!DQ14,DP14))*91.25)</f>
        <v>79.14187946812892</v>
      </c>
      <c r="DR81" s="535">
        <f>DQ81</f>
        <v>79.14187946812892</v>
      </c>
      <c r="DS81" s="535"/>
      <c r="DT81" s="535">
        <f>(1/(IS!DT49/AVERAGE(BS!DT14,DQ14))*91.25)</f>
        <v>83.570817221541077</v>
      </c>
      <c r="DU81" s="535">
        <f>(1/(IS!DU49/AVERAGE(BS!DU14,DT14))*91.25)</f>
        <v>98.480589696126572</v>
      </c>
      <c r="DV81" s="535">
        <f>(1/(IS!DV49/AVERAGE(BS!DV14,DU14))*91.25)</f>
        <v>69.63664563470553</v>
      </c>
      <c r="DW81" s="535">
        <f>(1/(IS!DW49/AVERAGE(BS!DW14,DV14))*91.25)</f>
        <v>76.239017595657046</v>
      </c>
      <c r="DX81" s="535">
        <f>DW81</f>
        <v>76.239017595657046</v>
      </c>
      <c r="DY81" s="535"/>
      <c r="DZ81" s="535">
        <f>(1/(IS!DZ49/AVERAGE(BS!DZ14,DW14))*91.25)</f>
        <v>82.838047354435531</v>
      </c>
      <c r="EA81" s="535">
        <f>(1/(IS!EA49/AVERAGE(BS!EA14,DZ14))*91.25)</f>
        <v>78.41529813348231</v>
      </c>
      <c r="EB81" s="535">
        <f>(1/(IS!EB49/AVERAGE(BS!EB14,EA14))*91.25)</f>
        <v>79.431267512774014</v>
      </c>
      <c r="EC81" s="535">
        <f>(1/(IS!EC49/AVERAGE(BS!EC14,EB14))*91.25)</f>
        <v>78.777986113320409</v>
      </c>
      <c r="ED81" s="535">
        <f>EC81</f>
        <v>78.777986113320409</v>
      </c>
      <c r="EE81" s="535"/>
      <c r="EF81" s="535">
        <f>(1/(IS!EF49/AVERAGE(BS!EF14,EC14))*91.25)</f>
        <v>86.806226476286383</v>
      </c>
      <c r="EG81" s="535">
        <f>(1/(IS!EG49/AVERAGE(BS!EG14,EF14))*91.25)</f>
        <v>81.009618459767168</v>
      </c>
      <c r="EH81" s="535">
        <f>(1/(IS!EH49/AVERAGE(BS!EH14,EG14))*91.25)</f>
        <v>79.100291578015543</v>
      </c>
      <c r="EI81" s="535">
        <f>(1/(IS!EI49/AVERAGE(BS!EI14,EH14))*91.25)</f>
        <v>76.216002487293167</v>
      </c>
      <c r="EJ81" s="535">
        <f>EI81</f>
        <v>76.216002487293167</v>
      </c>
      <c r="EK81" s="535"/>
      <c r="EL81" s="535">
        <f>(1/(IS!EL49/AVERAGE(BS!EL14,EI14))*91.25)</f>
        <v>79.317742493805554</v>
      </c>
      <c r="EM81" s="535">
        <f>(1/(IS!EM49/AVERAGE(BS!EM14,EL14))*91.25)</f>
        <v>75.856993234275123</v>
      </c>
      <c r="EN81" s="535">
        <f>(1/(IS!EN49/AVERAGE(BS!EN14,EM14))*91.25)</f>
        <v>77.485394428577052</v>
      </c>
      <c r="EO81" s="535">
        <f>(1/(IS!EO49/AVERAGE(BS!EO14,EN14))*91.25)</f>
        <v>77.394902508485899</v>
      </c>
      <c r="EP81" s="535">
        <f>EO81</f>
        <v>77.394902508485899</v>
      </c>
      <c r="EQ81" s="535"/>
      <c r="ER81" s="535">
        <f>(1/(IS!ER49/AVERAGE(BS!ER14,EO14))*91.25)</f>
        <v>79.284826228878629</v>
      </c>
      <c r="ES81" s="535">
        <f>(1/(IS!ES49/AVERAGE(BS!ES14,ER14))*91.25)</f>
        <v>79.561266732319368</v>
      </c>
      <c r="ET81" s="535">
        <f>(1/(IS!ET49/AVERAGE(BS!ET14,ES14))*91.25)</f>
        <v>81.017379069739732</v>
      </c>
      <c r="EU81" s="535">
        <f>(1/(IS!EU49/AVERAGE(BS!EU14,ET14))*91.25)</f>
        <v>80.100523255813954</v>
      </c>
      <c r="EV81" s="535">
        <f>EU81</f>
        <v>80.100523255813954</v>
      </c>
      <c r="EW81" s="659"/>
      <c r="EX81" s="535">
        <f>(1/(IS!EX49/AVERAGE(BS!EX14,EU14))*91.25)</f>
        <v>81.930862617906982</v>
      </c>
      <c r="EY81" s="535">
        <f>(1/(IS!EY49/AVERAGE(BS!EY14,EX14))*91.25)</f>
        <v>76.574163817349572</v>
      </c>
      <c r="EZ81" s="882">
        <f>(1/(IS!EZ49/AVERAGE(BS!EZ14,EY14))*91.25)</f>
        <v>74.930420214380419</v>
      </c>
      <c r="FA81" s="931">
        <f t="shared" ref="FA81:FB83" si="133">EZ81</f>
        <v>74.930420214380419</v>
      </c>
      <c r="FB81" s="839">
        <f t="shared" si="133"/>
        <v>74.930420214380419</v>
      </c>
      <c r="FC81" s="659"/>
      <c r="FD81" s="838">
        <f>FA81</f>
        <v>74.930420214380419</v>
      </c>
      <c r="FE81" s="659">
        <f t="shared" ref="FE81:FH83" si="134">FD81</f>
        <v>74.930420214380419</v>
      </c>
      <c r="FF81" s="659">
        <f t="shared" si="134"/>
        <v>74.930420214380419</v>
      </c>
      <c r="FG81" s="659">
        <f t="shared" si="134"/>
        <v>74.930420214380419</v>
      </c>
      <c r="FH81" s="535">
        <f t="shared" si="134"/>
        <v>74.930420214380419</v>
      </c>
      <c r="FI81" s="659"/>
      <c r="FJ81" s="659">
        <f>FG81-1</f>
        <v>73.930420214380419</v>
      </c>
      <c r="FK81" s="659">
        <f t="shared" ref="FK81:FN83" si="135">FJ81</f>
        <v>73.930420214380419</v>
      </c>
      <c r="FL81" s="659">
        <f t="shared" si="135"/>
        <v>73.930420214380419</v>
      </c>
      <c r="FM81" s="659">
        <f t="shared" si="135"/>
        <v>73.930420214380419</v>
      </c>
      <c r="FN81" s="535">
        <f t="shared" si="135"/>
        <v>73.930420214380419</v>
      </c>
      <c r="FO81" s="659"/>
      <c r="FP81" s="659">
        <f>FM81-1</f>
        <v>72.930420214380419</v>
      </c>
      <c r="FQ81" s="659">
        <f t="shared" ref="FQ81:FT83" si="136">FP81</f>
        <v>72.930420214380419</v>
      </c>
      <c r="FR81" s="659">
        <f t="shared" si="136"/>
        <v>72.930420214380419</v>
      </c>
      <c r="FS81" s="659">
        <f t="shared" si="136"/>
        <v>72.930420214380419</v>
      </c>
      <c r="FT81" s="535">
        <f t="shared" si="136"/>
        <v>72.930420214380419</v>
      </c>
      <c r="FU81" s="659"/>
      <c r="FV81" s="659">
        <f>FS81-1</f>
        <v>71.930420214380419</v>
      </c>
      <c r="FW81" s="659">
        <f t="shared" ref="FW81:FX83" si="137">FV81</f>
        <v>71.930420214380419</v>
      </c>
      <c r="FX81" s="659">
        <f t="shared" si="137"/>
        <v>71.930420214380419</v>
      </c>
      <c r="FY81" s="659">
        <f t="shared" ref="FY81:FZ83" si="138">FX81</f>
        <v>71.930420214380419</v>
      </c>
      <c r="FZ81" s="535">
        <f t="shared" si="138"/>
        <v>71.930420214380419</v>
      </c>
      <c r="GA81" s="659"/>
      <c r="GB81" s="659">
        <f>FY81-1</f>
        <v>70.930420214380419</v>
      </c>
      <c r="GC81" s="659">
        <f t="shared" ref="GC81:GD83" si="139">GB81</f>
        <v>70.930420214380419</v>
      </c>
      <c r="GD81" s="659">
        <f t="shared" si="139"/>
        <v>70.930420214380419</v>
      </c>
      <c r="GE81" s="659">
        <f t="shared" ref="GE81:GF83" si="140">GD81</f>
        <v>70.930420214380419</v>
      </c>
      <c r="GF81" s="535">
        <f t="shared" si="140"/>
        <v>70.930420214380419</v>
      </c>
      <c r="GG81" s="659"/>
      <c r="GH81" s="659">
        <f>GE81-1</f>
        <v>69.930420214380419</v>
      </c>
      <c r="GI81" s="659">
        <f t="shared" ref="GI81:GJ83" si="141">GH81</f>
        <v>69.930420214380419</v>
      </c>
      <c r="GJ81" s="659">
        <f t="shared" si="141"/>
        <v>69.930420214380419</v>
      </c>
      <c r="GK81" s="659">
        <f t="shared" ref="GK81:GL83" si="142">GJ81</f>
        <v>69.930420214380419</v>
      </c>
      <c r="GL81" s="535">
        <f t="shared" si="142"/>
        <v>69.930420214380419</v>
      </c>
      <c r="GM81" s="535"/>
      <c r="GN81" s="659">
        <f>GK81-1</f>
        <v>68.930420214380419</v>
      </c>
      <c r="GO81" s="659">
        <f t="shared" ref="GO81:GP83" si="143">GN81</f>
        <v>68.930420214380419</v>
      </c>
      <c r="GP81" s="659">
        <f t="shared" si="143"/>
        <v>68.930420214380419</v>
      </c>
      <c r="GQ81" s="659">
        <f t="shared" ref="GQ81:GR83" si="144">GP81</f>
        <v>68.930420214380419</v>
      </c>
      <c r="GR81" s="535">
        <f t="shared" si="144"/>
        <v>68.930420214380419</v>
      </c>
      <c r="GS81" s="535"/>
      <c r="GT81" s="659">
        <f>GQ81-1</f>
        <v>67.930420214380419</v>
      </c>
      <c r="GU81" s="659">
        <f t="shared" ref="GU81:GV83" si="145">GT81</f>
        <v>67.930420214380419</v>
      </c>
      <c r="GV81" s="659">
        <f t="shared" si="145"/>
        <v>67.930420214380419</v>
      </c>
      <c r="GW81" s="659">
        <f t="shared" ref="GW81:GX83" si="146">GV81</f>
        <v>67.930420214380419</v>
      </c>
      <c r="GX81" s="535">
        <f t="shared" si="146"/>
        <v>67.930420214380419</v>
      </c>
      <c r="GY81" s="535"/>
      <c r="GZ81" s="659">
        <f>GW81-1</f>
        <v>66.930420214380419</v>
      </c>
      <c r="HA81" s="659">
        <f t="shared" ref="HA81:HB83" si="147">GZ81</f>
        <v>66.930420214380419</v>
      </c>
      <c r="HB81" s="659">
        <f t="shared" si="147"/>
        <v>66.930420214380419</v>
      </c>
      <c r="HC81" s="659">
        <f t="shared" ref="HC81:HD83" si="148">HB81</f>
        <v>66.930420214380419</v>
      </c>
      <c r="HD81" s="535">
        <f t="shared" si="148"/>
        <v>66.930420214380419</v>
      </c>
      <c r="HF81" s="659">
        <f>HC81-1</f>
        <v>65.930420214380419</v>
      </c>
      <c r="HG81" s="659">
        <f t="shared" ref="HG81:HG83" si="149">HF81</f>
        <v>65.930420214380419</v>
      </c>
      <c r="HH81" s="659">
        <f t="shared" ref="HH81:HH83" si="150">HG81</f>
        <v>65.930420214380419</v>
      </c>
      <c r="HI81" s="659">
        <f t="shared" ref="HI81:HI83" si="151">HH81</f>
        <v>65.930420214380419</v>
      </c>
      <c r="HJ81" s="535">
        <f t="shared" ref="HJ81:HJ83" si="152">HI81</f>
        <v>65.930420214380419</v>
      </c>
    </row>
    <row r="82" spans="1:218">
      <c r="A82" s="39"/>
      <c r="B82" s="39" t="s">
        <v>605</v>
      </c>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48"/>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40"/>
      <c r="CF82" s="40"/>
      <c r="CG82" s="40"/>
      <c r="CH82" s="39"/>
      <c r="CI82" s="39"/>
      <c r="CJ82" s="39"/>
      <c r="CK82" s="40"/>
      <c r="CL82" s="39"/>
      <c r="CM82" s="39"/>
      <c r="CN82" s="39"/>
      <c r="CO82" s="39"/>
      <c r="CP82" s="39"/>
      <c r="CQ82" s="39"/>
      <c r="CR82" s="39"/>
      <c r="CS82" s="39"/>
      <c r="CT82" s="39"/>
      <c r="CU82" s="39"/>
      <c r="CV82" s="39"/>
      <c r="CW82" s="39"/>
      <c r="CX82" s="39"/>
      <c r="CY82" s="39"/>
      <c r="CZ82" s="39"/>
      <c r="DA82" s="39"/>
      <c r="DB82" s="39"/>
      <c r="DC82" s="39"/>
      <c r="DD82" s="39"/>
      <c r="DE82" s="39"/>
      <c r="DF82" s="39"/>
      <c r="DG82" s="39"/>
      <c r="DH82" s="535">
        <f>(1/(IS!DH50/BS!DH15))*91.25</f>
        <v>18.98515365448505</v>
      </c>
      <c r="DI82" s="535">
        <f>(1/(IS!DI50/AVERAGE(BS!DI15,DH15))*91.25)</f>
        <v>17.669634700128977</v>
      </c>
      <c r="DJ82" s="535">
        <f>(1/(IS!DJ50/AVERAGE(BS!DJ15,DI15))*91.25)</f>
        <v>17.030438477226379</v>
      </c>
      <c r="DK82" s="535">
        <f>(1/(IS!DK50/AVERAGE(BS!DK15,DJ15))*91.25)</f>
        <v>17.940996214815566</v>
      </c>
      <c r="DL82" s="535">
        <f>DK82</f>
        <v>17.940996214815566</v>
      </c>
      <c r="DM82" s="535"/>
      <c r="DN82" s="535">
        <f>(1/(IS!DN50/AVERAGE(BS!DN15,DK15))*91.25)</f>
        <v>17.247534150468407</v>
      </c>
      <c r="DO82" s="535">
        <f>(1/(IS!DO50/AVERAGE(BS!DO15,DN15))*91.25)</f>
        <v>15.918192029878476</v>
      </c>
      <c r="DP82" s="535">
        <f>(1/(IS!DP50/AVERAGE(BS!DP15,DO15))*91.25)</f>
        <v>18.105091474739972</v>
      </c>
      <c r="DQ82" s="535">
        <f>(1/(IS!DQ50/AVERAGE(BS!DQ15,DP15))*91.25)</f>
        <v>21.662360611115989</v>
      </c>
      <c r="DR82" s="535">
        <f>DQ82</f>
        <v>21.662360611115989</v>
      </c>
      <c r="DS82" s="535"/>
      <c r="DT82" s="535">
        <f>(1/(IS!DT50/AVERAGE(BS!DT15,DQ15))*91.25)</f>
        <v>26.529506293893839</v>
      </c>
      <c r="DU82" s="535">
        <f>(1/(IS!DU50/AVERAGE(BS!DU15,DT15))*91.25)</f>
        <v>32.427474945312099</v>
      </c>
      <c r="DV82" s="535">
        <f>(1/(IS!DV50/AVERAGE(BS!DV15,DU15))*91.25)</f>
        <v>27.018713487160085</v>
      </c>
      <c r="DW82" s="535">
        <f>(1/(IS!DW50/AVERAGE(BS!DW15,DV15))*91.25)</f>
        <v>33.394033394607845</v>
      </c>
      <c r="DX82" s="535">
        <f>DW82</f>
        <v>33.394033394607845</v>
      </c>
      <c r="DY82" s="535"/>
      <c r="DZ82" s="535">
        <f>(1/(IS!DZ50/AVERAGE(BS!DZ15,DW15))*91.25)</f>
        <v>33.828684823769308</v>
      </c>
      <c r="EA82" s="535">
        <f>(1/(IS!EA50/AVERAGE(BS!EA15,DZ15))*91.25)</f>
        <v>28.69198955959121</v>
      </c>
      <c r="EB82" s="535">
        <f>(1/(IS!EB50/AVERAGE(BS!EB15,EA15))*91.25)</f>
        <v>28.462855637513172</v>
      </c>
      <c r="EC82" s="535">
        <f>(1/(IS!EC50/AVERAGE(BS!EC15,EB15))*91.25)</f>
        <v>27.287999854539684</v>
      </c>
      <c r="ED82" s="535">
        <f>EC82</f>
        <v>27.287999854539684</v>
      </c>
      <c r="EE82" s="535"/>
      <c r="EF82" s="535">
        <f>(1/(IS!EF50/AVERAGE(BS!EF15,EC15))*91.25)</f>
        <v>29.089909764591546</v>
      </c>
      <c r="EG82" s="535">
        <f>(1/(IS!EG50/AVERAGE(BS!EG15,EF15))*91.25)</f>
        <v>27.338630642560272</v>
      </c>
      <c r="EH82" s="535">
        <f>(1/(IS!EH50/AVERAGE(BS!EH15,EG15))*91.25)</f>
        <v>27.764389759582066</v>
      </c>
      <c r="EI82" s="535">
        <f>(1/(IS!EI50/AVERAGE(BS!EI15,EH15))*91.25)</f>
        <v>28.476975307039186</v>
      </c>
      <c r="EJ82" s="535">
        <f>EI82</f>
        <v>28.476975307039186</v>
      </c>
      <c r="EK82" s="535"/>
      <c r="EL82" s="535">
        <f>(1/(IS!EL50/AVERAGE(BS!EL15,EI15))*91.25)</f>
        <v>28.655862764818899</v>
      </c>
      <c r="EM82" s="535">
        <f>(1/(IS!EM50/AVERAGE(BS!EM15,EL15))*91.25)</f>
        <v>27.415642911905369</v>
      </c>
      <c r="EN82" s="535">
        <f>(1/(IS!EN50/AVERAGE(BS!EN15,EM15))*91.25)</f>
        <v>26.365535440500057</v>
      </c>
      <c r="EO82" s="535">
        <f>(1/(IS!EO50/AVERAGE(BS!EO15,EN15))*91.25)</f>
        <v>26.53719762321289</v>
      </c>
      <c r="EP82" s="535">
        <f>EO82</f>
        <v>26.53719762321289</v>
      </c>
      <c r="EQ82" s="535"/>
      <c r="ER82" s="535">
        <f>(1/(IS!ER50/AVERAGE(BS!ER15,EO15))*91.25)</f>
        <v>23.742979664427963</v>
      </c>
      <c r="ES82" s="535">
        <f>(1/(IS!ES50/AVERAGE(BS!ES15,ER15))*91.25)</f>
        <v>22.898499556149918</v>
      </c>
      <c r="ET82" s="535">
        <f>(1/(IS!ET50/AVERAGE(BS!ET15,ES15))*91.25)</f>
        <v>24.787898602753465</v>
      </c>
      <c r="EU82" s="535">
        <f>(1/(IS!EU50/AVERAGE(BS!EU15,ET15))*91.25)</f>
        <v>26.090572406553274</v>
      </c>
      <c r="EV82" s="535">
        <f>EU82</f>
        <v>26.090572406553274</v>
      </c>
      <c r="EW82" s="535"/>
      <c r="EX82" s="535">
        <f>(1/(IS!EX50/AVERAGE(BS!EX15,EU15))*91.25)</f>
        <v>28.81772160386214</v>
      </c>
      <c r="EY82" s="535">
        <f>(1/(IS!EY50/AVERAGE(BS!EY15,EX15))*91.25)</f>
        <v>29.481187726106025</v>
      </c>
      <c r="EZ82" s="882">
        <f>(1/(IS!EZ50/AVERAGE(BS!EZ15,EY15))*91.25)</f>
        <v>27.905385445454634</v>
      </c>
      <c r="FA82" s="931">
        <f t="shared" si="133"/>
        <v>27.905385445454634</v>
      </c>
      <c r="FB82" s="839">
        <f t="shared" si="133"/>
        <v>27.905385445454634</v>
      </c>
      <c r="FC82" s="535"/>
      <c r="FD82" s="838">
        <f>FA82</f>
        <v>27.905385445454634</v>
      </c>
      <c r="FE82" s="659">
        <f t="shared" si="134"/>
        <v>27.905385445454634</v>
      </c>
      <c r="FF82" s="659">
        <f t="shared" si="134"/>
        <v>27.905385445454634</v>
      </c>
      <c r="FG82" s="659">
        <f t="shared" si="134"/>
        <v>27.905385445454634</v>
      </c>
      <c r="FH82" s="535">
        <f t="shared" si="134"/>
        <v>27.905385445454634</v>
      </c>
      <c r="FI82" s="535"/>
      <c r="FJ82" s="659">
        <f>FG82-1</f>
        <v>26.905385445454634</v>
      </c>
      <c r="FK82" s="659">
        <f t="shared" si="135"/>
        <v>26.905385445454634</v>
      </c>
      <c r="FL82" s="659">
        <f t="shared" si="135"/>
        <v>26.905385445454634</v>
      </c>
      <c r="FM82" s="659">
        <f t="shared" si="135"/>
        <v>26.905385445454634</v>
      </c>
      <c r="FN82" s="535">
        <f t="shared" si="135"/>
        <v>26.905385445454634</v>
      </c>
      <c r="FO82" s="535"/>
      <c r="FP82" s="659">
        <f>FM82-1</f>
        <v>25.905385445454634</v>
      </c>
      <c r="FQ82" s="659">
        <f t="shared" si="136"/>
        <v>25.905385445454634</v>
      </c>
      <c r="FR82" s="659">
        <f t="shared" si="136"/>
        <v>25.905385445454634</v>
      </c>
      <c r="FS82" s="659">
        <f t="shared" si="136"/>
        <v>25.905385445454634</v>
      </c>
      <c r="FT82" s="535">
        <f t="shared" si="136"/>
        <v>25.905385445454634</v>
      </c>
      <c r="FU82" s="535"/>
      <c r="FV82" s="659">
        <f>FS82</f>
        <v>25.905385445454634</v>
      </c>
      <c r="FW82" s="659">
        <f t="shared" si="137"/>
        <v>25.905385445454634</v>
      </c>
      <c r="FX82" s="659">
        <f t="shared" si="137"/>
        <v>25.905385445454634</v>
      </c>
      <c r="FY82" s="659">
        <f t="shared" si="138"/>
        <v>25.905385445454634</v>
      </c>
      <c r="FZ82" s="535">
        <f t="shared" si="138"/>
        <v>25.905385445454634</v>
      </c>
      <c r="GA82" s="535"/>
      <c r="GB82" s="659">
        <f>FY82</f>
        <v>25.905385445454634</v>
      </c>
      <c r="GC82" s="659">
        <f t="shared" si="139"/>
        <v>25.905385445454634</v>
      </c>
      <c r="GD82" s="659">
        <f t="shared" si="139"/>
        <v>25.905385445454634</v>
      </c>
      <c r="GE82" s="659">
        <f t="shared" si="140"/>
        <v>25.905385445454634</v>
      </c>
      <c r="GF82" s="535">
        <f t="shared" si="140"/>
        <v>25.905385445454634</v>
      </c>
      <c r="GG82" s="535"/>
      <c r="GH82" s="659">
        <f>GE82</f>
        <v>25.905385445454634</v>
      </c>
      <c r="GI82" s="659">
        <f t="shared" si="141"/>
        <v>25.905385445454634</v>
      </c>
      <c r="GJ82" s="659">
        <f t="shared" si="141"/>
        <v>25.905385445454634</v>
      </c>
      <c r="GK82" s="659">
        <f t="shared" si="142"/>
        <v>25.905385445454634</v>
      </c>
      <c r="GL82" s="535">
        <f t="shared" si="142"/>
        <v>25.905385445454634</v>
      </c>
      <c r="GM82" s="535"/>
      <c r="GN82" s="659">
        <f>GK82</f>
        <v>25.905385445454634</v>
      </c>
      <c r="GO82" s="659">
        <f t="shared" si="143"/>
        <v>25.905385445454634</v>
      </c>
      <c r="GP82" s="659">
        <f t="shared" si="143"/>
        <v>25.905385445454634</v>
      </c>
      <c r="GQ82" s="659">
        <f t="shared" si="144"/>
        <v>25.905385445454634</v>
      </c>
      <c r="GR82" s="535">
        <f t="shared" si="144"/>
        <v>25.905385445454634</v>
      </c>
      <c r="GS82" s="535"/>
      <c r="GT82" s="659">
        <f>GQ82</f>
        <v>25.905385445454634</v>
      </c>
      <c r="GU82" s="659">
        <f t="shared" si="145"/>
        <v>25.905385445454634</v>
      </c>
      <c r="GV82" s="659">
        <f t="shared" si="145"/>
        <v>25.905385445454634</v>
      </c>
      <c r="GW82" s="659">
        <f t="shared" si="146"/>
        <v>25.905385445454634</v>
      </c>
      <c r="GX82" s="535">
        <f t="shared" si="146"/>
        <v>25.905385445454634</v>
      </c>
      <c r="GY82" s="535"/>
      <c r="GZ82" s="659">
        <f>GW82</f>
        <v>25.905385445454634</v>
      </c>
      <c r="HA82" s="659">
        <f t="shared" si="147"/>
        <v>25.905385445454634</v>
      </c>
      <c r="HB82" s="659">
        <f t="shared" si="147"/>
        <v>25.905385445454634</v>
      </c>
      <c r="HC82" s="659">
        <f t="shared" si="148"/>
        <v>25.905385445454634</v>
      </c>
      <c r="HD82" s="535">
        <f t="shared" si="148"/>
        <v>25.905385445454634</v>
      </c>
      <c r="HF82" s="659">
        <f>HC82</f>
        <v>25.905385445454634</v>
      </c>
      <c r="HG82" s="659">
        <f t="shared" si="149"/>
        <v>25.905385445454634</v>
      </c>
      <c r="HH82" s="659">
        <f t="shared" si="150"/>
        <v>25.905385445454634</v>
      </c>
      <c r="HI82" s="659">
        <f t="shared" si="151"/>
        <v>25.905385445454634</v>
      </c>
      <c r="HJ82" s="535">
        <f t="shared" si="152"/>
        <v>25.905385445454634</v>
      </c>
    </row>
    <row r="83" spans="1:218" ht="15">
      <c r="A83" s="39"/>
      <c r="B83" s="39" t="s">
        <v>606</v>
      </c>
      <c r="C83" s="39"/>
      <c r="D83" s="39"/>
      <c r="E83" s="39"/>
      <c r="F83" s="39"/>
      <c r="G83" s="39"/>
      <c r="H83" s="39"/>
      <c r="I83" s="39"/>
      <c r="J83" s="48"/>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48"/>
      <c r="BG83" s="39"/>
      <c r="BH83" s="39"/>
      <c r="BI83" s="39"/>
      <c r="BJ83" s="39"/>
      <c r="BK83" s="39"/>
      <c r="BL83" s="39"/>
      <c r="BM83" s="39"/>
      <c r="BN83" s="39"/>
      <c r="BO83" s="39"/>
      <c r="BP83" s="39"/>
      <c r="BQ83" s="39"/>
      <c r="BR83" s="39"/>
      <c r="BS83" s="39"/>
      <c r="BT83" s="39"/>
      <c r="BU83" s="39"/>
      <c r="BV83" s="39"/>
      <c r="BW83" s="39"/>
      <c r="BX83" s="39"/>
      <c r="BY83" s="39"/>
      <c r="BZ83" s="39"/>
      <c r="CA83" s="39"/>
      <c r="CB83" s="39"/>
      <c r="CC83" s="39"/>
      <c r="CD83" s="39"/>
      <c r="CE83" s="39"/>
      <c r="CF83" s="39"/>
      <c r="CG83" s="39"/>
      <c r="CH83" s="39"/>
      <c r="CI83" s="39"/>
      <c r="CJ83" s="39"/>
      <c r="CK83" s="39"/>
      <c r="CL83" s="40"/>
      <c r="CM83" s="39"/>
      <c r="CN83" s="39"/>
      <c r="CO83" s="39"/>
      <c r="CP83" s="39"/>
      <c r="CQ83" s="39"/>
      <c r="CR83" s="39"/>
      <c r="CS83" s="39"/>
      <c r="CT83" s="39"/>
      <c r="CU83" s="39"/>
      <c r="CV83" s="39"/>
      <c r="CW83" s="39"/>
      <c r="CX83" s="39"/>
      <c r="CY83" s="39"/>
      <c r="CZ83" s="39"/>
      <c r="DA83" s="39"/>
      <c r="DB83" s="39"/>
      <c r="DC83" s="39"/>
      <c r="DD83" s="39"/>
      <c r="DE83" s="39"/>
      <c r="DF83" s="39"/>
      <c r="DG83" s="39"/>
      <c r="DH83" s="660">
        <f>(1/(IS!DH50/BS!DH35))*91.25</f>
        <v>32.963178294573645</v>
      </c>
      <c r="DI83" s="660">
        <f>(1/(IS!DI50/AVERAGE(BS!DI35,DH35))*91.25)</f>
        <v>31.120771308039547</v>
      </c>
      <c r="DJ83" s="660">
        <f>(1/(IS!DJ50/AVERAGE(BS!DJ35,DI35))*91.25)</f>
        <v>26.719935418082933</v>
      </c>
      <c r="DK83" s="660">
        <f>(1/(IS!DK50/AVERAGE(BS!DK35,DJ35))*91.25)</f>
        <v>31.270116731023272</v>
      </c>
      <c r="DL83" s="535">
        <f>DK83</f>
        <v>31.270116731023272</v>
      </c>
      <c r="DM83" s="535"/>
      <c r="DN83" s="660">
        <f>(1/(IS!DN50/AVERAGE(BS!DN35,DK35))*91.25)</f>
        <v>32.285463352729977</v>
      </c>
      <c r="DO83" s="660">
        <f>(1/(IS!DO50/AVERAGE(BS!DO35,DN35))*91.25)</f>
        <v>28.40588090317933</v>
      </c>
      <c r="DP83" s="660">
        <f>(1/(IS!DP50/AVERAGE(BS!DP35,DO35))*91.25)</f>
        <v>29.084242663447245</v>
      </c>
      <c r="DQ83" s="660">
        <f>(1/(IS!DQ50/AVERAGE(BS!DQ35,DP35))*91.25)</f>
        <v>30.09591491790324</v>
      </c>
      <c r="DR83" s="535">
        <f>DQ83</f>
        <v>30.09591491790324</v>
      </c>
      <c r="DS83" s="535"/>
      <c r="DT83" s="660">
        <f>(1/(IS!DT50/AVERAGE(BS!DT35,DQ35))*91.25)</f>
        <v>30.605556812658186</v>
      </c>
      <c r="DU83" s="660">
        <f>(1/(IS!DU50/AVERAGE(BS!DU35,DT35))*91.25)</f>
        <v>30.677398636618001</v>
      </c>
      <c r="DV83" s="660">
        <f>(1/(IS!DV50/AVERAGE(BS!DV35,DU35))*91.25)</f>
        <v>23.607337242045979</v>
      </c>
      <c r="DW83" s="660">
        <f>(1/(IS!DW50/AVERAGE(BS!DW35,DV35))*91.25)</f>
        <v>28.422436683006538</v>
      </c>
      <c r="DX83" s="535">
        <f>DW83</f>
        <v>28.422436683006538</v>
      </c>
      <c r="DY83" s="535"/>
      <c r="DZ83" s="660">
        <f>(1/(IS!DZ50/AVERAGE(BS!DZ35,DW35))*91.25)</f>
        <v>29.161192834255754</v>
      </c>
      <c r="EA83" s="660">
        <f>(1/(IS!EA50/AVERAGE(BS!EA35,DZ35))*91.25)</f>
        <v>28.161302477758991</v>
      </c>
      <c r="EB83" s="660">
        <f>(1/(IS!EB50/AVERAGE(BS!EB35,EA35))*91.25)</f>
        <v>33.977871443624871</v>
      </c>
      <c r="EC83" s="660">
        <f>(1/(IS!EC50/AVERAGE(BS!EC35,EB35))*91.25)</f>
        <v>28.028888749305757</v>
      </c>
      <c r="ED83" s="535">
        <f>EC83</f>
        <v>28.028888749305757</v>
      </c>
      <c r="EE83" s="535"/>
      <c r="EF83" s="660">
        <f>(1/(IS!EF50/AVERAGE(BS!EF35,EC35))*91.25)</f>
        <v>23.650062766589276</v>
      </c>
      <c r="EG83" s="660">
        <f>(1/(IS!EG50/AVERAGE(BS!EG35,EF35))*91.25)</f>
        <v>22.330067651724718</v>
      </c>
      <c r="EH83" s="660">
        <f>(1/(IS!EH50/AVERAGE(BS!EH35,EG35))*91.25)</f>
        <v>18.579923303480996</v>
      </c>
      <c r="EI83" s="660">
        <f>(1/(IS!EI50/AVERAGE(BS!EI35,EH35))*91.25)</f>
        <v>20.268432087866437</v>
      </c>
      <c r="EJ83" s="535">
        <f>EI83</f>
        <v>20.268432087866437</v>
      </c>
      <c r="EK83" s="535"/>
      <c r="EL83" s="660">
        <f>(1/(IS!EL50/AVERAGE(BS!EL35,EI35))*91.25)</f>
        <v>25.427820329323168</v>
      </c>
      <c r="EM83" s="660">
        <f>(1/(IS!EM50/AVERAGE(BS!EM35,EL35))*91.25)</f>
        <v>22.556260876443602</v>
      </c>
      <c r="EN83" s="660">
        <f>(1/(IS!EN50/AVERAGE(BS!EN35,EM35))*91.25)</f>
        <v>18.689084797735582</v>
      </c>
      <c r="EO83" s="660">
        <f>(1/(IS!EO50/AVERAGE(BS!EO35,EN35))*91.25)</f>
        <v>20.45129546962659</v>
      </c>
      <c r="EP83" s="535">
        <f>EO83</f>
        <v>20.45129546962659</v>
      </c>
      <c r="EQ83" s="535"/>
      <c r="ER83" s="660">
        <f>(1/(IS!ER50/AVERAGE(BS!ER35,EO35))*91.25)</f>
        <v>20.643516135071259</v>
      </c>
      <c r="ES83" s="660">
        <f>(1/(IS!ES50/AVERAGE(BS!ES35,ER35))*91.25)</f>
        <v>18.684258309219398</v>
      </c>
      <c r="ET83" s="660">
        <f>(1/(IS!ET50/AVERAGE(BS!ET35,ES35))*91.25)</f>
        <v>17.523277944930708</v>
      </c>
      <c r="EU83" s="660">
        <f>(1/(IS!EU50/AVERAGE(BS!EU35,ET35))*91.25)</f>
        <v>19.423859207308219</v>
      </c>
      <c r="EV83" s="660">
        <f>EU83</f>
        <v>19.423859207308219</v>
      </c>
      <c r="EW83" s="535"/>
      <c r="EX83" s="660">
        <f>(1/(IS!EX50/AVERAGE(BS!EX35,EU35))*91.25)</f>
        <v>19.282176143221136</v>
      </c>
      <c r="EY83" s="660">
        <f>(1/(IS!EY50/AVERAGE(BS!EY35,EX35))*91.25)</f>
        <v>20.149451029729789</v>
      </c>
      <c r="EZ83" s="883">
        <f>(1/(IS!EZ50/AVERAGE(BS!EZ35,EY35))*91.25)</f>
        <v>22.323506362242558</v>
      </c>
      <c r="FA83" s="931">
        <f t="shared" si="133"/>
        <v>22.323506362242558</v>
      </c>
      <c r="FB83" s="933">
        <f t="shared" si="133"/>
        <v>22.323506362242558</v>
      </c>
      <c r="FC83" s="535"/>
      <c r="FD83" s="838">
        <f>FA83</f>
        <v>22.323506362242558</v>
      </c>
      <c r="FE83" s="659">
        <f t="shared" si="134"/>
        <v>22.323506362242558</v>
      </c>
      <c r="FF83" s="659">
        <f t="shared" si="134"/>
        <v>22.323506362242558</v>
      </c>
      <c r="FG83" s="659">
        <f t="shared" si="134"/>
        <v>22.323506362242558</v>
      </c>
      <c r="FH83" s="660">
        <f t="shared" si="134"/>
        <v>22.323506362242558</v>
      </c>
      <c r="FI83" s="535"/>
      <c r="FJ83" s="659">
        <f>FG83+1</f>
        <v>23.323506362242558</v>
      </c>
      <c r="FK83" s="659">
        <f t="shared" si="135"/>
        <v>23.323506362242558</v>
      </c>
      <c r="FL83" s="659">
        <f t="shared" si="135"/>
        <v>23.323506362242558</v>
      </c>
      <c r="FM83" s="659">
        <f t="shared" si="135"/>
        <v>23.323506362242558</v>
      </c>
      <c r="FN83" s="660">
        <f t="shared" si="135"/>
        <v>23.323506362242558</v>
      </c>
      <c r="FO83" s="535"/>
      <c r="FP83" s="659">
        <f>FM83+1</f>
        <v>24.323506362242558</v>
      </c>
      <c r="FQ83" s="659">
        <f t="shared" si="136"/>
        <v>24.323506362242558</v>
      </c>
      <c r="FR83" s="659">
        <f t="shared" si="136"/>
        <v>24.323506362242558</v>
      </c>
      <c r="FS83" s="659">
        <f t="shared" si="136"/>
        <v>24.323506362242558</v>
      </c>
      <c r="FT83" s="660">
        <f t="shared" si="136"/>
        <v>24.323506362242558</v>
      </c>
      <c r="FU83" s="535"/>
      <c r="FV83" s="659">
        <f>FS83+1</f>
        <v>25.323506362242558</v>
      </c>
      <c r="FW83" s="659">
        <f t="shared" si="137"/>
        <v>25.323506362242558</v>
      </c>
      <c r="FX83" s="659">
        <f t="shared" si="137"/>
        <v>25.323506362242558</v>
      </c>
      <c r="FY83" s="659">
        <f t="shared" si="138"/>
        <v>25.323506362242558</v>
      </c>
      <c r="FZ83" s="660">
        <f t="shared" si="138"/>
        <v>25.323506362242558</v>
      </c>
      <c r="GA83" s="535"/>
      <c r="GB83" s="659">
        <f>FY83+1</f>
        <v>26.323506362242558</v>
      </c>
      <c r="GC83" s="659">
        <f t="shared" si="139"/>
        <v>26.323506362242558</v>
      </c>
      <c r="GD83" s="659">
        <f t="shared" si="139"/>
        <v>26.323506362242558</v>
      </c>
      <c r="GE83" s="659">
        <f t="shared" si="140"/>
        <v>26.323506362242558</v>
      </c>
      <c r="GF83" s="660">
        <f t="shared" si="140"/>
        <v>26.323506362242558</v>
      </c>
      <c r="GG83" s="535"/>
      <c r="GH83" s="659">
        <f>GE83+1</f>
        <v>27.323506362242558</v>
      </c>
      <c r="GI83" s="659">
        <f t="shared" si="141"/>
        <v>27.323506362242558</v>
      </c>
      <c r="GJ83" s="659">
        <f t="shared" si="141"/>
        <v>27.323506362242558</v>
      </c>
      <c r="GK83" s="659">
        <f t="shared" si="142"/>
        <v>27.323506362242558</v>
      </c>
      <c r="GL83" s="660">
        <f t="shared" si="142"/>
        <v>27.323506362242558</v>
      </c>
      <c r="GM83" s="535"/>
      <c r="GN83" s="659">
        <f>GK83+1</f>
        <v>28.323506362242558</v>
      </c>
      <c r="GO83" s="659">
        <f t="shared" si="143"/>
        <v>28.323506362242558</v>
      </c>
      <c r="GP83" s="659">
        <f t="shared" si="143"/>
        <v>28.323506362242558</v>
      </c>
      <c r="GQ83" s="659">
        <f t="shared" si="144"/>
        <v>28.323506362242558</v>
      </c>
      <c r="GR83" s="660">
        <f t="shared" si="144"/>
        <v>28.323506362242558</v>
      </c>
      <c r="GS83" s="535"/>
      <c r="GT83" s="659">
        <f>GQ83+1</f>
        <v>29.323506362242558</v>
      </c>
      <c r="GU83" s="659">
        <f t="shared" si="145"/>
        <v>29.323506362242558</v>
      </c>
      <c r="GV83" s="659">
        <f t="shared" si="145"/>
        <v>29.323506362242558</v>
      </c>
      <c r="GW83" s="659">
        <f t="shared" si="146"/>
        <v>29.323506362242558</v>
      </c>
      <c r="GX83" s="660">
        <f t="shared" si="146"/>
        <v>29.323506362242558</v>
      </c>
      <c r="GY83" s="535"/>
      <c r="GZ83" s="659">
        <f>GW83+1</f>
        <v>30.323506362242558</v>
      </c>
      <c r="HA83" s="659">
        <f t="shared" si="147"/>
        <v>30.323506362242558</v>
      </c>
      <c r="HB83" s="659">
        <f t="shared" si="147"/>
        <v>30.323506362242558</v>
      </c>
      <c r="HC83" s="659">
        <f t="shared" si="148"/>
        <v>30.323506362242558</v>
      </c>
      <c r="HD83" s="660">
        <f t="shared" si="148"/>
        <v>30.323506362242558</v>
      </c>
      <c r="HF83" s="659">
        <f>HC83+1</f>
        <v>31.323506362242558</v>
      </c>
      <c r="HG83" s="659">
        <f t="shared" si="149"/>
        <v>31.323506362242558</v>
      </c>
      <c r="HH83" s="659">
        <f t="shared" si="150"/>
        <v>31.323506362242558</v>
      </c>
      <c r="HI83" s="659">
        <f t="shared" si="151"/>
        <v>31.323506362242558</v>
      </c>
      <c r="HJ83" s="660">
        <f t="shared" si="152"/>
        <v>31.323506362242558</v>
      </c>
    </row>
    <row r="84" spans="1:218">
      <c r="B84" s="31" t="s">
        <v>169</v>
      </c>
      <c r="AT84" s="41"/>
      <c r="AU84" s="41"/>
      <c r="AV84" s="41"/>
      <c r="AW84" s="41"/>
      <c r="AX84" s="41"/>
      <c r="AY84" s="41"/>
      <c r="AZ84" s="41"/>
      <c r="BA84" s="41"/>
      <c r="BB84" s="41"/>
      <c r="BC84" s="41"/>
      <c r="BD84" s="41"/>
      <c r="BE84" s="41"/>
      <c r="BF84" s="41"/>
      <c r="BG84" s="41"/>
      <c r="BH84" s="41"/>
      <c r="BI84" s="41"/>
      <c r="BL84" s="41"/>
      <c r="BM84" s="41"/>
      <c r="BN84" s="41"/>
      <c r="BO84" s="37"/>
      <c r="BP84" s="41"/>
      <c r="BQ84" s="41"/>
      <c r="BR84" s="41"/>
      <c r="BS84" s="41"/>
      <c r="BT84" s="41"/>
      <c r="BU84" s="46"/>
      <c r="BV84" s="46"/>
      <c r="BW84" s="46"/>
      <c r="BX84" s="46"/>
      <c r="BY84" s="46"/>
      <c r="BZ84" s="46"/>
      <c r="CA84" s="46"/>
      <c r="CB84" s="46"/>
      <c r="CC84" s="46"/>
      <c r="CD84" s="46"/>
      <c r="CE84" s="46"/>
      <c r="CF84" s="46"/>
      <c r="CG84" s="46"/>
      <c r="CJ84" s="37"/>
      <c r="CK84" s="46"/>
      <c r="CL84" s="46"/>
      <c r="CM84" s="37"/>
      <c r="CP84" s="37"/>
      <c r="CQ84" s="37"/>
      <c r="CR84" s="37"/>
      <c r="CS84" s="37"/>
      <c r="CV84" s="37"/>
      <c r="CW84" s="37"/>
      <c r="CX84" s="37"/>
      <c r="CY84" s="37"/>
      <c r="DB84" s="37"/>
      <c r="DC84" s="37"/>
      <c r="DD84" s="37"/>
      <c r="DE84" s="37"/>
      <c r="DH84" s="535">
        <f>DH81+DH82-DH83</f>
        <v>69.655219608843169</v>
      </c>
      <c r="DI84" s="535">
        <f>DI81+DI82-DI83</f>
        <v>66.620583493645242</v>
      </c>
      <c r="DJ84" s="535">
        <f>DJ81+DJ82-DJ83</f>
        <v>71.832108868452252</v>
      </c>
      <c r="DK84" s="535">
        <f>DK81+DK82-DK83</f>
        <v>69.964022667839373</v>
      </c>
      <c r="DL84" s="535"/>
      <c r="DM84" s="535"/>
      <c r="DN84" s="535">
        <f>DN81+DN82-DN83</f>
        <v>61.103506498796222</v>
      </c>
      <c r="DO84" s="535">
        <f>DO81+DO82-DO83</f>
        <v>64.924048072812241</v>
      </c>
      <c r="DP84" s="535">
        <f>DP81+DP82-DP83</f>
        <v>67.970161903619243</v>
      </c>
      <c r="DQ84" s="535">
        <f>DQ81+DQ82-DQ83</f>
        <v>70.708325161341662</v>
      </c>
      <c r="DR84" s="535"/>
      <c r="DS84" s="535"/>
      <c r="DT84" s="535">
        <f>DT81+DT82-DT83</f>
        <v>79.49476670277673</v>
      </c>
      <c r="DU84" s="535">
        <f>DU81+DU82-DU83</f>
        <v>100.23066600482068</v>
      </c>
      <c r="DV84" s="535">
        <f>DV81+DV82-DV83</f>
        <v>73.048021879819629</v>
      </c>
      <c r="DW84" s="535">
        <f>DW81+DW82-DW83</f>
        <v>81.210614307258354</v>
      </c>
      <c r="DX84" s="535"/>
      <c r="DY84" s="535"/>
      <c r="DZ84" s="535">
        <f>DZ81+DZ82-DZ83</f>
        <v>87.505539343949081</v>
      </c>
      <c r="EA84" s="535">
        <f>EA81+EA82-EA83</f>
        <v>78.945985215314522</v>
      </c>
      <c r="EB84" s="535">
        <f>EB81+EB82-EB83</f>
        <v>73.916251706662308</v>
      </c>
      <c r="EC84" s="535">
        <f>EC81+EC82-EC83</f>
        <v>78.037097218554322</v>
      </c>
      <c r="ED84" s="535"/>
      <c r="EE84" s="535"/>
      <c r="EF84" s="535">
        <f>EF81+EF82-EF83</f>
        <v>92.24607347428865</v>
      </c>
      <c r="EG84" s="535">
        <f>EG81+EG82-EG83</f>
        <v>86.018181450602725</v>
      </c>
      <c r="EH84" s="535">
        <f>EH81+EH82-EH83</f>
        <v>88.284758034116606</v>
      </c>
      <c r="EI84" s="535">
        <f>EI81+EI82-EI83</f>
        <v>84.424545706465921</v>
      </c>
      <c r="EJ84" s="535"/>
      <c r="EK84" s="535"/>
      <c r="EL84" s="535">
        <f>EL81+EL82-EL83</f>
        <v>82.545784929301277</v>
      </c>
      <c r="EM84" s="535">
        <f>EM81+EM82-EM83</f>
        <v>80.716375269736886</v>
      </c>
      <c r="EN84" s="535">
        <f>EN81+EN82-EN83</f>
        <v>85.161845071341531</v>
      </c>
      <c r="EO84" s="535">
        <f>EO81+EO82-EO83</f>
        <v>83.480804662072202</v>
      </c>
      <c r="EP84" s="535"/>
      <c r="EQ84" s="535"/>
      <c r="ER84" s="535">
        <f>ER81+ER82-ER83</f>
        <v>82.384289758235326</v>
      </c>
      <c r="ES84" s="535">
        <f>ES81+ES82-ES83</f>
        <v>83.77550797924988</v>
      </c>
      <c r="ET84" s="535">
        <f>ET81+ET82-ET83</f>
        <v>88.281999727562479</v>
      </c>
      <c r="EU84" s="535">
        <f>EU81+EU82-EU83</f>
        <v>86.76723645505902</v>
      </c>
      <c r="EV84" s="535">
        <f>EV81+EV82-EV83</f>
        <v>86.76723645505902</v>
      </c>
      <c r="EW84" s="535"/>
      <c r="EX84" s="535">
        <f>EX81+EX82-EX83</f>
        <v>91.466408078547985</v>
      </c>
      <c r="EY84" s="535">
        <f>EY81+EY82-EY83</f>
        <v>85.905900513725811</v>
      </c>
      <c r="EZ84" s="882">
        <f>EZ81+EZ82-EZ83</f>
        <v>80.512299297592492</v>
      </c>
      <c r="FA84" s="882">
        <f>FA81+FA82-FA83</f>
        <v>80.512299297592492</v>
      </c>
      <c r="FB84" s="839">
        <f>FB81+FB82-FB83</f>
        <v>80.512299297592492</v>
      </c>
      <c r="FC84" s="535"/>
      <c r="FD84" s="839">
        <f>FD81+FD82-FD83</f>
        <v>80.512299297592492</v>
      </c>
      <c r="FE84" s="535">
        <f>FE81+FE82-FE83</f>
        <v>80.512299297592492</v>
      </c>
      <c r="FF84" s="535">
        <f>FF81+FF82-FF83</f>
        <v>80.512299297592492</v>
      </c>
      <c r="FG84" s="535">
        <f>FG81+FG82-FG83</f>
        <v>80.512299297592492</v>
      </c>
      <c r="FH84" s="535">
        <f>FH81+FH82-FH83</f>
        <v>80.512299297592492</v>
      </c>
      <c r="FI84" s="535"/>
      <c r="FJ84" s="535">
        <f>FJ81+FJ82-FJ83</f>
        <v>77.512299297592492</v>
      </c>
      <c r="FK84" s="535">
        <f>FK81+FK82-FK83</f>
        <v>77.512299297592492</v>
      </c>
      <c r="FL84" s="535">
        <f>FL81+FL82-FL83</f>
        <v>77.512299297592492</v>
      </c>
      <c r="FM84" s="535">
        <f>FM81+FM82-FM83</f>
        <v>77.512299297592492</v>
      </c>
      <c r="FN84" s="535">
        <f>FN81+FN82-FN83</f>
        <v>77.512299297592492</v>
      </c>
      <c r="FO84" s="535"/>
      <c r="FP84" s="535">
        <f>FP81+FP82-FP83</f>
        <v>74.512299297592492</v>
      </c>
      <c r="FQ84" s="535">
        <f>FQ81+FQ82-FQ83</f>
        <v>74.512299297592492</v>
      </c>
      <c r="FR84" s="535">
        <f>FR81+FR82-FR83</f>
        <v>74.512299297592492</v>
      </c>
      <c r="FS84" s="535">
        <f>FS81+FS82-FS83</f>
        <v>74.512299297592492</v>
      </c>
      <c r="FT84" s="535">
        <f>FT81+FT82-FT83</f>
        <v>74.512299297592492</v>
      </c>
      <c r="FU84" s="535"/>
      <c r="FV84" s="535">
        <f>FV81+FV82-FV83</f>
        <v>72.512299297592492</v>
      </c>
      <c r="FW84" s="535">
        <f>FW81+FW82-FW83</f>
        <v>72.512299297592492</v>
      </c>
      <c r="FX84" s="535">
        <f>FX81+FX82-FX83</f>
        <v>72.512299297592492</v>
      </c>
      <c r="FY84" s="535">
        <f>FY81+FY82-FY83</f>
        <v>72.512299297592492</v>
      </c>
      <c r="FZ84" s="535">
        <f>FZ81+FZ82-FZ83</f>
        <v>72.512299297592492</v>
      </c>
      <c r="GA84" s="535"/>
      <c r="GB84" s="535">
        <f>GB81+GB82-GB83</f>
        <v>70.512299297592492</v>
      </c>
      <c r="GC84" s="535">
        <f>GC81+GC82-GC83</f>
        <v>70.512299297592492</v>
      </c>
      <c r="GD84" s="535">
        <f>GD81+GD82-GD83</f>
        <v>70.512299297592492</v>
      </c>
      <c r="GE84" s="535">
        <f>GE81+GE82-GE83</f>
        <v>70.512299297592492</v>
      </c>
      <c r="GF84" s="535">
        <f>GF81+GF82-GF83</f>
        <v>70.512299297592492</v>
      </c>
      <c r="GG84" s="535"/>
      <c r="GH84" s="535">
        <f>GH81+GH82-GH83</f>
        <v>68.512299297592492</v>
      </c>
      <c r="GI84" s="535">
        <f>GI81+GI82-GI83</f>
        <v>68.512299297592492</v>
      </c>
      <c r="GJ84" s="535">
        <f>GJ81+GJ82-GJ83</f>
        <v>68.512299297592492</v>
      </c>
      <c r="GK84" s="535">
        <f>GK81+GK82-GK83</f>
        <v>68.512299297592492</v>
      </c>
      <c r="GL84" s="535">
        <f>GL81+GL82-GL83</f>
        <v>68.512299297592492</v>
      </c>
      <c r="GM84" s="535"/>
      <c r="GN84" s="535">
        <f>GN81+GN82-GN83</f>
        <v>66.512299297592492</v>
      </c>
      <c r="GO84" s="535">
        <f>GO81+GO82-GO83</f>
        <v>66.512299297592492</v>
      </c>
      <c r="GP84" s="535">
        <f>GP81+GP82-GP83</f>
        <v>66.512299297592492</v>
      </c>
      <c r="GQ84" s="535">
        <f>GQ81+GQ82-GQ83</f>
        <v>66.512299297592492</v>
      </c>
      <c r="GR84" s="535">
        <f>GR81+GR82-GR83</f>
        <v>66.512299297592492</v>
      </c>
      <c r="GS84" s="535"/>
      <c r="GT84" s="535">
        <f>GT81+GT82-GT83</f>
        <v>64.512299297592492</v>
      </c>
      <c r="GU84" s="535">
        <f>GU81+GU82-GU83</f>
        <v>64.512299297592492</v>
      </c>
      <c r="GV84" s="535">
        <f>GV81+GV82-GV83</f>
        <v>64.512299297592492</v>
      </c>
      <c r="GW84" s="535">
        <f>GW81+GW82-GW83</f>
        <v>64.512299297592492</v>
      </c>
      <c r="GX84" s="535">
        <f>GX81+GX82-GX83</f>
        <v>64.512299297592492</v>
      </c>
      <c r="GY84" s="535"/>
      <c r="GZ84" s="535">
        <f>GZ81+GZ82-GZ83</f>
        <v>62.512299297592492</v>
      </c>
      <c r="HA84" s="535">
        <f>HA81+HA82-HA83</f>
        <v>62.512299297592492</v>
      </c>
      <c r="HB84" s="535">
        <f>HB81+HB82-HB83</f>
        <v>62.512299297592492</v>
      </c>
      <c r="HC84" s="535">
        <f>HC81+HC82-HC83</f>
        <v>62.512299297592492</v>
      </c>
      <c r="HD84" s="535">
        <f>HD81+HD82-HD83</f>
        <v>62.512299297592492</v>
      </c>
      <c r="HF84" s="535">
        <f>HF81+HF82-HF83</f>
        <v>60.512299297592492</v>
      </c>
      <c r="HG84" s="535">
        <f>HG81+HG82-HG83</f>
        <v>60.512299297592492</v>
      </c>
      <c r="HH84" s="535">
        <f>HH81+HH82-HH83</f>
        <v>60.512299297592492</v>
      </c>
      <c r="HI84" s="535">
        <f>HI81+HI82-HI83</f>
        <v>60.512299297592492</v>
      </c>
      <c r="HJ84" s="535">
        <f>HJ81+HJ82-HJ83</f>
        <v>60.512299297592492</v>
      </c>
    </row>
    <row r="85" spans="1:218">
      <c r="DH85" s="535"/>
      <c r="DI85" s="535"/>
      <c r="DJ85" s="535"/>
      <c r="DK85" s="535"/>
      <c r="DL85" s="535"/>
      <c r="DM85" s="535"/>
      <c r="DN85" s="535"/>
      <c r="DO85" s="535"/>
      <c r="DP85" s="535"/>
      <c r="DQ85" s="535"/>
      <c r="DR85" s="535"/>
      <c r="DS85" s="535"/>
      <c r="DT85" s="535"/>
      <c r="DU85" s="535"/>
      <c r="DV85" s="535"/>
      <c r="DW85" s="535"/>
      <c r="DX85" s="535"/>
      <c r="DY85" s="535"/>
      <c r="DZ85" s="535"/>
      <c r="EA85" s="535"/>
      <c r="EB85" s="535"/>
      <c r="EC85" s="535"/>
      <c r="ED85" s="535"/>
      <c r="EE85" s="535"/>
      <c r="EF85" s="535"/>
      <c r="EG85" s="535"/>
      <c r="EH85" s="535"/>
      <c r="EI85" s="535"/>
      <c r="EJ85" s="535"/>
      <c r="EK85" s="535"/>
      <c r="EL85" s="535"/>
      <c r="EM85" s="535"/>
      <c r="EN85" s="535"/>
      <c r="EO85" s="535"/>
      <c r="EP85" s="535"/>
      <c r="EQ85" s="535"/>
      <c r="ER85" s="535"/>
      <c r="ES85" s="535"/>
      <c r="ET85" s="535"/>
      <c r="EU85" s="535"/>
      <c r="EV85" s="535"/>
      <c r="EW85" s="535"/>
      <c r="EX85" s="535"/>
      <c r="EY85" s="535"/>
      <c r="EZ85" s="882"/>
      <c r="FA85" s="882"/>
      <c r="FB85" s="839"/>
      <c r="FC85" s="535"/>
      <c r="FD85" s="839"/>
      <c r="FE85" s="535"/>
      <c r="FF85" s="535"/>
      <c r="FG85" s="535"/>
      <c r="FH85" s="535"/>
      <c r="FI85" s="535"/>
      <c r="FJ85" s="535"/>
      <c r="FK85" s="535"/>
      <c r="FL85" s="535"/>
      <c r="FM85" s="535"/>
      <c r="FN85" s="535"/>
      <c r="FO85" s="535"/>
      <c r="FP85" s="535"/>
      <c r="FQ85" s="535"/>
      <c r="FR85" s="535"/>
      <c r="FS85" s="535"/>
      <c r="FT85" s="535"/>
      <c r="FU85" s="535"/>
      <c r="FV85" s="535"/>
      <c r="FW85" s="535"/>
      <c r="FX85" s="535"/>
      <c r="FY85" s="535"/>
      <c r="FZ85" s="535"/>
      <c r="GA85" s="535"/>
      <c r="GB85" s="535"/>
      <c r="GC85" s="535"/>
      <c r="GD85" s="535"/>
      <c r="GE85" s="535"/>
      <c r="GF85" s="535"/>
      <c r="GG85" s="535"/>
      <c r="GH85" s="535"/>
      <c r="GI85" s="535"/>
      <c r="GJ85" s="535"/>
      <c r="GK85" s="535"/>
      <c r="GL85" s="535"/>
      <c r="GM85" s="535"/>
      <c r="GN85" s="535"/>
      <c r="GO85" s="535"/>
      <c r="GP85" s="535"/>
      <c r="GQ85" s="535"/>
      <c r="GR85" s="535"/>
      <c r="GS85" s="535"/>
      <c r="GT85" s="535"/>
      <c r="GU85" s="535"/>
      <c r="GV85" s="535"/>
      <c r="GW85" s="535"/>
      <c r="GX85" s="535"/>
      <c r="GY85" s="535"/>
      <c r="GZ85" s="535"/>
      <c r="HA85" s="535"/>
      <c r="HB85" s="535"/>
      <c r="HC85" s="535"/>
      <c r="HD85" s="535"/>
      <c r="HF85" s="535"/>
      <c r="HG85" s="535"/>
      <c r="HH85" s="535"/>
      <c r="HI85" s="535"/>
      <c r="HJ85" s="535"/>
    </row>
    <row r="86" spans="1:218">
      <c r="B86" s="31" t="s">
        <v>486</v>
      </c>
      <c r="DH86" s="535" t="str">
        <f>IFERROR((1/(IS!DH49/BS!DH16)*91.25),"")</f>
        <v/>
      </c>
      <c r="DI86" s="535" t="str">
        <f>IFERROR((1/(IS!DI49/AVERAGE(BS!DI16,DH16))*91.25),"")</f>
        <v/>
      </c>
      <c r="DJ86" s="535" t="str">
        <f>IFERROR((1/(IS!DJ49/AVERAGE(BS!DJ16,DI16))*91.25),"")</f>
        <v/>
      </c>
      <c r="DK86" s="535">
        <f>IFERROR((1/(IS!DK49/AVERAGE(BS!DK16,DJ16))*91.25),"")</f>
        <v>4.6099297155933323</v>
      </c>
      <c r="DL86" s="535"/>
      <c r="DM86" s="535"/>
      <c r="DN86" s="535">
        <f>IFERROR((1/(IS!DN49/AVERAGE(BS!DN16,DK16))*91.25),"")</f>
        <v>7.2707280517279269</v>
      </c>
      <c r="DO86" s="535">
        <f>IFERROR((1/(IS!DO49/AVERAGE(BS!DO16,DN16))*91.25),"")</f>
        <v>7.6511913423062943</v>
      </c>
      <c r="DP86" s="535">
        <f>IFERROR((1/(IS!DP49/AVERAGE(BS!DP16,DO16))*91.25),"")</f>
        <v>7.9745239892234805</v>
      </c>
      <c r="DQ86" s="535">
        <f>IFERROR((1/(IS!DQ49/AVERAGE(BS!DQ16,DP16))*91.25),"")</f>
        <v>6.4333862802709891</v>
      </c>
      <c r="DR86" s="535"/>
      <c r="DS86" s="535"/>
      <c r="DT86" s="535">
        <f>IFERROR((1/(IS!DT49/AVERAGE(BS!DT16,DQ16))*91.25),"")</f>
        <v>5.6847295576723571</v>
      </c>
      <c r="DU86" s="535">
        <f>IFERROR((1/(IS!DU49/AVERAGE(BS!DU16,DT16))*91.25),"")</f>
        <v>7.9649792473872409</v>
      </c>
      <c r="DV86" s="535">
        <f>IFERROR((1/(IS!DV49/AVERAGE(BS!DV16,DU16))*91.25),"")</f>
        <v>6.8228004129332609</v>
      </c>
      <c r="DW86" s="535">
        <f>IFERROR((1/(IS!DW49/AVERAGE(BS!DW16,DV16))*91.25),"")</f>
        <v>7.9686321896553087</v>
      </c>
      <c r="DX86" s="535"/>
      <c r="DY86" s="535"/>
      <c r="DZ86" s="535">
        <f>IFERROR((1/(IS!DZ49/AVERAGE(BS!DZ16,DW16))*91.25),"")</f>
        <v>8.9328373711407139</v>
      </c>
      <c r="EA86" s="535">
        <f>IFERROR((1/(IS!EA49/AVERAGE(BS!EA16,DZ16))*91.25),"")</f>
        <v>9.3825786204856882</v>
      </c>
      <c r="EB86" s="535">
        <f>IFERROR((1/(IS!EB49/AVERAGE(BS!EB16,EA16))*91.25),"")</f>
        <v>10.745225193670676</v>
      </c>
      <c r="EC86" s="535">
        <f>IFERROR((1/(IS!EC49/AVERAGE(BS!EC16,EB16))*91.25),"")</f>
        <v>9.7874646072598868</v>
      </c>
      <c r="ED86" s="535"/>
      <c r="EE86" s="535"/>
      <c r="EF86" s="535">
        <f>IFERROR((1/(IS!EF49/AVERAGE(BS!EF16,EC16))*91.25),"")</f>
        <v>10.394894340653243</v>
      </c>
      <c r="EG86" s="535">
        <f>IFERROR((1/(IS!EG49/AVERAGE(BS!EG16,EF16))*91.25),"")</f>
        <v>11.309580681527441</v>
      </c>
      <c r="EH86" s="535">
        <f>IFERROR((1/(IS!EH49/AVERAGE(BS!EH16,EG16))*91.25),"")</f>
        <v>11.752559558012766</v>
      </c>
      <c r="EI86" s="535">
        <f>IFERROR((1/(IS!EI49/AVERAGE(BS!EI16,EH16))*91.25),"")</f>
        <v>10.443044591038532</v>
      </c>
      <c r="EJ86" s="535"/>
      <c r="EK86" s="535"/>
      <c r="EL86" s="535">
        <f>IFERROR((1/(IS!EL49/AVERAGE(BS!EL16,EI16))*91.25),"")</f>
        <v>10.447666156536947</v>
      </c>
      <c r="EM86" s="535">
        <f>IFERROR((1/(IS!EM49/AVERAGE(BS!EM16,EL16))*91.25),"")</f>
        <v>10.172359223234889</v>
      </c>
      <c r="EN86" s="535">
        <f>IFERROR((1/(IS!EN49/AVERAGE(BS!EN16,EM16))*91.25),"")</f>
        <v>10.583099984205745</v>
      </c>
      <c r="EO86" s="535">
        <f>IFERROR((1/(IS!EO49/AVERAGE(BS!EO16,EN16))*91.25),"")</f>
        <v>10.753634636648838</v>
      </c>
      <c r="EP86" s="535"/>
      <c r="EQ86" s="535"/>
      <c r="ER86" s="535">
        <f>IFERROR((1/(IS!ER49/AVERAGE(BS!ER16,EO16))*91.25),"")</f>
        <v>10.846158154121863</v>
      </c>
      <c r="ES86" s="535">
        <f>IFERROR((1/(IS!ES49/AVERAGE(BS!ES16,ER16))*91.25),"")</f>
        <v>10.137502127633708</v>
      </c>
      <c r="ET86" s="535">
        <f>IFERROR((1/(IS!ET49/AVERAGE(BS!ET16,ES16))*91.25),"")</f>
        <v>9.686721654828867</v>
      </c>
      <c r="EU86" s="535">
        <f>IFERROR((1/(IS!EU49/AVERAGE(BS!EU16,ET16))*91.25),"")</f>
        <v>10.186046511627907</v>
      </c>
      <c r="EV86" s="535"/>
      <c r="EW86" s="535"/>
      <c r="EX86" s="535">
        <f>IFERROR((1/(IS!EX49/AVERAGE(BS!EX16,EU16))*91.25),"")</f>
        <v>11.714765525039425</v>
      </c>
      <c r="EY86" s="535">
        <f>IFERROR((1/(IS!EY49/AVERAGE(BS!EY16,EX16))*91.25),"")</f>
        <v>11.526646859317266</v>
      </c>
      <c r="EZ86" s="882">
        <f>IFERROR((1/(IS!EZ49/AVERAGE(BS!EZ16,EY16))*91.25),"")</f>
        <v>10.888223054681385</v>
      </c>
      <c r="FA86" s="931">
        <f t="shared" ref="FA86:FB90" si="153">EZ86</f>
        <v>10.888223054681385</v>
      </c>
      <c r="FB86" s="839">
        <f t="shared" si="153"/>
        <v>10.888223054681385</v>
      </c>
      <c r="FC86" s="535"/>
      <c r="FD86" s="838">
        <f>FA86</f>
        <v>10.888223054681385</v>
      </c>
      <c r="FE86" s="659">
        <f t="shared" ref="FE86:FH87" si="154">FD86</f>
        <v>10.888223054681385</v>
      </c>
      <c r="FF86" s="659">
        <f t="shared" si="154"/>
        <v>10.888223054681385</v>
      </c>
      <c r="FG86" s="659">
        <f t="shared" si="154"/>
        <v>10.888223054681385</v>
      </c>
      <c r="FH86" s="535">
        <f t="shared" si="154"/>
        <v>10.888223054681385</v>
      </c>
      <c r="FI86" s="535"/>
      <c r="FJ86" s="659">
        <f>FG86</f>
        <v>10.888223054681385</v>
      </c>
      <c r="FK86" s="659">
        <f t="shared" ref="FK86:FN87" si="155">FJ86</f>
        <v>10.888223054681385</v>
      </c>
      <c r="FL86" s="659">
        <f t="shared" si="155"/>
        <v>10.888223054681385</v>
      </c>
      <c r="FM86" s="659">
        <f t="shared" si="155"/>
        <v>10.888223054681385</v>
      </c>
      <c r="FN86" s="535">
        <f t="shared" si="155"/>
        <v>10.888223054681385</v>
      </c>
      <c r="FO86" s="535"/>
      <c r="FP86" s="659">
        <f>FM86</f>
        <v>10.888223054681385</v>
      </c>
      <c r="FQ86" s="659">
        <f t="shared" ref="FQ86:FT87" si="156">FP86</f>
        <v>10.888223054681385</v>
      </c>
      <c r="FR86" s="659">
        <f t="shared" si="156"/>
        <v>10.888223054681385</v>
      </c>
      <c r="FS86" s="659">
        <f t="shared" si="156"/>
        <v>10.888223054681385</v>
      </c>
      <c r="FT86" s="535">
        <f t="shared" si="156"/>
        <v>10.888223054681385</v>
      </c>
      <c r="FU86" s="535"/>
      <c r="FV86" s="659">
        <f>FS86</f>
        <v>10.888223054681385</v>
      </c>
      <c r="FW86" s="659">
        <f t="shared" ref="FW86:FZ87" si="157">FV86</f>
        <v>10.888223054681385</v>
      </c>
      <c r="FX86" s="659">
        <f t="shared" si="157"/>
        <v>10.888223054681385</v>
      </c>
      <c r="FY86" s="659">
        <f t="shared" si="157"/>
        <v>10.888223054681385</v>
      </c>
      <c r="FZ86" s="535">
        <f t="shared" si="157"/>
        <v>10.888223054681385</v>
      </c>
      <c r="GA86" s="535"/>
      <c r="GB86" s="659">
        <f>FY86</f>
        <v>10.888223054681385</v>
      </c>
      <c r="GC86" s="659">
        <f t="shared" ref="GC86:GF87" si="158">GB86</f>
        <v>10.888223054681385</v>
      </c>
      <c r="GD86" s="659">
        <f t="shared" si="158"/>
        <v>10.888223054681385</v>
      </c>
      <c r="GE86" s="659">
        <f t="shared" si="158"/>
        <v>10.888223054681385</v>
      </c>
      <c r="GF86" s="535">
        <f t="shared" si="158"/>
        <v>10.888223054681385</v>
      </c>
      <c r="GG86" s="535"/>
      <c r="GH86" s="659">
        <f>GE86</f>
        <v>10.888223054681385</v>
      </c>
      <c r="GI86" s="659">
        <f t="shared" ref="GI86:GL87" si="159">GH86</f>
        <v>10.888223054681385</v>
      </c>
      <c r="GJ86" s="659">
        <f t="shared" si="159"/>
        <v>10.888223054681385</v>
      </c>
      <c r="GK86" s="659">
        <f t="shared" si="159"/>
        <v>10.888223054681385</v>
      </c>
      <c r="GL86" s="535">
        <f t="shared" si="159"/>
        <v>10.888223054681385</v>
      </c>
      <c r="GM86" s="535"/>
      <c r="GN86" s="659">
        <f>GK86</f>
        <v>10.888223054681385</v>
      </c>
      <c r="GO86" s="659">
        <f t="shared" ref="GO86:GR87" si="160">GN86</f>
        <v>10.888223054681385</v>
      </c>
      <c r="GP86" s="659">
        <f t="shared" si="160"/>
        <v>10.888223054681385</v>
      </c>
      <c r="GQ86" s="659">
        <f t="shared" si="160"/>
        <v>10.888223054681385</v>
      </c>
      <c r="GR86" s="535">
        <f t="shared" si="160"/>
        <v>10.888223054681385</v>
      </c>
      <c r="GS86" s="535"/>
      <c r="GT86" s="659">
        <f>GQ86</f>
        <v>10.888223054681385</v>
      </c>
      <c r="GU86" s="659">
        <f t="shared" ref="GU86:GX87" si="161">GT86</f>
        <v>10.888223054681385</v>
      </c>
      <c r="GV86" s="659">
        <f t="shared" si="161"/>
        <v>10.888223054681385</v>
      </c>
      <c r="GW86" s="659">
        <f t="shared" si="161"/>
        <v>10.888223054681385</v>
      </c>
      <c r="GX86" s="535">
        <f t="shared" si="161"/>
        <v>10.888223054681385</v>
      </c>
      <c r="GY86" s="535"/>
      <c r="GZ86" s="659">
        <f>GW86</f>
        <v>10.888223054681385</v>
      </c>
      <c r="HA86" s="659">
        <f t="shared" ref="HA86:HD87" si="162">GZ86</f>
        <v>10.888223054681385</v>
      </c>
      <c r="HB86" s="659">
        <f t="shared" si="162"/>
        <v>10.888223054681385</v>
      </c>
      <c r="HC86" s="659">
        <f t="shared" si="162"/>
        <v>10.888223054681385</v>
      </c>
      <c r="HD86" s="535">
        <f t="shared" si="162"/>
        <v>10.888223054681385</v>
      </c>
      <c r="HF86" s="659">
        <f>HC86</f>
        <v>10.888223054681385</v>
      </c>
      <c r="HG86" s="659">
        <f t="shared" ref="HG86:HG87" si="163">HF86</f>
        <v>10.888223054681385</v>
      </c>
      <c r="HH86" s="659">
        <f t="shared" ref="HH86:HH87" si="164">HG86</f>
        <v>10.888223054681385</v>
      </c>
      <c r="HI86" s="659">
        <f t="shared" ref="HI86:HI87" si="165">HH86</f>
        <v>10.888223054681385</v>
      </c>
      <c r="HJ86" s="535">
        <f t="shared" ref="HJ86:HJ87" si="166">HI86</f>
        <v>10.888223054681385</v>
      </c>
    </row>
    <row r="87" spans="1:218">
      <c r="B87" s="31" t="s">
        <v>49</v>
      </c>
      <c r="DH87" s="535">
        <f>IFERROR((1/(IS!DH49/BS!DH18)*91.25),"")</f>
        <v>10.005084906106617</v>
      </c>
      <c r="DI87" s="535">
        <f>IFERROR((1/(IS!DI49/AVERAGE(BS!DI18,DH18))*91.25),"")</f>
        <v>8.8325786762318064</v>
      </c>
      <c r="DJ87" s="535">
        <f>IFERROR((1/(IS!DJ49/AVERAGE(BS!DJ18,DI18))*91.25),"")</f>
        <v>8.2327848211184431</v>
      </c>
      <c r="DK87" s="535">
        <f>IFERROR((1/(IS!DK49/AVERAGE(BS!DK18,DJ18))*91.25),"")</f>
        <v>4.0974501471068976</v>
      </c>
      <c r="DN87" s="535">
        <f>IFERROR((1/(IS!DN49/AVERAGE(BS!DN18,DK18))*91.25),"")</f>
        <v>1.6955962208481121</v>
      </c>
      <c r="DO87" s="535">
        <f>IFERROR((1/(IS!DO49/AVERAGE(BS!DO18,DN18))*91.25),"")</f>
        <v>1.6251548474629598</v>
      </c>
      <c r="DP87" s="535">
        <f>IFERROR((1/(IS!DP49/AVERAGE(BS!DP18,DO18))*91.25),"")</f>
        <v>0.53831850924793645</v>
      </c>
      <c r="DQ87" s="535">
        <f>IFERROR((1/(IS!DQ49/AVERAGE(BS!DQ18,DP18))*91.25),"")</f>
        <v>1.4306375622262979</v>
      </c>
      <c r="DT87" s="535">
        <f>IFERROR((1/(IS!DT49/AVERAGE(BS!DT18,DQ18))*91.25),"")</f>
        <v>2.0628713571630675</v>
      </c>
      <c r="DU87" s="535">
        <f>IFERROR((1/(IS!DU49/AVERAGE(BS!DU18,DT18))*91.25),"")</f>
        <v>4.2342803269829945</v>
      </c>
      <c r="DV87" s="535">
        <f>IFERROR((1/(IS!DV49/AVERAGE(BS!DV18,DU18))*91.25),"")</f>
        <v>3.6348988393227253</v>
      </c>
      <c r="DW87" s="535">
        <f>IFERROR((1/(IS!DW49/AVERAGE(BS!DW18,DV18))*91.25),"")</f>
        <v>3.0862788399723802</v>
      </c>
      <c r="DZ87" s="535">
        <f>IFERROR((1/(IS!DZ49/AVERAGE(BS!DZ18,DW18))*91.25),"")</f>
        <v>3.6450083525919008</v>
      </c>
      <c r="EA87" s="535">
        <f>IFERROR((1/(IS!EA49/AVERAGE(BS!EA18,DZ18))*91.25),"")</f>
        <v>4.9090616887384586</v>
      </c>
      <c r="EB87" s="535">
        <f>IFERROR((1/(IS!EB49/AVERAGE(BS!EB18,EA18))*91.25),"")</f>
        <v>9.0907831300478001</v>
      </c>
      <c r="EC87" s="535">
        <f>IFERROR((1/(IS!EC49/AVERAGE(BS!EC18,EB18))*91.25),"")</f>
        <v>8.6886790952184025</v>
      </c>
      <c r="EF87" s="535">
        <f>IFERROR((1/(IS!EF49/AVERAGE(BS!EF18,EC18))*91.25),"")</f>
        <v>11.246500780923284</v>
      </c>
      <c r="EG87" s="535">
        <f>IFERROR((1/(IS!EG49/AVERAGE(BS!EG18,EF18))*91.25),"")</f>
        <v>9.9219199740949211</v>
      </c>
      <c r="EH87" s="535">
        <f>IFERROR((1/(IS!EH49/AVERAGE(BS!EH18,EG18))*91.25),"")</f>
        <v>4.9677264679846562</v>
      </c>
      <c r="EI87" s="535">
        <f>IFERROR((1/(IS!EI49/AVERAGE(BS!EI18,EH18))*91.25),"")</f>
        <v>5.1290914170361548</v>
      </c>
      <c r="EL87" s="535">
        <f>IFERROR((1/(IS!EL49/AVERAGE(BS!EL18,EI18))*91.25),"")</f>
        <v>5.2198431351114989</v>
      </c>
      <c r="EM87" s="535">
        <f>IFERROR((1/(IS!EM49/AVERAGE(BS!EM18,EL18))*91.25),"")</f>
        <v>4.9858721250774245</v>
      </c>
      <c r="EN87" s="535">
        <f>IFERROR((1/(IS!EN49/AVERAGE(BS!EN18,EM18))*91.25),"")</f>
        <v>5.3295322926675173</v>
      </c>
      <c r="EO87" s="535">
        <f>IFERROR((1/(IS!EO49/AVERAGE(BS!EO18,EN18))*91.25),"")</f>
        <v>5.1493551995474194</v>
      </c>
      <c r="ER87" s="535">
        <f>IFERROR((1/(IS!ER49/AVERAGE(BS!ER18,EO18))*91.25),"")</f>
        <v>5.1252200140809014</v>
      </c>
      <c r="ES87" s="535">
        <f>IFERROR((1/(IS!ES49/AVERAGE(BS!ES18,ER18))*91.25),"")</f>
        <v>5.1224187243924089</v>
      </c>
      <c r="ET87" s="535">
        <f>IFERROR((1/(IS!ET49/AVERAGE(BS!ET18,ES18))*91.25),"")</f>
        <v>4.7480731301840029</v>
      </c>
      <c r="EU87" s="535">
        <f>IFERROR((1/(IS!EU49/AVERAGE(BS!EU18,ET18))*91.25),"")</f>
        <v>5.3131904069767444</v>
      </c>
      <c r="EX87" s="535">
        <f>IFERROR((1/(IS!EX49/AVERAGE(BS!EX18,EU18))*91.25),"")</f>
        <v>6.4116925045377444</v>
      </c>
      <c r="EY87" s="535">
        <f>IFERROR((1/(IS!EY49/AVERAGE(BS!EY18,EX18))*91.25),"")</f>
        <v>5.4542167594992552</v>
      </c>
      <c r="EZ87" s="882">
        <f>IFERROR((1/(IS!EZ49/AVERAGE(BS!EZ18,EY18))*91.25),"")</f>
        <v>4.9350129395038262</v>
      </c>
      <c r="FA87" s="931">
        <f t="shared" si="153"/>
        <v>4.9350129395038262</v>
      </c>
      <c r="FB87" s="839">
        <f t="shared" si="153"/>
        <v>4.9350129395038262</v>
      </c>
      <c r="FD87" s="838">
        <f>FA87</f>
        <v>4.9350129395038262</v>
      </c>
      <c r="FE87" s="659">
        <f t="shared" si="154"/>
        <v>4.9350129395038262</v>
      </c>
      <c r="FF87" s="659">
        <f t="shared" si="154"/>
        <v>4.9350129395038262</v>
      </c>
      <c r="FG87" s="659">
        <f t="shared" si="154"/>
        <v>4.9350129395038262</v>
      </c>
      <c r="FH87" s="535">
        <f t="shared" si="154"/>
        <v>4.9350129395038262</v>
      </c>
      <c r="FJ87" s="659">
        <f>FG87</f>
        <v>4.9350129395038262</v>
      </c>
      <c r="FK87" s="659">
        <f t="shared" si="155"/>
        <v>4.9350129395038262</v>
      </c>
      <c r="FL87" s="659">
        <f t="shared" si="155"/>
        <v>4.9350129395038262</v>
      </c>
      <c r="FM87" s="659">
        <f t="shared" si="155"/>
        <v>4.9350129395038262</v>
      </c>
      <c r="FN87" s="535">
        <f t="shared" si="155"/>
        <v>4.9350129395038262</v>
      </c>
      <c r="FP87" s="659">
        <f>FM87</f>
        <v>4.9350129395038262</v>
      </c>
      <c r="FQ87" s="659">
        <f t="shared" si="156"/>
        <v>4.9350129395038262</v>
      </c>
      <c r="FR87" s="659">
        <f t="shared" si="156"/>
        <v>4.9350129395038262</v>
      </c>
      <c r="FS87" s="659">
        <f t="shared" si="156"/>
        <v>4.9350129395038262</v>
      </c>
      <c r="FT87" s="535">
        <f t="shared" si="156"/>
        <v>4.9350129395038262</v>
      </c>
      <c r="FV87" s="659">
        <f>FS87</f>
        <v>4.9350129395038262</v>
      </c>
      <c r="FW87" s="659">
        <f t="shared" si="157"/>
        <v>4.9350129395038262</v>
      </c>
      <c r="FX87" s="659">
        <f t="shared" si="157"/>
        <v>4.9350129395038262</v>
      </c>
      <c r="FY87" s="659">
        <f t="shared" si="157"/>
        <v>4.9350129395038262</v>
      </c>
      <c r="FZ87" s="535">
        <f t="shared" si="157"/>
        <v>4.9350129395038262</v>
      </c>
      <c r="GB87" s="659">
        <f>FY87</f>
        <v>4.9350129395038262</v>
      </c>
      <c r="GC87" s="659">
        <f t="shared" si="158"/>
        <v>4.9350129395038262</v>
      </c>
      <c r="GD87" s="659">
        <f t="shared" si="158"/>
        <v>4.9350129395038262</v>
      </c>
      <c r="GE87" s="659">
        <f t="shared" si="158"/>
        <v>4.9350129395038262</v>
      </c>
      <c r="GF87" s="535">
        <f t="shared" si="158"/>
        <v>4.9350129395038262</v>
      </c>
      <c r="GH87" s="659">
        <f>GE87</f>
        <v>4.9350129395038262</v>
      </c>
      <c r="GI87" s="659">
        <f t="shared" si="159"/>
        <v>4.9350129395038262</v>
      </c>
      <c r="GJ87" s="659">
        <f t="shared" si="159"/>
        <v>4.9350129395038262</v>
      </c>
      <c r="GK87" s="659">
        <f t="shared" si="159"/>
        <v>4.9350129395038262</v>
      </c>
      <c r="GL87" s="535">
        <f t="shared" si="159"/>
        <v>4.9350129395038262</v>
      </c>
      <c r="GN87" s="659">
        <f>GK87</f>
        <v>4.9350129395038262</v>
      </c>
      <c r="GO87" s="659">
        <f t="shared" si="160"/>
        <v>4.9350129395038262</v>
      </c>
      <c r="GP87" s="659">
        <f t="shared" si="160"/>
        <v>4.9350129395038262</v>
      </c>
      <c r="GQ87" s="659">
        <f t="shared" si="160"/>
        <v>4.9350129395038262</v>
      </c>
      <c r="GR87" s="535">
        <f t="shared" si="160"/>
        <v>4.9350129395038262</v>
      </c>
      <c r="GT87" s="659">
        <f>GQ87</f>
        <v>4.9350129395038262</v>
      </c>
      <c r="GU87" s="659">
        <f t="shared" si="161"/>
        <v>4.9350129395038262</v>
      </c>
      <c r="GV87" s="659">
        <f t="shared" si="161"/>
        <v>4.9350129395038262</v>
      </c>
      <c r="GW87" s="659">
        <f t="shared" si="161"/>
        <v>4.9350129395038262</v>
      </c>
      <c r="GX87" s="535">
        <f t="shared" si="161"/>
        <v>4.9350129395038262</v>
      </c>
      <c r="GZ87" s="659">
        <f>GW87</f>
        <v>4.9350129395038262</v>
      </c>
      <c r="HA87" s="659">
        <f t="shared" si="162"/>
        <v>4.9350129395038262</v>
      </c>
      <c r="HB87" s="659">
        <f t="shared" si="162"/>
        <v>4.9350129395038262</v>
      </c>
      <c r="HC87" s="659">
        <f t="shared" si="162"/>
        <v>4.9350129395038262</v>
      </c>
      <c r="HD87" s="535">
        <f t="shared" si="162"/>
        <v>4.9350129395038262</v>
      </c>
      <c r="HF87" s="659">
        <f>HC87</f>
        <v>4.9350129395038262</v>
      </c>
      <c r="HG87" s="659">
        <f t="shared" si="163"/>
        <v>4.9350129395038262</v>
      </c>
      <c r="HH87" s="659">
        <f t="shared" si="164"/>
        <v>4.9350129395038262</v>
      </c>
      <c r="HI87" s="659">
        <f t="shared" si="165"/>
        <v>4.9350129395038262</v>
      </c>
      <c r="HJ87" s="535">
        <f t="shared" si="166"/>
        <v>4.9350129395038262</v>
      </c>
    </row>
    <row r="88" spans="1:218">
      <c r="DH88" s="535"/>
      <c r="DI88" s="535"/>
      <c r="DJ88" s="535"/>
      <c r="DK88" s="535"/>
      <c r="DL88" s="535"/>
      <c r="DM88" s="535"/>
      <c r="DN88" s="535"/>
      <c r="DO88" s="535"/>
      <c r="DP88" s="535"/>
      <c r="DQ88" s="535"/>
      <c r="DR88" s="535"/>
      <c r="DS88" s="535"/>
      <c r="DT88" s="535"/>
      <c r="DU88" s="535"/>
      <c r="DV88" s="535"/>
      <c r="DW88" s="535"/>
      <c r="DX88" s="535"/>
      <c r="DY88" s="535"/>
      <c r="DZ88" s="535"/>
      <c r="EA88" s="535"/>
      <c r="EB88" s="535"/>
      <c r="EC88" s="535"/>
      <c r="ED88" s="535"/>
      <c r="EE88" s="535"/>
      <c r="EF88" s="535"/>
      <c r="EG88" s="535"/>
      <c r="EH88" s="535"/>
      <c r="EI88" s="535"/>
      <c r="EJ88" s="535"/>
      <c r="EK88" s="535"/>
      <c r="EL88" s="535"/>
      <c r="EM88" s="535"/>
      <c r="EN88" s="535"/>
      <c r="EO88" s="535"/>
      <c r="EP88" s="535"/>
      <c r="EQ88" s="535"/>
      <c r="ER88" s="535"/>
      <c r="ES88" s="535"/>
      <c r="ET88" s="535"/>
      <c r="EU88" s="535"/>
      <c r="EV88" s="535"/>
      <c r="EW88" s="535"/>
      <c r="EX88" s="535"/>
      <c r="EY88" s="535"/>
      <c r="EZ88" s="882"/>
      <c r="FA88" s="882"/>
      <c r="FB88" s="839"/>
      <c r="FC88" s="535"/>
      <c r="FD88" s="839"/>
      <c r="FE88" s="535"/>
      <c r="FF88" s="535"/>
      <c r="FG88" s="535"/>
      <c r="FH88" s="535"/>
      <c r="FI88" s="535"/>
      <c r="FJ88" s="535"/>
      <c r="FK88" s="535"/>
      <c r="FL88" s="535"/>
      <c r="FM88" s="535"/>
      <c r="FN88" s="535"/>
      <c r="FO88" s="535"/>
      <c r="FP88" s="535"/>
      <c r="FQ88" s="535"/>
      <c r="FR88" s="535"/>
      <c r="FS88" s="535"/>
      <c r="FT88" s="535"/>
      <c r="FU88" s="535"/>
      <c r="FV88" s="535"/>
      <c r="FW88" s="535"/>
      <c r="FX88" s="535"/>
      <c r="FY88" s="535"/>
      <c r="FZ88" s="535"/>
      <c r="GA88" s="535"/>
      <c r="GB88" s="535"/>
      <c r="GC88" s="535"/>
      <c r="GD88" s="535"/>
      <c r="GE88" s="535"/>
      <c r="GF88" s="535"/>
      <c r="GG88" s="535"/>
      <c r="GH88" s="535"/>
      <c r="GI88" s="535"/>
      <c r="GJ88" s="535"/>
      <c r="GK88" s="535"/>
      <c r="GL88" s="535"/>
      <c r="GM88" s="535"/>
      <c r="GN88" s="535"/>
      <c r="GO88" s="535"/>
      <c r="GP88" s="535"/>
      <c r="GQ88" s="535"/>
      <c r="GR88" s="535"/>
      <c r="GS88" s="535"/>
      <c r="GT88" s="535"/>
      <c r="GU88" s="535"/>
      <c r="GV88" s="535"/>
      <c r="GW88" s="535"/>
      <c r="GX88" s="535"/>
      <c r="GY88" s="535"/>
      <c r="GZ88" s="535"/>
      <c r="HA88" s="535"/>
      <c r="HB88" s="535"/>
      <c r="HC88" s="535"/>
      <c r="HD88" s="535"/>
      <c r="HF88" s="535"/>
      <c r="HG88" s="535"/>
      <c r="HH88" s="535"/>
      <c r="HI88" s="535"/>
      <c r="HJ88" s="535"/>
    </row>
    <row r="89" spans="1:218">
      <c r="B89" s="31" t="s">
        <v>413</v>
      </c>
      <c r="DH89" s="535">
        <f>IFERROR((1/(IS!DH49/BS!DH36)*91.25),"")</f>
        <v>14.623480440849534</v>
      </c>
      <c r="DI89" s="535">
        <f>IFERROR((1/(IS!DI49/AVERAGE(BS!DI36,DH36))*91.25),"")</f>
        <v>14.377269506686742</v>
      </c>
      <c r="DJ89" s="535">
        <f>IFERROR((1/(IS!DJ49/AVERAGE(BS!DJ36,DI36))*91.25),"")</f>
        <v>17.413119066226699</v>
      </c>
      <c r="DK89" s="535">
        <f>IFERROR((1/(IS!DK49/AVERAGE(BS!DK36,DJ36))*91.25),"")</f>
        <v>20.432960117685521</v>
      </c>
      <c r="DL89" s="535"/>
      <c r="DM89" s="535"/>
      <c r="DN89" s="535">
        <f>IFERROR((1/(IS!DN49/AVERAGE(BS!DN36,DK36))*91.25),"")</f>
        <v>18.098293784069387</v>
      </c>
      <c r="DO89" s="535">
        <f>IFERROR((1/(IS!DO49/AVERAGE(BS!DO36,DN36))*91.25),"")</f>
        <v>17.257233588626821</v>
      </c>
      <c r="DP89" s="535">
        <f>IFERROR((1/(IS!DP49/AVERAGE(BS!DP36,DO36))*91.25),"")</f>
        <v>20.015423179073675</v>
      </c>
      <c r="DQ89" s="535">
        <f>IFERROR((1/(IS!DQ49/AVERAGE(BS!DQ36,DP36))*91.25),"")</f>
        <v>20.348695353145935</v>
      </c>
      <c r="DR89" s="535"/>
      <c r="DS89" s="535"/>
      <c r="DT89" s="535">
        <f>IFERROR((1/(IS!DT49/AVERAGE(BS!DT36,DQ36))*91.25),"")</f>
        <v>18.14801824955201</v>
      </c>
      <c r="DU89" s="535">
        <f>IFERROR((1/(IS!DU49/AVERAGE(BS!DU36,DT36))*91.25),"")</f>
        <v>22.490680007358264</v>
      </c>
      <c r="DV89" s="535">
        <f>IFERROR((1/(IS!DV49/AVERAGE(BS!DV36,DU36))*91.25),"")</f>
        <v>17.511818022384489</v>
      </c>
      <c r="DW89" s="535">
        <f>IFERROR((1/(IS!DW49/AVERAGE(BS!DW36,DV36))*91.25),"")</f>
        <v>18.398900370643744</v>
      </c>
      <c r="DX89" s="535"/>
      <c r="DY89" s="535"/>
      <c r="DZ89" s="535">
        <f>IFERROR((1/(IS!DZ49/AVERAGE(BS!DZ36,DW36))*91.25),"")</f>
        <v>19.093051335981926</v>
      </c>
      <c r="EA89" s="535">
        <f>IFERROR((1/(IS!EA49/AVERAGE(BS!EA36,DZ36))*91.25),"")</f>
        <v>23.366488942197101</v>
      </c>
      <c r="EB89" s="535">
        <f>IFERROR((1/(IS!EB49/AVERAGE(BS!EB36,EA36))*91.25),"")</f>
        <v>26.697430773034451</v>
      </c>
      <c r="EC89" s="535">
        <f>IFERROR((1/(IS!EC49/AVERAGE(BS!EC36,EB36))*91.25),"")</f>
        <v>25.614257905704196</v>
      </c>
      <c r="ED89" s="535"/>
      <c r="EE89" s="535"/>
      <c r="EF89" s="535">
        <f>IFERROR((1/(IS!EF49/AVERAGE(BS!EF36,EC36))*91.25),"")</f>
        <v>27.500618764348932</v>
      </c>
      <c r="EG89" s="535">
        <f>IFERROR((1/(IS!EG49/AVERAGE(BS!EG36,EF36))*91.25),"")</f>
        <v>25.389375719585519</v>
      </c>
      <c r="EH89" s="535">
        <f>IFERROR((1/(IS!EH49/AVERAGE(BS!EH36,EG36))*91.25),"")</f>
        <v>26.66743023093289</v>
      </c>
      <c r="EI89" s="535">
        <f>IFERROR((1/(IS!EI49/AVERAGE(BS!EI36,EH36))*91.25),"")</f>
        <v>25.700718250964272</v>
      </c>
      <c r="EJ89" s="535"/>
      <c r="EK89" s="535"/>
      <c r="EL89" s="535">
        <f>IFERROR((1/(IS!EL49/AVERAGE(BS!EL36,EI36))*91.25),"")</f>
        <v>24.282794053344997</v>
      </c>
      <c r="EM89" s="535">
        <f>IFERROR((1/(IS!EM49/AVERAGE(BS!EM36,EL36))*91.25),"")</f>
        <v>24.402047584690674</v>
      </c>
      <c r="EN89" s="535">
        <f>IFERROR((1/(IS!EN49/AVERAGE(BS!EN36,EM36))*91.25),"")</f>
        <v>28.007818155494427</v>
      </c>
      <c r="EO89" s="535">
        <f>IFERROR((1/(IS!EO49/AVERAGE(BS!EO36,EN36))*91.25),"")</f>
        <v>29.552476824470272</v>
      </c>
      <c r="EP89" s="535"/>
      <c r="EQ89" s="535"/>
      <c r="ER89" s="535">
        <f>IFERROR((1/(IS!ER49/AVERAGE(BS!ER36,EO36))*91.25),"")</f>
        <v>25.630480350742449</v>
      </c>
      <c r="ES89" s="535">
        <f>IFERROR((1/(IS!ES49/AVERAGE(BS!ES36,ER36))*91.25),"")</f>
        <v>23.710566588856064</v>
      </c>
      <c r="ET89" s="535">
        <f>IFERROR((1/(IS!ET49/AVERAGE(BS!ET36,ES36))*91.25),"")</f>
        <v>28.014039261369053</v>
      </c>
      <c r="EU89" s="535">
        <f>IFERROR((1/(IS!EU49/AVERAGE(BS!EU36,ET36))*91.25),"")</f>
        <v>30.401104651162793</v>
      </c>
      <c r="EV89" s="535"/>
      <c r="EW89" s="535"/>
      <c r="EX89" s="535">
        <f>IFERROR((1/(IS!EX49/AVERAGE(BS!EX36,EU36))*91.25),"")</f>
        <v>27.676116582854764</v>
      </c>
      <c r="EY89" s="535">
        <f>IFERROR((1/(IS!EY49/AVERAGE(BS!EY36,EX36))*91.25),"")</f>
        <v>22.153022114377105</v>
      </c>
      <c r="EZ89" s="882">
        <f>IFERROR((1/(IS!EZ49/AVERAGE(BS!EZ36,EY36))*91.25),"")</f>
        <v>24.260351603060755</v>
      </c>
      <c r="FA89" s="931">
        <f>EZ89</f>
        <v>24.260351603060755</v>
      </c>
      <c r="FB89" s="839">
        <f t="shared" si="153"/>
        <v>24.260351603060755</v>
      </c>
      <c r="FC89" s="535"/>
      <c r="FD89" s="838">
        <f>FA89</f>
        <v>24.260351603060755</v>
      </c>
      <c r="FE89" s="659">
        <f t="shared" ref="FE89:FH90" si="167">FD89</f>
        <v>24.260351603060755</v>
      </c>
      <c r="FF89" s="659">
        <f t="shared" si="167"/>
        <v>24.260351603060755</v>
      </c>
      <c r="FG89" s="659">
        <f t="shared" si="167"/>
        <v>24.260351603060755</v>
      </c>
      <c r="FH89" s="535">
        <f t="shared" si="167"/>
        <v>24.260351603060755</v>
      </c>
      <c r="FI89" s="535"/>
      <c r="FJ89" s="659">
        <f>FG89</f>
        <v>24.260351603060755</v>
      </c>
      <c r="FK89" s="659">
        <f t="shared" ref="FK89:FN90" si="168">FJ89</f>
        <v>24.260351603060755</v>
      </c>
      <c r="FL89" s="659">
        <f t="shared" si="168"/>
        <v>24.260351603060755</v>
      </c>
      <c r="FM89" s="659">
        <f t="shared" si="168"/>
        <v>24.260351603060755</v>
      </c>
      <c r="FN89" s="535">
        <f t="shared" si="168"/>
        <v>24.260351603060755</v>
      </c>
      <c r="FO89" s="535"/>
      <c r="FP89" s="659">
        <f>FM89</f>
        <v>24.260351603060755</v>
      </c>
      <c r="FQ89" s="659">
        <f t="shared" ref="FQ89:FT90" si="169">FP89</f>
        <v>24.260351603060755</v>
      </c>
      <c r="FR89" s="659">
        <f t="shared" si="169"/>
        <v>24.260351603060755</v>
      </c>
      <c r="FS89" s="659">
        <f t="shared" si="169"/>
        <v>24.260351603060755</v>
      </c>
      <c r="FT89" s="535">
        <f t="shared" si="169"/>
        <v>24.260351603060755</v>
      </c>
      <c r="FU89" s="535"/>
      <c r="FV89" s="659">
        <f>FS89+1</f>
        <v>25.260351603060755</v>
      </c>
      <c r="FW89" s="659">
        <f t="shared" ref="FW89:FZ90" si="170">FV89</f>
        <v>25.260351603060755</v>
      </c>
      <c r="FX89" s="659">
        <f t="shared" si="170"/>
        <v>25.260351603060755</v>
      </c>
      <c r="FY89" s="659">
        <f t="shared" si="170"/>
        <v>25.260351603060755</v>
      </c>
      <c r="FZ89" s="535">
        <f t="shared" si="170"/>
        <v>25.260351603060755</v>
      </c>
      <c r="GA89" s="535"/>
      <c r="GB89" s="659">
        <f>FY89+1</f>
        <v>26.260351603060755</v>
      </c>
      <c r="GC89" s="659">
        <f>GB89</f>
        <v>26.260351603060755</v>
      </c>
      <c r="GD89" s="659">
        <f>GC89</f>
        <v>26.260351603060755</v>
      </c>
      <c r="GE89" s="659">
        <f>GD89</f>
        <v>26.260351603060755</v>
      </c>
      <c r="GF89" s="535">
        <f t="shared" ref="GC89:GF90" si="171">GE89</f>
        <v>26.260351603060755</v>
      </c>
      <c r="GG89" s="535"/>
      <c r="GH89" s="659">
        <f>GE89+1</f>
        <v>27.260351603060755</v>
      </c>
      <c r="GI89" s="659">
        <f>GH89</f>
        <v>27.260351603060755</v>
      </c>
      <c r="GJ89" s="659">
        <f>GI89</f>
        <v>27.260351603060755</v>
      </c>
      <c r="GK89" s="659">
        <f>GJ89</f>
        <v>27.260351603060755</v>
      </c>
      <c r="GL89" s="535">
        <f t="shared" ref="GI89:GL90" si="172">GK89</f>
        <v>27.260351603060755</v>
      </c>
      <c r="GM89" s="535"/>
      <c r="GN89" s="659">
        <f>GK89+1</f>
        <v>28.260351603060755</v>
      </c>
      <c r="GO89" s="659">
        <f>GN89</f>
        <v>28.260351603060755</v>
      </c>
      <c r="GP89" s="659">
        <f>GO89</f>
        <v>28.260351603060755</v>
      </c>
      <c r="GQ89" s="659">
        <f>GP89</f>
        <v>28.260351603060755</v>
      </c>
      <c r="GR89" s="535">
        <f t="shared" ref="GO89:GR90" si="173">GQ89</f>
        <v>28.260351603060755</v>
      </c>
      <c r="GS89" s="535"/>
      <c r="GT89" s="659">
        <f>GQ89+1</f>
        <v>29.260351603060755</v>
      </c>
      <c r="GU89" s="659">
        <f>GT89</f>
        <v>29.260351603060755</v>
      </c>
      <c r="GV89" s="659">
        <f>GU89</f>
        <v>29.260351603060755</v>
      </c>
      <c r="GW89" s="659">
        <f>GV89</f>
        <v>29.260351603060755</v>
      </c>
      <c r="GX89" s="535">
        <f t="shared" ref="GU89:GX90" si="174">GW89</f>
        <v>29.260351603060755</v>
      </c>
      <c r="GY89" s="535"/>
      <c r="GZ89" s="659">
        <f>GW89+1</f>
        <v>30.260351603060755</v>
      </c>
      <c r="HA89" s="659">
        <f>GZ89</f>
        <v>30.260351603060755</v>
      </c>
      <c r="HB89" s="659">
        <f>HA89</f>
        <v>30.260351603060755</v>
      </c>
      <c r="HC89" s="659">
        <f>HB89</f>
        <v>30.260351603060755</v>
      </c>
      <c r="HD89" s="535">
        <f t="shared" ref="HA89:HD90" si="175">HC89</f>
        <v>30.260351603060755</v>
      </c>
      <c r="HF89" s="659">
        <f>HC89+1</f>
        <v>31.260351603060755</v>
      </c>
      <c r="HG89" s="659">
        <f>HF89</f>
        <v>31.260351603060755</v>
      </c>
      <c r="HH89" s="659">
        <f>HG89</f>
        <v>31.260351603060755</v>
      </c>
      <c r="HI89" s="659">
        <f>HH89</f>
        <v>31.260351603060755</v>
      </c>
      <c r="HJ89" s="535">
        <f t="shared" ref="HJ89:HJ90" si="176">HI89</f>
        <v>31.260351603060755</v>
      </c>
    </row>
    <row r="90" spans="1:218">
      <c r="B90" s="31" t="s">
        <v>607</v>
      </c>
      <c r="DH90" s="535">
        <f>IFERROR((1/(IS!DH49/BS!DH41)*91.25),"")</f>
        <v>14.220629739999683</v>
      </c>
      <c r="DI90" s="535">
        <f>IFERROR((1/(IS!DI49/AVERAGE(BS!DI41,DH41))*91.25),"")</f>
        <v>13.316551899743159</v>
      </c>
      <c r="DJ90" s="535">
        <f>IFERROR((1/(IS!DJ49/AVERAGE(BS!DJ41,DI41))*91.25),"")</f>
        <v>11.493411340743313</v>
      </c>
      <c r="DK90" s="535">
        <f>IFERROR((1/(IS!DK49/AVERAGE(BS!DK41,DJ41))*91.25),"")</f>
        <v>9.8456930369401778</v>
      </c>
      <c r="DL90" s="535"/>
      <c r="DM90" s="535"/>
      <c r="DN90" s="535">
        <f>IFERROR((1/(IS!DN49/AVERAGE(BS!DN41,DK41))*91.25),"")</f>
        <v>13.038237494376265</v>
      </c>
      <c r="DO90" s="535">
        <f>IFERROR((1/(IS!DO49/AVERAGE(BS!DO41,DN41))*91.25),"")</f>
        <v>11.761402180645545</v>
      </c>
      <c r="DP90" s="535">
        <f>IFERROR((1/(IS!DP49/AVERAGE(BS!DP41,DO41))*91.25),"")</f>
        <v>6.8839386368847437</v>
      </c>
      <c r="DQ90" s="535">
        <f>IFERROR((1/(IS!DQ49/AVERAGE(BS!DQ41,DP41))*91.25),"")</f>
        <v>6.595192199723023</v>
      </c>
      <c r="DR90" s="535"/>
      <c r="DS90" s="535"/>
      <c r="DT90" s="535">
        <f>IFERROR((1/(IS!DT49/AVERAGE(BS!DT41,DQ41))*91.25),"")</f>
        <v>7.1060195227765712</v>
      </c>
      <c r="DU90" s="535">
        <f>IFERROR((1/(IS!DU49/AVERAGE(BS!DU41,DT41))*91.25),"")</f>
        <v>8.8541151683778452</v>
      </c>
      <c r="DV90" s="535">
        <f>IFERROR((1/(IS!DV49/AVERAGE(BS!DV41,DU41))*91.25),"")</f>
        <v>6.0339175249513719</v>
      </c>
      <c r="DW90" s="535">
        <f>IFERROR((1/(IS!DW49/AVERAGE(BS!DW41,DV41))*91.25),"")</f>
        <v>7.3620949308316872</v>
      </c>
      <c r="DX90" s="535"/>
      <c r="DY90" s="535"/>
      <c r="DZ90" s="535">
        <f>IFERROR((1/(IS!DZ49/AVERAGE(BS!DZ41,DW41))*91.25),"")</f>
        <v>10.138099071261026</v>
      </c>
      <c r="EA90" s="535">
        <f>IFERROR((1/(IS!EA49/AVERAGE(BS!EA41,DZ41))*91.25),"")</f>
        <v>14.738804590713418</v>
      </c>
      <c r="EB90" s="535">
        <f>IFERROR((1/(IS!EB49/AVERAGE(BS!EB41,EA41))*91.25),"")</f>
        <v>16.315806823800887</v>
      </c>
      <c r="EC90" s="535">
        <f>IFERROR((1/(IS!EC49/AVERAGE(BS!EC41,EB41))*91.25),"")</f>
        <v>13.021406642700347</v>
      </c>
      <c r="ED90" s="535"/>
      <c r="EE90" s="535"/>
      <c r="EF90" s="535">
        <f>IFERROR((1/(IS!EF49/AVERAGE(BS!EF41,EC41))*91.25),"")</f>
        <v>13.38233129069976</v>
      </c>
      <c r="EG90" s="535">
        <f>IFERROR((1/(IS!EG49/AVERAGE(BS!EG41,EF41))*91.25),"")</f>
        <v>11.908930456057309</v>
      </c>
      <c r="EH90" s="535">
        <f>IFERROR((1/(IS!EH49/AVERAGE(BS!EH41,EG41))*91.25),"")</f>
        <v>12.929480633939525</v>
      </c>
      <c r="EI90" s="535">
        <f>IFERROR((1/(IS!EI49/AVERAGE(BS!EI41,EH41))*91.25),"")</f>
        <v>11.673921271763815</v>
      </c>
      <c r="EJ90" s="535"/>
      <c r="EK90" s="535"/>
      <c r="EL90" s="535">
        <f>IFERROR((1/(IS!EL49/AVERAGE(BS!EL41,EI41))*91.25),"")</f>
        <v>10.983648520623815</v>
      </c>
      <c r="EM90" s="535">
        <f>IFERROR((1/(IS!EM49/AVERAGE(BS!EM41,EL41))*91.25),"")</f>
        <v>11.222016512724871</v>
      </c>
      <c r="EN90" s="535">
        <f>IFERROR((1/(IS!EN49/AVERAGE(BS!EN41,EM41))*91.25),"")</f>
        <v>11.06470955025863</v>
      </c>
      <c r="EO90" s="535">
        <f>IFERROR((1/(IS!EO49/AVERAGE(BS!EO41,EN41))*91.25),"")</f>
        <v>9.8986351830898975</v>
      </c>
      <c r="EP90" s="535"/>
      <c r="EQ90" s="535"/>
      <c r="ER90" s="535">
        <f>IFERROR((1/(IS!ER49/AVERAGE(BS!ER41,EO41))*91.25),"")</f>
        <v>9.6958965373783936</v>
      </c>
      <c r="ES90" s="535">
        <f>IFERROR((1/(IS!ES49/AVERAGE(BS!ES41,ER41))*91.25),"")</f>
        <v>10.090074892706472</v>
      </c>
      <c r="ET90" s="535">
        <f>IFERROR((1/(IS!ET49/AVERAGE(BS!ET41,ES41))*91.25),"")</f>
        <v>11.372810950757936</v>
      </c>
      <c r="EU90" s="535">
        <f>IFERROR((1/(IS!EU49/AVERAGE(BS!EU41,ET41))*91.25),"")</f>
        <v>9.7138808139534891</v>
      </c>
      <c r="EV90" s="535"/>
      <c r="EW90" s="535"/>
      <c r="EX90" s="535">
        <f>IFERROR((1/(IS!EX49/AVERAGE(BS!EX41,EU41))*91.25),"")</f>
        <v>8.9123992025470891</v>
      </c>
      <c r="EY90" s="535">
        <f>IFERROR((1/(IS!EY49/AVERAGE(BS!EY41,EX41))*91.25),"")</f>
        <v>10.016716759499255</v>
      </c>
      <c r="EZ90" s="882">
        <f>IFERROR((1/(IS!EZ49/AVERAGE(BS!EZ41,EY41))*91.25),"")</f>
        <v>9.588205615638163</v>
      </c>
      <c r="FA90" s="931">
        <f>EZ90</f>
        <v>9.588205615638163</v>
      </c>
      <c r="FB90" s="839">
        <f t="shared" si="153"/>
        <v>9.588205615638163</v>
      </c>
      <c r="FC90" s="535"/>
      <c r="FD90" s="838">
        <f>FA90</f>
        <v>9.588205615638163</v>
      </c>
      <c r="FE90" s="659">
        <f t="shared" si="167"/>
        <v>9.588205615638163</v>
      </c>
      <c r="FF90" s="659">
        <f t="shared" si="167"/>
        <v>9.588205615638163</v>
      </c>
      <c r="FG90" s="659">
        <f t="shared" si="167"/>
        <v>9.588205615638163</v>
      </c>
      <c r="FH90" s="535">
        <f t="shared" si="167"/>
        <v>9.588205615638163</v>
      </c>
      <c r="FI90" s="535"/>
      <c r="FJ90" s="659">
        <f>FG90</f>
        <v>9.588205615638163</v>
      </c>
      <c r="FK90" s="659">
        <f t="shared" si="168"/>
        <v>9.588205615638163</v>
      </c>
      <c r="FL90" s="659">
        <f t="shared" si="168"/>
        <v>9.588205615638163</v>
      </c>
      <c r="FM90" s="659">
        <f t="shared" si="168"/>
        <v>9.588205615638163</v>
      </c>
      <c r="FN90" s="535">
        <f t="shared" si="168"/>
        <v>9.588205615638163</v>
      </c>
      <c r="FO90" s="535"/>
      <c r="FP90" s="659">
        <f>FM90</f>
        <v>9.588205615638163</v>
      </c>
      <c r="FQ90" s="659">
        <f t="shared" si="169"/>
        <v>9.588205615638163</v>
      </c>
      <c r="FR90" s="659">
        <f t="shared" si="169"/>
        <v>9.588205615638163</v>
      </c>
      <c r="FS90" s="659">
        <f t="shared" si="169"/>
        <v>9.588205615638163</v>
      </c>
      <c r="FT90" s="535">
        <f t="shared" si="169"/>
        <v>9.588205615638163</v>
      </c>
      <c r="FU90" s="535"/>
      <c r="FV90" s="659">
        <f>FS90</f>
        <v>9.588205615638163</v>
      </c>
      <c r="FW90" s="659">
        <f t="shared" si="170"/>
        <v>9.588205615638163</v>
      </c>
      <c r="FX90" s="659">
        <f t="shared" si="170"/>
        <v>9.588205615638163</v>
      </c>
      <c r="FY90" s="659">
        <f t="shared" si="170"/>
        <v>9.588205615638163</v>
      </c>
      <c r="FZ90" s="535">
        <f t="shared" si="170"/>
        <v>9.588205615638163</v>
      </c>
      <c r="GA90" s="535"/>
      <c r="GB90" s="659">
        <f>FY90</f>
        <v>9.588205615638163</v>
      </c>
      <c r="GC90" s="659">
        <f t="shared" si="171"/>
        <v>9.588205615638163</v>
      </c>
      <c r="GD90" s="659">
        <f t="shared" si="171"/>
        <v>9.588205615638163</v>
      </c>
      <c r="GE90" s="659">
        <f t="shared" si="171"/>
        <v>9.588205615638163</v>
      </c>
      <c r="GF90" s="535">
        <f t="shared" si="171"/>
        <v>9.588205615638163</v>
      </c>
      <c r="GG90" s="535"/>
      <c r="GH90" s="659">
        <f>GE90</f>
        <v>9.588205615638163</v>
      </c>
      <c r="GI90" s="659">
        <f t="shared" si="172"/>
        <v>9.588205615638163</v>
      </c>
      <c r="GJ90" s="659">
        <f t="shared" si="172"/>
        <v>9.588205615638163</v>
      </c>
      <c r="GK90" s="659">
        <f t="shared" si="172"/>
        <v>9.588205615638163</v>
      </c>
      <c r="GL90" s="535">
        <f t="shared" si="172"/>
        <v>9.588205615638163</v>
      </c>
      <c r="GM90" s="535"/>
      <c r="GN90" s="659">
        <f>GK90</f>
        <v>9.588205615638163</v>
      </c>
      <c r="GO90" s="659">
        <f t="shared" si="173"/>
        <v>9.588205615638163</v>
      </c>
      <c r="GP90" s="659">
        <f t="shared" si="173"/>
        <v>9.588205615638163</v>
      </c>
      <c r="GQ90" s="659">
        <f t="shared" si="173"/>
        <v>9.588205615638163</v>
      </c>
      <c r="GR90" s="535">
        <f t="shared" si="173"/>
        <v>9.588205615638163</v>
      </c>
      <c r="GS90" s="535"/>
      <c r="GT90" s="659">
        <f>GQ90</f>
        <v>9.588205615638163</v>
      </c>
      <c r="GU90" s="659">
        <f t="shared" si="174"/>
        <v>9.588205615638163</v>
      </c>
      <c r="GV90" s="659">
        <f t="shared" si="174"/>
        <v>9.588205615638163</v>
      </c>
      <c r="GW90" s="659">
        <f t="shared" si="174"/>
        <v>9.588205615638163</v>
      </c>
      <c r="GX90" s="535">
        <f t="shared" si="174"/>
        <v>9.588205615638163</v>
      </c>
      <c r="GY90" s="535"/>
      <c r="GZ90" s="659">
        <f>GW90</f>
        <v>9.588205615638163</v>
      </c>
      <c r="HA90" s="659">
        <f t="shared" si="175"/>
        <v>9.588205615638163</v>
      </c>
      <c r="HB90" s="659">
        <f t="shared" si="175"/>
        <v>9.588205615638163</v>
      </c>
      <c r="HC90" s="659">
        <f t="shared" si="175"/>
        <v>9.588205615638163</v>
      </c>
      <c r="HD90" s="535">
        <f t="shared" si="175"/>
        <v>9.588205615638163</v>
      </c>
      <c r="HF90" s="659">
        <f>HC90</f>
        <v>9.588205615638163</v>
      </c>
      <c r="HG90" s="659">
        <f t="shared" ref="HG90" si="177">HF90</f>
        <v>9.588205615638163</v>
      </c>
      <c r="HH90" s="659">
        <f t="shared" ref="HH90" si="178">HG90</f>
        <v>9.588205615638163</v>
      </c>
      <c r="HI90" s="659">
        <f t="shared" ref="HI90" si="179">HH90</f>
        <v>9.588205615638163</v>
      </c>
      <c r="HJ90" s="535">
        <f t="shared" si="176"/>
        <v>9.588205615638163</v>
      </c>
    </row>
    <row r="91" spans="1:218">
      <c r="DH91" s="535"/>
      <c r="DI91" s="535"/>
      <c r="DJ91" s="535"/>
      <c r="DK91" s="535"/>
      <c r="DL91" s="535"/>
      <c r="DM91" s="535"/>
      <c r="DN91" s="535"/>
      <c r="DO91" s="535"/>
      <c r="DP91" s="535"/>
      <c r="DQ91" s="535"/>
      <c r="DR91" s="535"/>
      <c r="DS91" s="535"/>
      <c r="DT91" s="535"/>
      <c r="DU91" s="535"/>
      <c r="DV91" s="535"/>
      <c r="DW91" s="535"/>
      <c r="DX91" s="535"/>
      <c r="DY91" s="535"/>
      <c r="DZ91" s="535"/>
      <c r="EA91" s="535"/>
      <c r="EB91" s="535"/>
      <c r="EC91" s="535"/>
      <c r="ED91" s="535"/>
      <c r="EE91" s="535"/>
      <c r="EF91" s="535"/>
      <c r="EG91" s="535"/>
      <c r="EH91" s="535"/>
      <c r="EI91" s="535"/>
      <c r="EJ91" s="535"/>
      <c r="EK91" s="535"/>
      <c r="EL91" s="535"/>
      <c r="EM91" s="535"/>
      <c r="EN91" s="535"/>
      <c r="EO91" s="535"/>
      <c r="EP91" s="535"/>
      <c r="EQ91" s="535"/>
      <c r="ER91" s="535"/>
      <c r="ES91" s="535"/>
      <c r="ET91" s="535"/>
      <c r="EU91" s="535"/>
      <c r="EV91" s="535"/>
      <c r="EW91" s="535"/>
      <c r="EX91" s="535"/>
      <c r="EY91" s="535"/>
      <c r="EZ91" s="882"/>
      <c r="FA91" s="882"/>
      <c r="FB91" s="839"/>
      <c r="FC91" s="535"/>
      <c r="FD91" s="839"/>
      <c r="FE91" s="535"/>
      <c r="FF91" s="535"/>
      <c r="FG91" s="535"/>
      <c r="FH91" s="535"/>
      <c r="FI91" s="535"/>
      <c r="FJ91" s="535"/>
      <c r="FK91" s="535"/>
      <c r="FL91" s="535"/>
      <c r="FM91" s="535"/>
      <c r="FN91" s="535"/>
      <c r="FO91" s="535"/>
      <c r="FP91" s="535"/>
      <c r="FQ91" s="535"/>
      <c r="FR91" s="535"/>
      <c r="FS91" s="535"/>
      <c r="FT91" s="535"/>
      <c r="FU91" s="535"/>
      <c r="FV91" s="535"/>
      <c r="FW91" s="535"/>
      <c r="FX91" s="535"/>
      <c r="FY91" s="535"/>
      <c r="FZ91" s="535"/>
      <c r="GA91" s="535"/>
      <c r="GB91" s="535"/>
      <c r="GC91" s="535"/>
      <c r="GD91" s="535"/>
      <c r="GE91" s="535"/>
      <c r="GF91" s="535"/>
      <c r="GG91" s="535"/>
      <c r="GH91" s="535"/>
      <c r="GI91" s="535"/>
      <c r="GJ91" s="535"/>
      <c r="GK91" s="535"/>
      <c r="GL91" s="535"/>
      <c r="GM91" s="535"/>
      <c r="GN91" s="535"/>
      <c r="GO91" s="535"/>
      <c r="GP91" s="535"/>
      <c r="GQ91" s="535"/>
      <c r="GR91" s="535"/>
      <c r="GS91" s="535"/>
      <c r="GT91" s="535"/>
      <c r="GU91" s="535"/>
      <c r="GV91" s="535"/>
      <c r="GW91" s="535"/>
      <c r="GX91" s="535"/>
      <c r="GY91" s="535"/>
      <c r="GZ91" s="535"/>
      <c r="HA91" s="535"/>
      <c r="HB91" s="535"/>
      <c r="HC91" s="535"/>
      <c r="HD91" s="535"/>
    </row>
    <row r="92" spans="1:218">
      <c r="B92" s="31" t="s">
        <v>409</v>
      </c>
      <c r="G92" s="39"/>
      <c r="J92" s="39"/>
      <c r="K92" s="39"/>
      <c r="L92" s="39"/>
      <c r="M92" s="39"/>
      <c r="P92" s="39"/>
      <c r="Q92" s="39"/>
      <c r="R92" s="39"/>
      <c r="S92" s="39"/>
      <c r="V92" s="39"/>
      <c r="W92" s="39"/>
      <c r="X92" s="39"/>
      <c r="Y92" s="39"/>
      <c r="AB92" s="39"/>
      <c r="AC92" s="39"/>
      <c r="AD92" s="39"/>
      <c r="AE92" s="39"/>
      <c r="AH92" s="39"/>
      <c r="AI92" s="39"/>
      <c r="AJ92" s="39"/>
      <c r="AK92" s="39"/>
      <c r="AN92" s="39"/>
      <c r="AO92" s="39"/>
      <c r="AP92" s="39"/>
      <c r="AQ92" s="39"/>
      <c r="AT92" s="39"/>
      <c r="AU92" s="39"/>
      <c r="AV92" s="39"/>
      <c r="AW92" s="39"/>
      <c r="AZ92" s="39"/>
      <c r="BA92" s="39"/>
      <c r="BB92" s="39"/>
      <c r="BC92" s="39"/>
      <c r="BF92" s="39"/>
      <c r="BG92" s="39"/>
      <c r="BH92" s="39"/>
      <c r="BI92" s="39"/>
      <c r="BL92" s="39"/>
      <c r="BM92" s="39"/>
      <c r="BN92" s="39"/>
      <c r="BO92" s="39"/>
      <c r="BR92" s="39"/>
      <c r="BS92" s="39"/>
      <c r="BT92" s="39"/>
      <c r="BU92" s="39"/>
      <c r="BX92" s="39"/>
      <c r="BY92" s="39"/>
      <c r="BZ92" s="39"/>
      <c r="CA92" s="39"/>
      <c r="CD92" s="39"/>
      <c r="CE92" s="39"/>
      <c r="CF92" s="39"/>
      <c r="CG92" s="39"/>
      <c r="CJ92" s="39"/>
      <c r="CK92" s="39"/>
      <c r="CL92" s="39"/>
      <c r="CM92" s="39"/>
      <c r="CP92" s="39"/>
      <c r="CQ92" s="39"/>
      <c r="CR92" s="39"/>
      <c r="CS92" s="39"/>
      <c r="CV92" s="39"/>
      <c r="CW92" s="39"/>
      <c r="CX92" s="39"/>
      <c r="CY92" s="39"/>
      <c r="DB92" s="39"/>
      <c r="DC92" s="39"/>
      <c r="DD92" s="39"/>
      <c r="DE92" s="39"/>
      <c r="DH92" s="102">
        <f>(DH19-DH11)-(DH42-DH37)</f>
        <v>33.513999999999982</v>
      </c>
      <c r="DI92" s="102">
        <f>(DI19-DI11)-(DI42-DI37)</f>
        <v>32.411999999999992</v>
      </c>
      <c r="DJ92" s="102">
        <f>(DJ19-DJ11)-(DJ42-DJ37)</f>
        <v>35.992000000000012</v>
      </c>
      <c r="DK92" s="102">
        <f>(DK19-DK11)-(DK42-DK37)</f>
        <v>40.805</v>
      </c>
      <c r="DL92" s="102"/>
      <c r="DM92" s="102"/>
      <c r="DN92" s="102">
        <f>(DN19-DN11)-(DN42-DN37)</f>
        <v>37.920000000000016</v>
      </c>
      <c r="DO92" s="102">
        <f>(DO19-DO11)-(DO42-DO37)</f>
        <v>54.747000000000014</v>
      </c>
      <c r="DP92" s="102">
        <f>(DP19-DP11)-(DP42-DP37)</f>
        <v>50.453000000000046</v>
      </c>
      <c r="DQ92" s="102">
        <f>(DQ19-DQ11)-(DQ42-DQ37)</f>
        <v>58.817999999999948</v>
      </c>
      <c r="DR92" s="102"/>
      <c r="DS92" s="102"/>
      <c r="DT92" s="102">
        <f>(DT19-DT11)-(DT42-DT37)</f>
        <v>105.27699999999999</v>
      </c>
      <c r="DU92" s="102">
        <f>(DU19-DU11)-(DU42-DU37)</f>
        <v>98.049000000000078</v>
      </c>
      <c r="DV92" s="102">
        <f>(DV19-DV11)-(DV42-DV37)</f>
        <v>156.53300000000004</v>
      </c>
      <c r="DW92" s="102">
        <f>(DW19-DW11)-(DW42-DW37)</f>
        <v>168.75300000000004</v>
      </c>
      <c r="DX92" s="102"/>
      <c r="DY92" s="102"/>
      <c r="DZ92" s="102">
        <f>(DZ19-DZ11)-(DZ42-DZ37)</f>
        <v>274.13099999999997</v>
      </c>
      <c r="EA92" s="102">
        <f>(EA19-EA11)-(EA42-EA37)</f>
        <v>257.97099999999989</v>
      </c>
      <c r="EB92" s="102">
        <f>(EB19-EB11)-(EB42-EB37)</f>
        <v>279.78899999999999</v>
      </c>
      <c r="EC92" s="102">
        <f>(EC19-EC11)-(EC42-EC37)</f>
        <v>277.44899999999996</v>
      </c>
      <c r="ED92" s="102"/>
      <c r="EE92" s="102"/>
      <c r="EF92" s="102">
        <f>(EF19-EF11)-(EF42-EF37)</f>
        <v>263.13400000000001</v>
      </c>
      <c r="EG92" s="102">
        <f>(EG19-EG11)-(EG42-EG37)</f>
        <v>255.95299999999986</v>
      </c>
      <c r="EH92" s="102">
        <f>(EH19-EH11)-(EH42-EH37)</f>
        <v>252.23099999999994</v>
      </c>
      <c r="EI92" s="102">
        <f>(EI19-EI11)-(EI42-EI37)</f>
        <v>252.17900000000006</v>
      </c>
      <c r="EJ92" s="102"/>
      <c r="EK92" s="102"/>
      <c r="EL92" s="102">
        <f>(EL19-EL11)-(EL42-EL37)</f>
        <v>222.78099999999989</v>
      </c>
      <c r="EM92" s="102">
        <f>(EM19-EM11)-(EM42-EM37)</f>
        <v>200.798</v>
      </c>
      <c r="EN92" s="102">
        <f>(EN19-EN11)-(EN42-EN37)</f>
        <v>187.78500000000008</v>
      </c>
      <c r="EO92" s="102">
        <f>(EO19-EO11)-(EO42-EO37)</f>
        <v>158.0199999999999</v>
      </c>
      <c r="EP92" s="102"/>
      <c r="EQ92" s="102"/>
      <c r="ER92" s="102">
        <f>(ER19-ER11)-(ER42-ER37)</f>
        <v>165.27199999999996</v>
      </c>
      <c r="ES92" s="102">
        <f>(ES19-ES11)-(ES42-ES37)</f>
        <v>139.23199999999989</v>
      </c>
      <c r="ET92" s="102">
        <f>(ET19-ET11)-(ET42-ET37)</f>
        <v>132.26699999999997</v>
      </c>
      <c r="EU92" s="102">
        <f>(EU19-EU11)-(EU42-EU37)</f>
        <v>128.54300000000001</v>
      </c>
      <c r="EV92" s="102"/>
      <c r="EX92" s="102">
        <f>(EX19-EX11)-(EX42-EX37)</f>
        <v>149.17400000000012</v>
      </c>
      <c r="EY92" s="102">
        <f>(EY19-EY11)-(EY42-EY37)</f>
        <v>137.71000000000004</v>
      </c>
      <c r="EZ92" s="102">
        <f>(EZ19-EZ11)-(EZ42-EZ37)</f>
        <v>120.48199999999997</v>
      </c>
      <c r="FA92" s="102">
        <f>(FA19-FA11)-(FA42-FA37)</f>
        <v>118.38734692800207</v>
      </c>
      <c r="FB92" s="543"/>
      <c r="FD92" s="543">
        <f>(FD19-FD11)-(FD42-FD37)</f>
        <v>118.40220091935092</v>
      </c>
      <c r="FE92" s="102">
        <f>(FE19-FE11)-(FE42-FE37)</f>
        <v>122.46160592077563</v>
      </c>
      <c r="FF92" s="102">
        <f>(FF19-FF11)-(FF42-FF37)</f>
        <v>125.82555088337942</v>
      </c>
      <c r="FG92" s="102">
        <f>(FG19-FG11)-(FG42-FG37)</f>
        <v>128.18671419790448</v>
      </c>
      <c r="FH92" s="102"/>
      <c r="FJ92" s="102">
        <f>(FJ19-FJ11)-(FJ42-FJ37)</f>
        <v>123.50003736491097</v>
      </c>
      <c r="FK92" s="102">
        <f>(FK19-FK11)-(FK42-FK37)</f>
        <v>127.37601901361131</v>
      </c>
      <c r="FL92" s="102">
        <f>(FL19-FL11)-(FL42-FL37)</f>
        <v>131.02228406071538</v>
      </c>
      <c r="FM92" s="102">
        <f>(FM19-FM11)-(FM42-FM37)</f>
        <v>133.92676767676147</v>
      </c>
      <c r="FN92" s="102"/>
      <c r="FP92" s="102">
        <f>(FP19-FP11)-(FP42-FP37)</f>
        <v>128.70934832736384</v>
      </c>
      <c r="FQ92" s="102">
        <f>(FQ19-FQ11)-(FQ42-FQ37)</f>
        <v>132.71534598508737</v>
      </c>
      <c r="FR92" s="102">
        <f>(FR19-FR11)-(FR42-FR37)</f>
        <v>136.46989423138439</v>
      </c>
      <c r="FS92" s="102">
        <f>(FS19-FS11)-(FS42-FS37)</f>
        <v>139.59486956814249</v>
      </c>
      <c r="FT92" s="102"/>
      <c r="FV92" s="102">
        <f>(FV19-FV11)-(FV42-FV37)</f>
        <v>132.37632508799845</v>
      </c>
      <c r="FW92" s="102">
        <f>(FW19-FW11)-(FW42-FW37)</f>
        <v>136.48374994185568</v>
      </c>
      <c r="FX92" s="102">
        <f>(FX19-FX11)-(FX42-FX37)</f>
        <v>140.3151181155585</v>
      </c>
      <c r="FY92" s="102">
        <f>(FY19-FY11)-(FY42-FY37)</f>
        <v>143.46968768722104</v>
      </c>
      <c r="FZ92" s="102"/>
      <c r="GB92" s="102">
        <f>(GB19-GB11)-(GB42-GB37)</f>
        <v>135.27779449559182</v>
      </c>
      <c r="GC92" s="102">
        <f>(GC19-GC11)-(GC42-GC37)</f>
        <v>139.46736639101178</v>
      </c>
      <c r="GD92" s="102">
        <f>(GD19-GD11)-(GD42-GD37)</f>
        <v>143.35619046678264</v>
      </c>
      <c r="GE92" s="102">
        <f>(GE19-GE11)-(GE42-GE37)</f>
        <v>146.52271214898397</v>
      </c>
      <c r="GF92" s="102"/>
      <c r="GH92" s="102">
        <f>(GH19-GH11)-(GH42-GH37)</f>
        <v>137.20116422180666</v>
      </c>
      <c r="GI92" s="102">
        <f>(GI19-GI11)-(GI42-GI37)</f>
        <v>141.40877656590439</v>
      </c>
      <c r="GJ92" s="102">
        <f>(GJ19-GJ11)-(GJ42-GJ37)</f>
        <v>145.28990865752766</v>
      </c>
      <c r="GK92" s="102">
        <f>(GK19-GK11)-(GK42-GK37)</f>
        <v>148.40487629120244</v>
      </c>
      <c r="GL92" s="102"/>
      <c r="GN92" s="102">
        <f>(GN19-GN11)-(GN42-GN37)</f>
        <v>138.03559786127269</v>
      </c>
      <c r="GO92" s="102">
        <f>(GO19-GO11)-(GO42-GO37)</f>
        <v>142.27548207381955</v>
      </c>
      <c r="GP92" s="102">
        <f>(GP19-GP11)-(GP42-GP37)</f>
        <v>146.16542169401669</v>
      </c>
      <c r="GQ92" s="102">
        <f>(GQ19-GQ11)-(GQ42-GQ37)</f>
        <v>149.24836711822491</v>
      </c>
      <c r="GR92" s="102"/>
      <c r="GT92" s="102">
        <f>(GT19-GT11)-(GT42-GT37)</f>
        <v>137.8063409020063</v>
      </c>
      <c r="GU92" s="102">
        <f>(GU19-GU11)-(GU42-GU37)</f>
        <v>142.05767973470552</v>
      </c>
      <c r="GV92" s="102">
        <f>(GV19-GV11)-(GV42-GV37)</f>
        <v>145.9365606980989</v>
      </c>
      <c r="GW92" s="102">
        <f>(GW19-GW11)-(GW42-GW37)</f>
        <v>148.97030071405663</v>
      </c>
      <c r="GX92" s="102"/>
      <c r="GZ92" s="102">
        <f>(GZ19-GZ11)-(GZ42-GZ37)</f>
        <v>136.44304778960787</v>
      </c>
      <c r="HA92" s="102">
        <f>(HA19-HA11)-(HA42-HA37)</f>
        <v>140.6857520085268</v>
      </c>
      <c r="HB92" s="102">
        <f>(HB19-HB11)-(HB42-HB37)</f>
        <v>144.53484625042012</v>
      </c>
      <c r="HC92" s="102">
        <f>(HC19-HC11)-(HC42-HC37)</f>
        <v>147.50398130945104</v>
      </c>
      <c r="HD92" s="102"/>
      <c r="HF92" s="102">
        <f>(HF19-HF11)-(HF42-HF37)</f>
        <v>133.89288254515134</v>
      </c>
      <c r="HG92" s="102">
        <f>(HG19-HG11)-(HG42-HG37)</f>
        <v>138.10808604869271</v>
      </c>
      <c r="HH92" s="102">
        <f>(HH19-HH11)-(HH42-HH37)</f>
        <v>141.91030505817724</v>
      </c>
      <c r="HI92" s="102">
        <f>(HI19-HI11)-(HI42-HI37)</f>
        <v>144.80170513499485</v>
      </c>
      <c r="HJ92" s="102"/>
    </row>
    <row r="93" spans="1:218">
      <c r="C93" s="661" t="s">
        <v>608</v>
      </c>
      <c r="DG93" s="30"/>
      <c r="DH93" s="535"/>
      <c r="DI93" s="535"/>
      <c r="DJ93" s="535"/>
      <c r="DK93" s="535"/>
      <c r="DL93" s="535"/>
      <c r="DM93" s="535"/>
      <c r="DN93" s="105">
        <f>DN92-DH92</f>
        <v>4.4060000000000343</v>
      </c>
      <c r="DO93" s="105">
        <f>DO92-DI92</f>
        <v>22.335000000000022</v>
      </c>
      <c r="DP93" s="105">
        <f>DP92-DJ92</f>
        <v>14.461000000000034</v>
      </c>
      <c r="DQ93" s="105">
        <f>DQ92-DK92</f>
        <v>18.012999999999948</v>
      </c>
      <c r="DR93" s="535"/>
      <c r="DS93" s="535"/>
      <c r="DT93" s="105">
        <f>DT92-DN92</f>
        <v>67.356999999999971</v>
      </c>
      <c r="DU93" s="105">
        <f>DU92-DO92</f>
        <v>43.302000000000064</v>
      </c>
      <c r="DV93" s="105">
        <f>DV92-DP92</f>
        <v>106.08</v>
      </c>
      <c r="DW93" s="105">
        <f>DW92-DQ92</f>
        <v>109.93500000000009</v>
      </c>
      <c r="DX93" s="535"/>
      <c r="DY93" s="535"/>
      <c r="DZ93" s="105">
        <f>DZ92-DT92</f>
        <v>168.85399999999998</v>
      </c>
      <c r="EA93" s="105">
        <f>EA92-DU92</f>
        <v>159.9219999999998</v>
      </c>
      <c r="EB93" s="105">
        <f>EB92-DV92</f>
        <v>123.25599999999994</v>
      </c>
      <c r="EC93" s="105">
        <f>EC92-DW92</f>
        <v>108.69599999999991</v>
      </c>
      <c r="ED93" s="535"/>
      <c r="EE93" s="535"/>
      <c r="EF93" s="105">
        <f>EF92-DZ92</f>
        <v>-10.996999999999957</v>
      </c>
      <c r="EG93" s="105">
        <f>EG92-EA92</f>
        <v>-2.0180000000000291</v>
      </c>
      <c r="EH93" s="105">
        <f>EH92-EB92</f>
        <v>-27.55800000000005</v>
      </c>
      <c r="EI93" s="105">
        <f>EI92-EC92</f>
        <v>-25.269999999999897</v>
      </c>
      <c r="EJ93" s="535"/>
      <c r="EK93" s="535"/>
      <c r="EL93" s="105">
        <f>EL92-EF92</f>
        <v>-40.353000000000122</v>
      </c>
      <c r="EM93" s="105">
        <f>EM92-EG92</f>
        <v>-55.154999999999859</v>
      </c>
      <c r="EN93" s="105">
        <f>EN92-EH92</f>
        <v>-64.445999999999856</v>
      </c>
      <c r="EO93" s="105">
        <f>EO92-EI92</f>
        <v>-94.159000000000162</v>
      </c>
      <c r="EP93" s="535"/>
      <c r="EQ93" s="535"/>
      <c r="ER93" s="105">
        <f>ER92-EL92</f>
        <v>-57.508999999999929</v>
      </c>
      <c r="ES93" s="105">
        <f>ES92-EM92</f>
        <v>-61.566000000000116</v>
      </c>
      <c r="ET93" s="105">
        <f>ET92-EN92</f>
        <v>-55.518000000000114</v>
      </c>
      <c r="EU93" s="105">
        <f>EU92-EO92</f>
        <v>-29.47699999999989</v>
      </c>
      <c r="EV93" s="535"/>
      <c r="EW93" s="535"/>
      <c r="EX93" s="105">
        <f>EX92-ER92</f>
        <v>-16.097999999999843</v>
      </c>
      <c r="EY93" s="105">
        <f>EY92-ES92</f>
        <v>-1.5219999999998493</v>
      </c>
      <c r="EZ93" s="105">
        <f>EZ92-ET92</f>
        <v>-11.784999999999997</v>
      </c>
      <c r="FA93" s="105">
        <f>FA92-EU92</f>
        <v>-10.155653071997932</v>
      </c>
      <c r="FB93" s="839"/>
      <c r="FC93" s="535"/>
      <c r="FD93" s="871">
        <f>FD92-EX92</f>
        <v>-30.771799080649203</v>
      </c>
      <c r="FE93" s="105">
        <f>FE92-EY92</f>
        <v>-15.248394079224411</v>
      </c>
      <c r="FF93" s="105">
        <f>FF92-EZ92</f>
        <v>5.3435508833794501</v>
      </c>
      <c r="FG93" s="105">
        <f>FG92-FA92</f>
        <v>9.7993672699024046</v>
      </c>
      <c r="FH93" s="535"/>
      <c r="FI93" s="535"/>
      <c r="FJ93" s="105">
        <f>FJ92-FD92</f>
        <v>5.0978364455600484</v>
      </c>
      <c r="FK93" s="105">
        <f>FK92-FE92</f>
        <v>4.9144130928356873</v>
      </c>
      <c r="FL93" s="105">
        <f>FL92-FF92</f>
        <v>5.1967331773359575</v>
      </c>
      <c r="FM93" s="105">
        <f>FM92-FG92</f>
        <v>5.7400534788569928</v>
      </c>
      <c r="FN93" s="535"/>
      <c r="FO93" s="535"/>
      <c r="FP93" s="105">
        <f>FP92-FJ92</f>
        <v>5.2093109624528751</v>
      </c>
      <c r="FQ93" s="105">
        <f>FQ92-FK92</f>
        <v>5.339326971476055</v>
      </c>
      <c r="FR93" s="105">
        <f>FR92-FL92</f>
        <v>5.4476101706690088</v>
      </c>
      <c r="FS93" s="105">
        <f>FS92-FM92</f>
        <v>5.6681018913810135</v>
      </c>
      <c r="FT93" s="535"/>
      <c r="FU93" s="535"/>
      <c r="FV93" s="105">
        <f>FV92-FP92</f>
        <v>3.6669767606346113</v>
      </c>
      <c r="FW93" s="105">
        <f>FW92-FQ92</f>
        <v>3.7684039567683101</v>
      </c>
      <c r="FX93" s="105">
        <f>FX92-FR92</f>
        <v>3.8452238841741178</v>
      </c>
      <c r="FY93" s="105">
        <f>FY92-FS92</f>
        <v>3.8748181190785544</v>
      </c>
      <c r="FZ93" s="535"/>
      <c r="GA93" s="535"/>
      <c r="GB93" s="105">
        <f>GB92-FV92</f>
        <v>2.9014694075933676</v>
      </c>
      <c r="GC93" s="105">
        <f>GC92-FW92</f>
        <v>2.9836164491561021</v>
      </c>
      <c r="GD93" s="105">
        <f>GD92-FX92</f>
        <v>3.0410723512241304</v>
      </c>
      <c r="GE93" s="105">
        <f>GE92-FY92</f>
        <v>3.0530244617629307</v>
      </c>
      <c r="GF93" s="535"/>
      <c r="GG93" s="535"/>
      <c r="GH93" s="105">
        <f>GH92-GB92</f>
        <v>1.9233697262148439</v>
      </c>
      <c r="GI93" s="105">
        <f>GI92-GC92</f>
        <v>1.94141017489261</v>
      </c>
      <c r="GJ93" s="105">
        <f>GJ92-GD92</f>
        <v>1.9337181907450258</v>
      </c>
      <c r="GK93" s="105">
        <f>GK92-GE92</f>
        <v>1.8821641422184712</v>
      </c>
      <c r="GL93" s="535"/>
      <c r="GM93" s="535"/>
      <c r="GN93" s="105">
        <f>GN92-GH92</f>
        <v>0.83443363946602744</v>
      </c>
      <c r="GO93" s="105">
        <f>GO92-GI92</f>
        <v>0.86670550791515666</v>
      </c>
      <c r="GP93" s="105">
        <f>GP92-GJ92</f>
        <v>0.8755130364890249</v>
      </c>
      <c r="GQ93" s="105">
        <f>GQ92-GK92</f>
        <v>0.84349082702246392</v>
      </c>
      <c r="GR93" s="535"/>
      <c r="GS93" s="535"/>
      <c r="GT93" s="105">
        <f>GT92-GN92</f>
        <v>-0.22925695926639378</v>
      </c>
      <c r="GU93" s="105">
        <f>GU92-GO92</f>
        <v>-0.21780233911403002</v>
      </c>
      <c r="GV93" s="105">
        <f>GV92-GP92</f>
        <v>-0.22886099591778475</v>
      </c>
      <c r="GW93" s="105">
        <f>GW92-GQ92</f>
        <v>-0.27806640416827122</v>
      </c>
      <c r="GX93" s="535"/>
      <c r="GY93" s="535"/>
      <c r="GZ93" s="105">
        <f>GZ92-GT92</f>
        <v>-1.3632931123984235</v>
      </c>
      <c r="HA93" s="105">
        <f>HA92-GU92</f>
        <v>-1.3719277261787113</v>
      </c>
      <c r="HB93" s="105">
        <f>HB92-GV92</f>
        <v>-1.4017144476787848</v>
      </c>
      <c r="HC93" s="105">
        <f>HC92-GW92</f>
        <v>-1.4663194046055992</v>
      </c>
      <c r="HD93" s="535"/>
      <c r="HF93" s="105">
        <f>HF92-GZ92</f>
        <v>-2.5501652444565366</v>
      </c>
      <c r="HG93" s="105">
        <f>HG92-HA92</f>
        <v>-2.5776659598340927</v>
      </c>
      <c r="HH93" s="105">
        <f>HH92-HB92</f>
        <v>-2.624541192242873</v>
      </c>
      <c r="HI93" s="105">
        <f>HI92-HC92</f>
        <v>-2.7022761744561876</v>
      </c>
      <c r="HJ93" s="535"/>
    </row>
    <row r="94" spans="1:218">
      <c r="DG94" s="30"/>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c r="EO94" s="102"/>
      <c r="EP94" s="102"/>
      <c r="EQ94" s="102"/>
      <c r="ER94" s="102"/>
      <c r="ES94" s="102"/>
      <c r="ET94" s="102"/>
      <c r="EU94" s="102"/>
      <c r="EV94" s="102"/>
      <c r="EW94" s="30"/>
      <c r="EX94" s="102"/>
      <c r="EY94" s="102"/>
      <c r="EZ94" s="102"/>
      <c r="FA94" s="102"/>
      <c r="FB94" s="543"/>
      <c r="FD94" s="543"/>
      <c r="FE94" s="102"/>
      <c r="FF94" s="102"/>
      <c r="FG94" s="102"/>
      <c r="FH94" s="102"/>
      <c r="FJ94" s="102"/>
      <c r="FK94" s="102"/>
      <c r="FL94" s="102"/>
      <c r="FM94" s="102"/>
      <c r="FN94" s="102"/>
      <c r="FP94" s="102"/>
      <c r="FQ94" s="102"/>
      <c r="FR94" s="102"/>
      <c r="FS94" s="102"/>
      <c r="FT94" s="102"/>
      <c r="FV94" s="102"/>
      <c r="FW94" s="102"/>
      <c r="FX94" s="102"/>
      <c r="FY94" s="102"/>
      <c r="FZ94" s="102"/>
      <c r="GB94" s="102"/>
      <c r="GC94" s="102"/>
      <c r="GD94" s="102"/>
      <c r="GE94" s="102"/>
      <c r="GF94" s="102"/>
      <c r="GH94" s="102"/>
      <c r="GI94" s="102"/>
      <c r="GJ94" s="102"/>
      <c r="GK94" s="102"/>
      <c r="GL94" s="102"/>
      <c r="GN94" s="102"/>
      <c r="GO94" s="102"/>
      <c r="GP94" s="102"/>
      <c r="GQ94" s="102"/>
      <c r="GR94" s="102"/>
      <c r="GT94" s="102"/>
      <c r="GU94" s="102"/>
      <c r="GV94" s="102"/>
      <c r="GW94" s="102"/>
      <c r="GX94" s="102"/>
      <c r="GZ94" s="102"/>
      <c r="HA94" s="102"/>
      <c r="HB94" s="102"/>
      <c r="HC94" s="102"/>
      <c r="HD94" s="102"/>
      <c r="HF94" s="102"/>
      <c r="HG94" s="102"/>
      <c r="HH94" s="102"/>
      <c r="HI94" s="102"/>
      <c r="HJ94" s="102"/>
    </row>
    <row r="95" spans="1:218">
      <c r="B95" s="31" t="s">
        <v>76</v>
      </c>
      <c r="AZ95" s="102"/>
      <c r="BA95" s="102"/>
      <c r="BB95" s="102"/>
      <c r="BC95" s="102"/>
      <c r="BF95" s="102"/>
      <c r="BG95" s="102"/>
      <c r="BH95" s="102"/>
      <c r="BI95" s="102"/>
      <c r="BL95" s="102"/>
      <c r="BM95" s="102"/>
      <c r="BN95" s="102"/>
      <c r="BO95" s="102"/>
      <c r="BR95" s="102"/>
      <c r="BS95" s="102"/>
      <c r="BT95" s="102"/>
      <c r="BU95" s="102"/>
      <c r="BX95" s="102"/>
      <c r="BY95" s="102"/>
      <c r="BZ95" s="102"/>
      <c r="CA95" s="102"/>
      <c r="CD95" s="102"/>
      <c r="CE95" s="102"/>
      <c r="CF95" s="102"/>
      <c r="CG95" s="102"/>
      <c r="CJ95" s="102"/>
      <c r="CK95" s="102"/>
      <c r="CL95" s="102"/>
      <c r="CM95" s="102"/>
      <c r="CP95" s="102"/>
      <c r="CQ95" s="102"/>
      <c r="CR95" s="102"/>
      <c r="CS95" s="102"/>
      <c r="CV95" s="102"/>
      <c r="CW95" s="102"/>
      <c r="CX95" s="102"/>
      <c r="CY95" s="102"/>
      <c r="DB95" s="102"/>
      <c r="DC95" s="102"/>
      <c r="DD95" s="102"/>
      <c r="DE95" s="102"/>
      <c r="DH95" s="102">
        <f>DH58</f>
        <v>208.01599999999996</v>
      </c>
      <c r="DI95" s="102">
        <f>DI58</f>
        <v>164.20899999999997</v>
      </c>
      <c r="DJ95" s="102">
        <f>DJ58</f>
        <v>303.55900000000003</v>
      </c>
      <c r="DK95" s="102">
        <f>DK58</f>
        <v>320.44299999999998</v>
      </c>
      <c r="DL95" s="102"/>
      <c r="DM95" s="102"/>
      <c r="DN95" s="102">
        <f>DN58</f>
        <v>323.84800000000001</v>
      </c>
      <c r="DO95" s="102">
        <f>DO58</f>
        <v>489.73399999999998</v>
      </c>
      <c r="DP95" s="102">
        <f>DP58</f>
        <v>497.00700000000001</v>
      </c>
      <c r="DQ95" s="102">
        <f>DQ58</f>
        <v>507.40800000000007</v>
      </c>
      <c r="DR95" s="102"/>
      <c r="DS95" s="102"/>
      <c r="DT95" s="102">
        <f>DT58</f>
        <v>505.04300000000001</v>
      </c>
      <c r="DU95" s="102">
        <f>DU58</f>
        <v>654.22900000000004</v>
      </c>
      <c r="DV95" s="102">
        <f>DV58</f>
        <v>666.36300000000006</v>
      </c>
      <c r="DW95" s="102">
        <f>DW58</f>
        <v>694.29399999999998</v>
      </c>
      <c r="DX95" s="102"/>
      <c r="DY95" s="102"/>
      <c r="DZ95" s="102">
        <f>DZ58</f>
        <v>843.71400000000006</v>
      </c>
      <c r="EA95" s="102">
        <f>EA58</f>
        <v>1148.3579999999999</v>
      </c>
      <c r="EB95" s="102">
        <f>EB58</f>
        <v>1137.2449999999999</v>
      </c>
      <c r="EC95" s="102">
        <f>EC58</f>
        <v>1108.277</v>
      </c>
      <c r="ED95" s="102"/>
      <c r="EE95" s="102"/>
      <c r="EF95" s="102">
        <f>EF58</f>
        <v>1075.0039999999999</v>
      </c>
      <c r="EG95" s="102">
        <f>EG58</f>
        <v>1043.519</v>
      </c>
      <c r="EH95" s="102">
        <f>EH58</f>
        <v>1012.9879999999999</v>
      </c>
      <c r="EI95" s="102">
        <f>EI58</f>
        <v>998.02300000000002</v>
      </c>
      <c r="EJ95" s="102"/>
      <c r="EK95" s="102"/>
      <c r="EL95" s="102">
        <f>EL60</f>
        <v>974.46199999999988</v>
      </c>
      <c r="EM95" s="102">
        <f>EM60</f>
        <v>956.19199999999989</v>
      </c>
      <c r="EN95" s="102">
        <f>EN60</f>
        <v>947.42799999999988</v>
      </c>
      <c r="EO95" s="102">
        <f>EO60</f>
        <v>941.53699999999981</v>
      </c>
      <c r="EP95" s="102"/>
      <c r="EQ95" s="102"/>
      <c r="ER95" s="102">
        <f>ER60</f>
        <v>923.41</v>
      </c>
      <c r="ES95" s="102">
        <f>ES60</f>
        <v>915.8839999999999</v>
      </c>
      <c r="ET95" s="102">
        <f>ET60</f>
        <v>908.21</v>
      </c>
      <c r="EU95" s="102">
        <f>EU60</f>
        <v>902.33900000000017</v>
      </c>
      <c r="EV95" s="102"/>
      <c r="EX95" s="102">
        <f>EX60</f>
        <v>888.26200000000006</v>
      </c>
      <c r="EY95" s="102">
        <f>EY60</f>
        <v>854.04000000000008</v>
      </c>
      <c r="EZ95" s="102">
        <f>EZ60</f>
        <v>838.29000000000019</v>
      </c>
      <c r="FA95" s="102">
        <f>FA60</f>
        <v>846.35600000000011</v>
      </c>
      <c r="FB95" s="543"/>
      <c r="FD95" s="543">
        <f>FD60</f>
        <v>846.2711416552246</v>
      </c>
      <c r="FE95" s="102">
        <f>FE60</f>
        <v>849.00215573344383</v>
      </c>
      <c r="FF95" s="102">
        <f>FF60</f>
        <v>856.54429844577339</v>
      </c>
      <c r="FG95" s="102">
        <f>FG60</f>
        <v>866.29104582802177</v>
      </c>
      <c r="FH95" s="102"/>
      <c r="FJ95" s="102">
        <f>FJ60</f>
        <v>875.5875955822944</v>
      </c>
      <c r="FK95" s="102">
        <f>FK60</f>
        <v>885.49650984352684</v>
      </c>
      <c r="FL95" s="102">
        <f>FL60</f>
        <v>895.87101906255339</v>
      </c>
      <c r="FM95" s="102">
        <f>FM60</f>
        <v>904.38446879997196</v>
      </c>
      <c r="FN95" s="102"/>
      <c r="FP95" s="102">
        <f>FP60</f>
        <v>917.4482140305679</v>
      </c>
      <c r="FQ95" s="102">
        <f>FQ60</f>
        <v>931.48103209671319</v>
      </c>
      <c r="FR95" s="102">
        <f>FR60</f>
        <v>946.27509062120885</v>
      </c>
      <c r="FS95" s="102">
        <f>FS60</f>
        <v>961.55013300705741</v>
      </c>
      <c r="FT95" s="102"/>
      <c r="FV95" s="102">
        <f>FV60</f>
        <v>975.5021541950174</v>
      </c>
      <c r="FW95" s="102">
        <f>FW60</f>
        <v>990.74390131817268</v>
      </c>
      <c r="FX95" s="102">
        <f>FX60</f>
        <v>1006.8684347390134</v>
      </c>
      <c r="FY95" s="102">
        <f>FY60</f>
        <v>1023.5389546872777</v>
      </c>
      <c r="FZ95" s="102"/>
      <c r="GB95" s="102">
        <f>GB60</f>
        <v>1043.621096565814</v>
      </c>
      <c r="GC95" s="102">
        <f>GC60</f>
        <v>1065.2156346639301</v>
      </c>
      <c r="GD95" s="102">
        <f>GD60</f>
        <v>1088.0213642706706</v>
      </c>
      <c r="GE95" s="102">
        <f>GE60</f>
        <v>1111.5820160481308</v>
      </c>
      <c r="GF95" s="102"/>
      <c r="GH95" s="102">
        <f>GH60</f>
        <v>1138.4710121824041</v>
      </c>
      <c r="GI95" s="102">
        <f>GI60</f>
        <v>1167.3124844052743</v>
      </c>
      <c r="GJ95" s="102">
        <f>GJ60</f>
        <v>1197.7319658797803</v>
      </c>
      <c r="GK95" s="102">
        <f>GK60</f>
        <v>1230.8643873396272</v>
      </c>
      <c r="GL95" s="102"/>
      <c r="GN95" s="102">
        <f>GN60</f>
        <v>1266.8447189122378</v>
      </c>
      <c r="GO95" s="102">
        <f>GO60</f>
        <v>1305.2796047927277</v>
      </c>
      <c r="GP95" s="102">
        <f>GP60</f>
        <v>1345.7138544395766</v>
      </c>
      <c r="GQ95" s="102">
        <f>GQ60</f>
        <v>1387.4080652637651</v>
      </c>
      <c r="GR95" s="102"/>
      <c r="GT95" s="102">
        <f>GT60</f>
        <v>1431.3834089827988</v>
      </c>
      <c r="GU95" s="102">
        <f>GU60</f>
        <v>1478.3081882887225</v>
      </c>
      <c r="GV95" s="102">
        <f>GV60</f>
        <v>1527.6462450487377</v>
      </c>
      <c r="GW95" s="102">
        <f>GW60</f>
        <v>1578.5080451595222</v>
      </c>
      <c r="GX95" s="102"/>
      <c r="GZ95" s="102">
        <f>GZ60</f>
        <v>1631.5605069324249</v>
      </c>
      <c r="HA95" s="102">
        <f>HA60</f>
        <v>1688.1193079243524</v>
      </c>
      <c r="HB95" s="102">
        <f>HB60</f>
        <v>1747.5580536126949</v>
      </c>
      <c r="HC95" s="102">
        <f>HC60</f>
        <v>1808.8183863337792</v>
      </c>
      <c r="HD95" s="102"/>
      <c r="HF95" s="102">
        <f>HF60</f>
        <v>1871.7745147728799</v>
      </c>
      <c r="HG95" s="102">
        <f>HG60</f>
        <v>1938.8361780506098</v>
      </c>
      <c r="HH95" s="102">
        <f>HH60</f>
        <v>2009.2805931978203</v>
      </c>
      <c r="HI95" s="102">
        <f>HI60</f>
        <v>2081.867973426969</v>
      </c>
      <c r="HJ95" s="102"/>
    </row>
    <row r="96" spans="1:218">
      <c r="B96" s="31" t="s">
        <v>77</v>
      </c>
      <c r="AU96" s="42"/>
      <c r="AV96" s="42"/>
      <c r="AW96" s="42"/>
      <c r="AZ96" s="42"/>
      <c r="BA96" s="42"/>
      <c r="BB96" s="42"/>
      <c r="BC96" s="42"/>
      <c r="BF96" s="42"/>
      <c r="BG96" s="42"/>
      <c r="BH96" s="42"/>
      <c r="BI96" s="42"/>
      <c r="BL96" s="42"/>
      <c r="BM96" s="42"/>
      <c r="BN96" s="42"/>
      <c r="BO96" s="42"/>
      <c r="BR96" s="42"/>
      <c r="BS96" s="42"/>
      <c r="BT96" s="42"/>
      <c r="BU96" s="42"/>
      <c r="BX96" s="42"/>
      <c r="BY96" s="42"/>
      <c r="BZ96" s="42"/>
      <c r="CA96" s="42"/>
      <c r="CD96" s="42"/>
      <c r="CE96" s="42"/>
      <c r="CF96" s="42"/>
      <c r="CG96" s="42"/>
      <c r="CJ96" s="42"/>
      <c r="CK96" s="42"/>
      <c r="CL96" s="42"/>
      <c r="CM96" s="42"/>
      <c r="CP96" s="42"/>
      <c r="CQ96" s="42"/>
      <c r="CR96" s="42"/>
      <c r="CS96" s="42"/>
      <c r="CV96" s="42"/>
      <c r="CW96" s="42"/>
      <c r="CX96" s="42"/>
      <c r="CY96" s="42"/>
      <c r="DB96" s="42"/>
      <c r="DC96" s="42"/>
      <c r="DD96" s="42"/>
      <c r="DE96" s="42"/>
      <c r="DH96" s="102">
        <f>DH58/IS!DH25</f>
        <v>2.5838250090054276</v>
      </c>
      <c r="DI96" s="102">
        <f>DI58/IS!DI25</f>
        <v>1.8211449738266343</v>
      </c>
      <c r="DJ96" s="102">
        <f>DJ58/IS!DJ25</f>
        <v>3.3384913172105097</v>
      </c>
      <c r="DK96" s="102">
        <f>DK58/IS!DK25</f>
        <v>3.3078328550488263</v>
      </c>
      <c r="DL96" s="102"/>
      <c r="DM96" s="102"/>
      <c r="DN96" s="102">
        <f>DN58/IS!DN25</f>
        <v>3.4182816128351279</v>
      </c>
      <c r="DO96" s="102">
        <f>DO58/IS!DO25</f>
        <v>4.7855495622263913</v>
      </c>
      <c r="DP96" s="102">
        <f>DP58/IS!DP25</f>
        <v>4.607035595105673</v>
      </c>
      <c r="DQ96" s="102">
        <f>DQ58/IS!DQ25</f>
        <v>4.7062402611857248</v>
      </c>
      <c r="DR96" s="102"/>
      <c r="DS96" s="102"/>
      <c r="DT96" s="102">
        <f>DT58/IS!DT25</f>
        <v>4.8336874545384942</v>
      </c>
      <c r="DU96" s="102">
        <f>DU58/IS!DU25</f>
        <v>6.0640206883127723</v>
      </c>
      <c r="DV96" s="102">
        <f>DV58/IS!DV25</f>
        <v>5.5907157419603832</v>
      </c>
      <c r="DW96" s="102">
        <f>DW58/IS!DW25</f>
        <v>6.0777163065933681</v>
      </c>
      <c r="DX96" s="102"/>
      <c r="DY96" s="102"/>
      <c r="DZ96" s="102">
        <f>DZ58/IS!DZ25</f>
        <v>7.2609402834792043</v>
      </c>
      <c r="EA96" s="102">
        <f>EA58/IS!EA25</f>
        <v>8.7502609782302248</v>
      </c>
      <c r="EB96" s="102">
        <f>EB58/IS!EB25</f>
        <v>9.2791635049241581</v>
      </c>
      <c r="EC96" s="102">
        <f>EC58/IS!EC25</f>
        <v>9.0043791943582328</v>
      </c>
      <c r="ED96" s="102"/>
      <c r="EE96" s="102"/>
      <c r="EF96" s="102">
        <f>EF58/IS!EF25</f>
        <v>8.6953328480142353</v>
      </c>
      <c r="EG96" s="102">
        <f>EG58/IS!EG25</f>
        <v>8.4108633974916991</v>
      </c>
      <c r="EH96" s="102">
        <f>EH58/IS!EH25</f>
        <v>8.1413542294554944</v>
      </c>
      <c r="EI96" s="102">
        <f>EI58/IS!EI25</f>
        <v>8.0024937055984093</v>
      </c>
      <c r="EJ96" s="102"/>
      <c r="EK96" s="102"/>
      <c r="EL96" s="102">
        <f>EL58/IS!EL25</f>
        <v>7.7940748324348528</v>
      </c>
      <c r="EM96" s="102">
        <f>EM58/IS!EM25</f>
        <v>7.6278119914483549</v>
      </c>
      <c r="EN96" s="102">
        <f>EN58/IS!EN25</f>
        <v>7.5379951784989689</v>
      </c>
      <c r="EO96" s="102">
        <f>EO58/IS!EO25</f>
        <v>7.476728950440326</v>
      </c>
      <c r="EP96" s="102"/>
      <c r="EQ96" s="102"/>
      <c r="ER96" s="102">
        <f>ER58/IS!ER25</f>
        <v>7.322200283876902</v>
      </c>
      <c r="ES96" s="102">
        <f>ES58/IS!ES25</f>
        <v>7.2456311063644625</v>
      </c>
      <c r="ET96" s="102">
        <f>ET58/IS!ET25</f>
        <v>7.1539073515395462</v>
      </c>
      <c r="EU96" s="102">
        <f>EU58/IS!EU25</f>
        <v>7.0960915382195671</v>
      </c>
      <c r="EV96" s="102"/>
      <c r="EX96" s="102">
        <f>EX58/IS!EX25</f>
        <v>6.9735428966210273</v>
      </c>
      <c r="EY96" s="102">
        <f>EY58/IS!EY25</f>
        <v>6.6748470093552905</v>
      </c>
      <c r="EZ96" s="905">
        <f>EZ58/IS!EZ25</f>
        <v>6.5279757037729258</v>
      </c>
      <c r="FA96" s="102">
        <f>FA58/IS!FA64</f>
        <v>6.5669571154786217</v>
      </c>
      <c r="FB96" s="543"/>
      <c r="FD96" s="543">
        <f>FD58/IS!FD64</f>
        <v>6.5483693161349912</v>
      </c>
      <c r="FE96" s="102">
        <f>FE58/IS!FE64</f>
        <v>6.5516123811535074</v>
      </c>
      <c r="FF96" s="102">
        <f>FF58/IS!FF64</f>
        <v>6.5918637093632828</v>
      </c>
      <c r="FG96" s="102">
        <f>FG58/IS!FG64</f>
        <v>6.6488174363683434</v>
      </c>
      <c r="FH96" s="102"/>
      <c r="FJ96" s="102">
        <f>FJ58/IS!FJ64</f>
        <v>6.7045834937285873</v>
      </c>
      <c r="FK96" s="102">
        <f>FK58/IS!FK64</f>
        <v>6.7647696576808896</v>
      </c>
      <c r="FL96" s="102">
        <f>FL58/IS!FL64</f>
        <v>6.828226656307665</v>
      </c>
      <c r="FM96" s="102">
        <f>FM58/IS!FM64</f>
        <v>6.8772392383499561</v>
      </c>
      <c r="FN96" s="102"/>
      <c r="FP96" s="102">
        <f>FP58/IS!FP64</f>
        <v>6.9631904523431407</v>
      </c>
      <c r="FQ96" s="102">
        <f>FQ58/IS!FQ64</f>
        <v>7.0561532924402481</v>
      </c>
      <c r="FR96" s="102">
        <f>FR58/IS!FR64</f>
        <v>7.1545161803737809</v>
      </c>
      <c r="FS96" s="102">
        <f>FS58/IS!FS64</f>
        <v>7.2561333052137931</v>
      </c>
      <c r="FT96" s="102"/>
      <c r="FV96" s="102">
        <f>FV58/IS!FV64</f>
        <v>7.350166502528519</v>
      </c>
      <c r="FW96" s="102">
        <f>FW58/IS!FW64</f>
        <v>7.4536155905709105</v>
      </c>
      <c r="FX96" s="102">
        <f>FX58/IS!FX64</f>
        <v>7.563380677536955</v>
      </c>
      <c r="FY96" s="102">
        <f>FY58/IS!FY64</f>
        <v>7.6769068132282179</v>
      </c>
      <c r="FZ96" s="102"/>
      <c r="GB96" s="102">
        <f>GB58/IS!GB64</f>
        <v>7.8185651325026706</v>
      </c>
      <c r="GC96" s="102">
        <f>GC58/IS!GC64</f>
        <v>7.97121689603732</v>
      </c>
      <c r="GD96" s="102">
        <f>GD58/IS!GD64</f>
        <v>8.1325730194904846</v>
      </c>
      <c r="GE96" s="102">
        <f>GE58/IS!GE64</f>
        <v>8.2991971393447876</v>
      </c>
      <c r="GF96" s="102"/>
      <c r="GH96" s="102">
        <f>GH58/IS!GH64</f>
        <v>8.4934298248015239</v>
      </c>
      <c r="GI96" s="102">
        <f>GI58/IS!GI64</f>
        <v>8.7019196454956198</v>
      </c>
      <c r="GJ96" s="102">
        <f>GJ58/IS!GJ64</f>
        <v>8.9218444408383561</v>
      </c>
      <c r="GK96" s="102">
        <f>GK58/IS!GK64</f>
        <v>9.1616255105294311</v>
      </c>
      <c r="GL96" s="102"/>
      <c r="GN96" s="102">
        <f>GN58/IS!GN64</f>
        <v>9.4257263389063635</v>
      </c>
      <c r="GO96" s="102">
        <f>GO58/IS!GO64</f>
        <v>9.7078749312895116</v>
      </c>
      <c r="GP96" s="102">
        <f>GP58/IS!GP64</f>
        <v>10.004665904804087</v>
      </c>
      <c r="GQ96" s="102">
        <f>GQ58/IS!GQ64</f>
        <v>10.310587094107655</v>
      </c>
      <c r="GR96" s="102"/>
      <c r="GT96" s="102">
        <f>GT58/IS!GT64</f>
        <v>10.637391891312157</v>
      </c>
      <c r="GU96" s="102">
        <f>GU58/IS!GU64</f>
        <v>10.986115555257074</v>
      </c>
      <c r="GV96" s="102">
        <f>GV58/IS!GV64</f>
        <v>11.352773602023907</v>
      </c>
      <c r="GW96" s="102">
        <f>GW58/IS!GW64</f>
        <v>11.730755417853729</v>
      </c>
      <c r="GX96" s="102"/>
      <c r="GZ96" s="102">
        <f>GZ58/IS!GZ64</f>
        <v>12.125017236969173</v>
      </c>
      <c r="HA96" s="102">
        <f>HA58/IS!HA64</f>
        <v>12.545336577879668</v>
      </c>
      <c r="HB96" s="102">
        <f>HB58/IS!HB64</f>
        <v>12.987058360769593</v>
      </c>
      <c r="HC96" s="102">
        <f>HC58/IS!HC64</f>
        <v>13.442317351796628</v>
      </c>
      <c r="HD96" s="102"/>
      <c r="HF96" s="102">
        <f>HF58/IS!HF64</f>
        <v>13.910178726997565</v>
      </c>
      <c r="HG96" s="102">
        <f>HG58/IS!HG64</f>
        <v>14.408550573905707</v>
      </c>
      <c r="HH96" s="102">
        <f>HH58/IS!HH64</f>
        <v>14.932061497514693</v>
      </c>
      <c r="HI96" s="102">
        <f>HI58/IS!HI64</f>
        <v>15.471497965071526</v>
      </c>
      <c r="HJ96" s="102"/>
    </row>
    <row r="97" spans="1:218">
      <c r="AU97" s="42"/>
      <c r="AV97" s="42"/>
      <c r="AW97" s="42"/>
      <c r="AZ97" s="42"/>
      <c r="BA97" s="42"/>
      <c r="BB97" s="42"/>
      <c r="BC97" s="42"/>
      <c r="BF97" s="42"/>
      <c r="BG97" s="42"/>
      <c r="BH97" s="42"/>
      <c r="BI97" s="42"/>
      <c r="BL97" s="42"/>
      <c r="BM97" s="42"/>
      <c r="BN97" s="42"/>
      <c r="BO97" s="42"/>
      <c r="BR97" s="42"/>
      <c r="BS97" s="42"/>
      <c r="BT97" s="42"/>
      <c r="BU97" s="42"/>
      <c r="BX97" s="42"/>
      <c r="BY97" s="42"/>
      <c r="BZ97" s="42"/>
      <c r="CA97" s="42"/>
      <c r="CD97" s="42"/>
      <c r="CE97" s="42"/>
      <c r="CF97" s="42"/>
      <c r="CG97" s="42"/>
      <c r="CJ97" s="42"/>
      <c r="CK97" s="42"/>
      <c r="CL97" s="42"/>
      <c r="CM97" s="42"/>
      <c r="CP97" s="42"/>
      <c r="CQ97" s="42"/>
      <c r="CR97" s="42"/>
      <c r="CS97" s="42"/>
      <c r="CV97" s="42"/>
      <c r="CW97" s="42"/>
      <c r="CX97" s="42"/>
      <c r="CY97" s="42"/>
      <c r="DB97" s="42"/>
      <c r="DC97" s="42"/>
      <c r="DD97" s="42"/>
      <c r="DE97" s="4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c r="EO97" s="102"/>
      <c r="EP97" s="102"/>
      <c r="EQ97" s="102"/>
      <c r="ER97" s="102"/>
      <c r="ES97" s="102"/>
      <c r="ET97" s="102"/>
      <c r="EU97" s="102"/>
      <c r="EV97" s="102"/>
      <c r="EX97" s="102"/>
      <c r="EY97" s="102"/>
      <c r="EZ97" s="102"/>
      <c r="FA97" s="102"/>
      <c r="FB97" s="543"/>
      <c r="FD97" s="543"/>
      <c r="FE97" s="102"/>
      <c r="FF97" s="102"/>
      <c r="FG97" s="102"/>
      <c r="FH97" s="102"/>
      <c r="FJ97" s="102"/>
      <c r="FK97" s="102"/>
      <c r="FL97" s="102"/>
      <c r="FM97" s="102"/>
      <c r="FN97" s="102"/>
      <c r="FP97" s="102"/>
      <c r="FQ97" s="102"/>
      <c r="FR97" s="102"/>
      <c r="FS97" s="102"/>
      <c r="FT97" s="102"/>
      <c r="FV97" s="102"/>
      <c r="FW97" s="102"/>
      <c r="FX97" s="102"/>
      <c r="FY97" s="102"/>
      <c r="FZ97" s="102"/>
      <c r="GB97" s="102"/>
      <c r="GC97" s="102"/>
      <c r="GD97" s="102"/>
      <c r="GE97" s="102"/>
      <c r="GF97" s="102"/>
      <c r="GH97" s="102"/>
      <c r="GI97" s="102"/>
      <c r="GJ97" s="102"/>
      <c r="GK97" s="102"/>
      <c r="GL97" s="102"/>
      <c r="GN97" s="102"/>
      <c r="GO97" s="102"/>
      <c r="GP97" s="102"/>
      <c r="GQ97" s="102"/>
      <c r="GR97" s="102"/>
      <c r="GT97" s="102"/>
      <c r="GU97" s="102"/>
      <c r="GV97" s="102"/>
      <c r="GW97" s="102"/>
      <c r="GX97" s="102"/>
      <c r="GZ97" s="102"/>
      <c r="HA97" s="102"/>
      <c r="HB97" s="102"/>
      <c r="HC97" s="102"/>
      <c r="HD97" s="102"/>
      <c r="HF97" s="102"/>
      <c r="HG97" s="102"/>
      <c r="HH97" s="102"/>
      <c r="HI97" s="102"/>
      <c r="HJ97" s="102"/>
    </row>
    <row r="98" spans="1:218">
      <c r="A98" s="31" t="s">
        <v>612</v>
      </c>
      <c r="AU98" s="42"/>
      <c r="AV98" s="42"/>
      <c r="AW98" s="42"/>
      <c r="AZ98" s="42"/>
      <c r="BA98" s="42"/>
      <c r="BB98" s="42"/>
      <c r="BC98" s="42"/>
      <c r="BF98" s="42"/>
      <c r="BG98" s="42"/>
      <c r="BH98" s="42"/>
      <c r="BI98" s="42"/>
      <c r="BL98" s="42"/>
      <c r="BM98" s="42"/>
      <c r="BN98" s="42"/>
      <c r="BO98" s="42"/>
      <c r="BR98" s="42"/>
      <c r="BS98" s="42"/>
      <c r="BT98" s="42"/>
      <c r="BU98" s="42"/>
      <c r="BX98" s="42"/>
      <c r="BY98" s="42"/>
      <c r="BZ98" s="42"/>
      <c r="CA98" s="42"/>
      <c r="CD98" s="42"/>
      <c r="CE98" s="42"/>
      <c r="CF98" s="42"/>
      <c r="CG98" s="42"/>
      <c r="CJ98" s="42"/>
      <c r="CK98" s="42"/>
      <c r="CL98" s="42"/>
      <c r="CM98" s="42"/>
      <c r="CP98" s="42"/>
      <c r="CQ98" s="42"/>
      <c r="CR98" s="42"/>
      <c r="CS98" s="42"/>
      <c r="CV98" s="42"/>
      <c r="CW98" s="42"/>
      <c r="CX98" s="42"/>
      <c r="CY98" s="42"/>
      <c r="DB98" s="42"/>
      <c r="DC98" s="42"/>
      <c r="DD98" s="42"/>
      <c r="DE98" s="4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c r="EO98" s="102"/>
      <c r="EP98" s="102"/>
      <c r="EQ98" s="102"/>
      <c r="ER98" s="102"/>
      <c r="ES98" s="102"/>
      <c r="ET98" s="102"/>
      <c r="EU98" s="102"/>
      <c r="EV98" s="102"/>
      <c r="EX98" s="102"/>
      <c r="EY98" s="102"/>
      <c r="EZ98" s="102"/>
      <c r="FA98" s="102"/>
      <c r="FB98" s="543"/>
      <c r="FD98" s="543"/>
      <c r="FE98" s="102"/>
      <c r="FF98" s="102"/>
      <c r="FG98" s="102"/>
      <c r="FH98" s="102"/>
      <c r="FJ98" s="102"/>
      <c r="FK98" s="102"/>
      <c r="FL98" s="102"/>
      <c r="FM98" s="102"/>
      <c r="FN98" s="102"/>
      <c r="FP98" s="102"/>
      <c r="FQ98" s="102"/>
      <c r="FR98" s="102"/>
      <c r="FS98" s="102"/>
      <c r="FT98" s="102"/>
      <c r="FV98" s="102"/>
      <c r="FW98" s="102"/>
      <c r="FX98" s="102"/>
      <c r="FY98" s="102"/>
      <c r="FZ98" s="102"/>
      <c r="GB98" s="102"/>
      <c r="GC98" s="102"/>
      <c r="GD98" s="102"/>
      <c r="GE98" s="102"/>
      <c r="GF98" s="102"/>
      <c r="GH98" s="102"/>
      <c r="GI98" s="102"/>
      <c r="GJ98" s="102"/>
      <c r="GK98" s="102"/>
      <c r="GL98" s="102"/>
      <c r="GN98" s="102"/>
      <c r="GO98" s="102"/>
      <c r="GP98" s="102"/>
      <c r="GQ98" s="102"/>
      <c r="GR98" s="102"/>
      <c r="GT98" s="102"/>
      <c r="GU98" s="102"/>
      <c r="GV98" s="102"/>
      <c r="GW98" s="102"/>
      <c r="GX98" s="102"/>
      <c r="GZ98" s="102"/>
      <c r="HA98" s="102"/>
      <c r="HB98" s="102"/>
      <c r="HC98" s="102"/>
      <c r="HD98" s="102"/>
      <c r="HF98" s="102"/>
      <c r="HG98" s="102"/>
      <c r="HH98" s="102"/>
      <c r="HI98" s="102"/>
      <c r="HJ98" s="102"/>
    </row>
    <row r="99" spans="1:218">
      <c r="B99" s="31" t="s">
        <v>78</v>
      </c>
      <c r="AZ99" s="102"/>
      <c r="BA99" s="102"/>
      <c r="BB99" s="102"/>
      <c r="BC99" s="102"/>
      <c r="BF99" s="102"/>
      <c r="BG99" s="102"/>
      <c r="BH99" s="102"/>
      <c r="BI99" s="102"/>
      <c r="BL99" s="102"/>
      <c r="BM99" s="102"/>
      <c r="BN99" s="102"/>
      <c r="BO99" s="102"/>
      <c r="BR99" s="102"/>
      <c r="BS99" s="102"/>
      <c r="BT99" s="102"/>
      <c r="BU99" s="102"/>
      <c r="BX99" s="102"/>
      <c r="BY99" s="102"/>
      <c r="BZ99" s="102"/>
      <c r="CA99" s="102"/>
      <c r="CD99" s="102"/>
      <c r="CE99" s="102"/>
      <c r="CF99" s="102"/>
      <c r="CG99" s="102"/>
      <c r="CJ99" s="102"/>
      <c r="CK99" s="102"/>
      <c r="CL99" s="102"/>
      <c r="CM99" s="102"/>
      <c r="CP99" s="102"/>
      <c r="CQ99" s="102"/>
      <c r="CR99" s="102"/>
      <c r="CS99" s="102"/>
      <c r="CV99" s="102"/>
      <c r="CW99" s="102"/>
      <c r="CX99" s="102"/>
      <c r="CY99" s="102"/>
      <c r="DB99" s="102"/>
      <c r="DC99" s="102"/>
      <c r="DD99" s="102"/>
      <c r="DE99" s="102"/>
      <c r="DH99" s="102">
        <f>DH37+DH45+DH46</f>
        <v>95.055999999999997</v>
      </c>
      <c r="DI99" s="102">
        <f>DI37+DI45+DI46</f>
        <v>132.68699999999998</v>
      </c>
      <c r="DJ99" s="102">
        <f>DJ37+DJ45+DJ46</f>
        <v>103.64399999999999</v>
      </c>
      <c r="DK99" s="102">
        <f>DK37+DK45+DK46</f>
        <v>106.003</v>
      </c>
      <c r="DL99" s="102"/>
      <c r="DM99" s="102"/>
      <c r="DN99" s="102">
        <f>DN37+DN45+DN46</f>
        <v>104.12100000000001</v>
      </c>
      <c r="DO99" s="102">
        <f>DO37+DO45+DO46</f>
        <v>104.032</v>
      </c>
      <c r="DP99" s="102">
        <f>DP37+DP45+DP46</f>
        <v>103.259</v>
      </c>
      <c r="DQ99" s="102">
        <f>DQ37+DQ45+DQ46</f>
        <v>100.02799999999999</v>
      </c>
      <c r="DR99" s="102"/>
      <c r="DS99" s="102"/>
      <c r="DT99" s="102">
        <f>DT37+DT45+DT46</f>
        <v>98.033000000000001</v>
      </c>
      <c r="DU99" s="102">
        <f>DU37+DU45+DU46</f>
        <v>166.45500000000001</v>
      </c>
      <c r="DV99" s="102">
        <f>DV37+DV45+DV46</f>
        <v>167.839</v>
      </c>
      <c r="DW99" s="102">
        <f>DW37+DW45+DW46</f>
        <v>169.08700000000002</v>
      </c>
      <c r="DX99" s="102"/>
      <c r="DY99" s="102"/>
      <c r="DZ99" s="102">
        <f>DZ37+DZ45+DZ46</f>
        <v>531.06100000000004</v>
      </c>
      <c r="EA99" s="102">
        <f>EA37+EA45+EA46</f>
        <v>531.52499999999998</v>
      </c>
      <c r="EB99" s="102">
        <f>EB37+EB45+EB46</f>
        <v>531.93100000000004</v>
      </c>
      <c r="EC99" s="102">
        <f>EC37+EC45+EC46</f>
        <v>532.55399999999997</v>
      </c>
      <c r="ED99" s="102"/>
      <c r="EE99" s="102"/>
      <c r="EF99" s="102">
        <f>EF37+EF45+EF46</f>
        <v>533.18899999999996</v>
      </c>
      <c r="EG99" s="102">
        <f>EG37+EG45+EG46</f>
        <v>533.89800000000002</v>
      </c>
      <c r="EH99" s="102">
        <f>EH37+EH45+EH46</f>
        <v>534.60900000000004</v>
      </c>
      <c r="EI99" s="102">
        <f>EI37+EI45+EI46</f>
        <v>535.322</v>
      </c>
      <c r="EJ99" s="102"/>
      <c r="EK99" s="102"/>
      <c r="EL99" s="102">
        <f>EL37+EL45+EL46</f>
        <v>536.03700000000003</v>
      </c>
      <c r="EM99" s="102">
        <f>EM37+EM45+EM46</f>
        <v>536.755</v>
      </c>
      <c r="EN99" s="102">
        <f>EN37+EN45+EN46</f>
        <v>537.47500000000002</v>
      </c>
      <c r="EO99" s="102">
        <f>EO37+EO45+EO46</f>
        <v>538.19799999999998</v>
      </c>
      <c r="EP99" s="102"/>
      <c r="EQ99" s="102"/>
      <c r="ER99" s="102">
        <f>ER37+ER45+ER46</f>
        <v>538.923</v>
      </c>
      <c r="ES99" s="102">
        <f>ES37+ES45+ES46</f>
        <v>539.65</v>
      </c>
      <c r="ET99" s="102">
        <f>ET37+ET45+ET46</f>
        <v>540.38</v>
      </c>
      <c r="EU99" s="102">
        <f>EU37+EU45+EU46</f>
        <v>541.11199999999997</v>
      </c>
      <c r="EV99" s="102"/>
      <c r="EX99" s="102">
        <f>EX37+EX45+EX46</f>
        <v>541.84500000000003</v>
      </c>
      <c r="EY99" s="102">
        <f>EY37+EY45+EY46</f>
        <v>341.09500000000003</v>
      </c>
      <c r="EZ99" s="102">
        <f>EZ37+EZ45+EZ46</f>
        <v>341.476</v>
      </c>
      <c r="FA99" s="102">
        <f>FA37+FA45+FA46</f>
        <v>341.57059999999996</v>
      </c>
      <c r="FB99" s="543"/>
      <c r="FD99" s="543">
        <f>FD37+FD45+FD46</f>
        <v>341.87949999999995</v>
      </c>
      <c r="FE99" s="102">
        <f>FE37+FE45+FE46</f>
        <v>342.1884</v>
      </c>
      <c r="FF99" s="102">
        <f>FF37+FF45+FF46</f>
        <v>342.4973</v>
      </c>
      <c r="FG99" s="102">
        <f>FG37+FG45+FG46</f>
        <v>342.80619999999999</v>
      </c>
      <c r="FH99" s="102"/>
      <c r="FJ99" s="102">
        <f>FJ37+FJ45+FJ46</f>
        <v>343.11509999999998</v>
      </c>
      <c r="FK99" s="102">
        <f>FK37+FK45+FK46</f>
        <v>343.42399999999998</v>
      </c>
      <c r="FL99" s="102">
        <f>FL37+FL45+FL46</f>
        <v>343.73289999999997</v>
      </c>
      <c r="FM99" s="102">
        <f>FM37+FM45+FM46</f>
        <v>689.04179999999997</v>
      </c>
      <c r="FN99" s="102"/>
      <c r="FP99" s="102">
        <f>FP37+FP45+FP46</f>
        <v>689.35069999999996</v>
      </c>
      <c r="FQ99" s="102">
        <f>FQ37+FQ45+FQ46</f>
        <v>689.65959999999995</v>
      </c>
      <c r="FR99" s="102">
        <f>FR37+FR45+FR46</f>
        <v>689.96849999999995</v>
      </c>
      <c r="FS99" s="102">
        <f>FS37+FS45+FS46</f>
        <v>345</v>
      </c>
      <c r="FT99" s="102"/>
      <c r="FV99" s="102">
        <f>FV37+FV45+FV46</f>
        <v>345</v>
      </c>
      <c r="FW99" s="102">
        <f>FW37+FW45+FW46</f>
        <v>345</v>
      </c>
      <c r="FX99" s="102">
        <f>FX37+FX45+FX46</f>
        <v>345</v>
      </c>
      <c r="FY99" s="102">
        <f>FY37+FY45+FY46</f>
        <v>345</v>
      </c>
      <c r="FZ99" s="102"/>
      <c r="GB99" s="102">
        <f>GB37+GB45+GB46</f>
        <v>345</v>
      </c>
      <c r="GC99" s="102">
        <f>GC37+GC45+GC46</f>
        <v>345</v>
      </c>
      <c r="GD99" s="102">
        <f>GD37+GD45+GD46</f>
        <v>345</v>
      </c>
      <c r="GE99" s="102">
        <f>GE37+GE45+GE46</f>
        <v>345</v>
      </c>
      <c r="GF99" s="102"/>
      <c r="GH99" s="102">
        <f>GH37+GH45+GH46</f>
        <v>345</v>
      </c>
      <c r="GI99" s="102">
        <f>GI37+GI45+GI46</f>
        <v>345</v>
      </c>
      <c r="GJ99" s="102">
        <f>GJ37+GJ45+GJ46</f>
        <v>345</v>
      </c>
      <c r="GK99" s="102">
        <f>GK37+GK45+GK46</f>
        <v>0</v>
      </c>
      <c r="GL99" s="102"/>
      <c r="GN99" s="102">
        <f>GN37+GN45+GN46</f>
        <v>0</v>
      </c>
      <c r="GO99" s="102">
        <f>GO37+GO45+GO46</f>
        <v>0</v>
      </c>
      <c r="GP99" s="102">
        <f>GP37+GP45+GP46</f>
        <v>0</v>
      </c>
      <c r="GQ99" s="102">
        <f>GQ37+GQ45+GQ46</f>
        <v>0</v>
      </c>
      <c r="GR99" s="102"/>
      <c r="GT99" s="102">
        <f>GT37+GT45+GT46</f>
        <v>0</v>
      </c>
      <c r="GU99" s="102">
        <f>GU37+GU45+GU46</f>
        <v>0</v>
      </c>
      <c r="GV99" s="102">
        <f>GV37+GV45+GV46</f>
        <v>0</v>
      </c>
      <c r="GW99" s="102">
        <f>GW37+GW45+GW46</f>
        <v>0</v>
      </c>
      <c r="GX99" s="102"/>
      <c r="GZ99" s="102">
        <f>GZ37+GZ45+GZ46</f>
        <v>0</v>
      </c>
      <c r="HA99" s="102">
        <f>HA37+HA45+HA46</f>
        <v>0</v>
      </c>
      <c r="HB99" s="102">
        <f>HB37+HB45+HB46</f>
        <v>0</v>
      </c>
      <c r="HC99" s="102">
        <f>HC37+HC45+HC46</f>
        <v>0</v>
      </c>
      <c r="HD99" s="102"/>
      <c r="HF99" s="102">
        <f>HF37+HF45+HF46</f>
        <v>0</v>
      </c>
      <c r="HG99" s="102">
        <f>HG37+HG45+HG46</f>
        <v>0</v>
      </c>
      <c r="HH99" s="102">
        <f>HH37+HH45+HH46</f>
        <v>0</v>
      </c>
      <c r="HI99" s="102">
        <f>HI37+HI45+HI46</f>
        <v>0</v>
      </c>
      <c r="HJ99" s="102"/>
    </row>
    <row r="100" spans="1:218">
      <c r="B100" s="31" t="s">
        <v>79</v>
      </c>
      <c r="AZ100" s="102"/>
      <c r="BA100" s="102"/>
      <c r="BB100" s="102"/>
      <c r="BC100" s="102"/>
      <c r="BF100" s="102"/>
      <c r="BG100" s="102"/>
      <c r="BH100" s="102"/>
      <c r="BI100" s="102"/>
      <c r="BL100" s="102"/>
      <c r="BM100" s="102"/>
      <c r="BN100" s="102"/>
      <c r="BO100" s="102"/>
      <c r="BR100" s="102"/>
      <c r="BS100" s="102"/>
      <c r="BT100" s="102"/>
      <c r="BU100" s="102"/>
      <c r="BX100" s="102"/>
      <c r="BY100" s="102"/>
      <c r="BZ100" s="102"/>
      <c r="CA100" s="102"/>
      <c r="CD100" s="102"/>
      <c r="CE100" s="102"/>
      <c r="CF100" s="102"/>
      <c r="CG100" s="102"/>
      <c r="CJ100" s="102"/>
      <c r="CK100" s="102"/>
      <c r="CL100" s="102"/>
      <c r="CM100" s="102"/>
      <c r="CP100" s="102"/>
      <c r="CQ100" s="102"/>
      <c r="CR100" s="102"/>
      <c r="CS100" s="102"/>
      <c r="CV100" s="102"/>
      <c r="CW100" s="102"/>
      <c r="CX100" s="102"/>
      <c r="CY100" s="102"/>
      <c r="DB100" s="102"/>
      <c r="DC100" s="102"/>
      <c r="DD100" s="102"/>
      <c r="DE100" s="102"/>
      <c r="DH100" s="102">
        <f>DH11+DH12</f>
        <v>15.173</v>
      </c>
      <c r="DI100" s="102">
        <f>DI11+DI12</f>
        <v>9.4350000000000005</v>
      </c>
      <c r="DJ100" s="102">
        <f>DJ11+DJ12</f>
        <v>118.44</v>
      </c>
      <c r="DK100" s="102">
        <f>DK11+DK12</f>
        <v>9.8109999999999999</v>
      </c>
      <c r="DL100" s="102"/>
      <c r="DM100" s="102"/>
      <c r="DN100" s="102">
        <f>DN11+DN12</f>
        <v>13.195</v>
      </c>
      <c r="DO100" s="102">
        <f>DO11+DO12</f>
        <v>167.43600000000001</v>
      </c>
      <c r="DP100" s="102">
        <f>DP11+DP12</f>
        <v>178.89099999999999</v>
      </c>
      <c r="DQ100" s="102">
        <f>DQ11+DQ12</f>
        <v>173.01599999999999</v>
      </c>
      <c r="DR100" s="102"/>
      <c r="DS100" s="102"/>
      <c r="DT100" s="102">
        <f>DT11+DT12</f>
        <v>124.992</v>
      </c>
      <c r="DU100" s="102">
        <f>DU11+DU12</f>
        <v>331.31100000000004</v>
      </c>
      <c r="DV100" s="102">
        <f>DV11+DV12</f>
        <v>265.23599999999999</v>
      </c>
      <c r="DW100" s="102">
        <f>DW11+DW12</f>
        <v>250.63200000000001</v>
      </c>
      <c r="DX100" s="102"/>
      <c r="DY100" s="102"/>
      <c r="DZ100" s="102">
        <f>DZ11+DZ12</f>
        <v>623.08900000000006</v>
      </c>
      <c r="EA100" s="102">
        <f>EA11+EA12</f>
        <v>372.899</v>
      </c>
      <c r="EB100" s="102">
        <f>EB11+EB12</f>
        <v>343.726</v>
      </c>
      <c r="EC100" s="102">
        <f>EC11+EC12</f>
        <v>316.827</v>
      </c>
      <c r="ED100" s="102"/>
      <c r="EE100" s="102"/>
      <c r="EF100" s="102">
        <f>EF11+EF12</f>
        <v>305.89600000000002</v>
      </c>
      <c r="EG100" s="102">
        <f>EG11+EG12</f>
        <v>283.637</v>
      </c>
      <c r="EH100" s="102">
        <f>EH11+EH12</f>
        <v>266.12599999999998</v>
      </c>
      <c r="EI100" s="102">
        <f>EI11+EI12</f>
        <v>263.18</v>
      </c>
      <c r="EJ100" s="102"/>
      <c r="EK100" s="102"/>
      <c r="EL100" s="102">
        <f>EL11+EL12</f>
        <v>275.60899999999998</v>
      </c>
      <c r="EM100" s="102">
        <f>EM11+EM12</f>
        <v>289.07400000000001</v>
      </c>
      <c r="EN100" s="102">
        <f>EN11+EN12</f>
        <v>306.23899999999998</v>
      </c>
      <c r="EO100" s="102">
        <f>EO11+EO12</f>
        <v>342.488</v>
      </c>
      <c r="EP100" s="102"/>
      <c r="EQ100" s="102"/>
      <c r="ER100" s="102">
        <f>ER11+ER12</f>
        <v>331.91399999999999</v>
      </c>
      <c r="ES100" s="102">
        <f>ES11+ES12</f>
        <v>355.08499999999998</v>
      </c>
      <c r="ET100" s="102">
        <f>ET11+ET12</f>
        <v>361.99200000000002</v>
      </c>
      <c r="EU100" s="102">
        <f>EU11+EU12</f>
        <v>367.012</v>
      </c>
      <c r="EV100" s="102"/>
      <c r="EX100" s="102">
        <f>EX11+EX12</f>
        <v>346.19400000000002</v>
      </c>
      <c r="EY100" s="102">
        <f>EY11+EY12</f>
        <v>154.72300000000001</v>
      </c>
      <c r="EZ100" s="102">
        <f>EZ11+EZ12</f>
        <v>164.11699999999999</v>
      </c>
      <c r="FA100" s="102">
        <f>FA11+FA12</f>
        <v>170.48055307199783</v>
      </c>
      <c r="FB100" s="543"/>
      <c r="FD100" s="543">
        <f>FD11+FD12</f>
        <v>171.57358573587354</v>
      </c>
      <c r="FE100" s="102">
        <f>FE11+FE12</f>
        <v>171.349555312668</v>
      </c>
      <c r="FF100" s="102">
        <f>FF11+FF12</f>
        <v>176.55256751239384</v>
      </c>
      <c r="FG100" s="102">
        <f>FG11+FG12</f>
        <v>184.89137458511718</v>
      </c>
      <c r="FH100" s="102"/>
      <c r="FJ100" s="102">
        <f>FJ11+FJ12</f>
        <v>199.07862125188333</v>
      </c>
      <c r="FK100" s="102">
        <f>FK11+FK12</f>
        <v>205.32606193596533</v>
      </c>
      <c r="FL100" s="102">
        <f>FL11+FL12</f>
        <v>212.27825337228288</v>
      </c>
      <c r="FM100" s="102">
        <f>FM11+FM12</f>
        <v>563.1196620316108</v>
      </c>
      <c r="FN100" s="102"/>
      <c r="FP100" s="102">
        <f>FP11+FP12</f>
        <v>580.8979387676394</v>
      </c>
      <c r="FQ100" s="102">
        <f>FQ11+FQ12</f>
        <v>590.50305011649255</v>
      </c>
      <c r="FR100" s="102">
        <f>FR11+FR12</f>
        <v>601.19391224107937</v>
      </c>
      <c r="FS100" s="102">
        <f>FS11+FS12</f>
        <v>267.78368595191949</v>
      </c>
      <c r="FT100" s="102"/>
      <c r="FV100" s="102">
        <f>FV11+FV12</f>
        <v>287.61550851658222</v>
      </c>
      <c r="FW100" s="102">
        <f>FW11+FW12</f>
        <v>297.54496199278339</v>
      </c>
      <c r="FX100" s="102">
        <f>FX11+FX12</f>
        <v>308.75374532613404</v>
      </c>
      <c r="FY100" s="102">
        <f>FY11+FY12</f>
        <v>321.2937519803271</v>
      </c>
      <c r="FZ100" s="102"/>
      <c r="GB100" s="102">
        <f>GB11+GB12</f>
        <v>348.25862797253359</v>
      </c>
      <c r="GC100" s="102">
        <f>GC11+GC12</f>
        <v>364.4908058345581</v>
      </c>
      <c r="GD100" s="102">
        <f>GD11+GD12</f>
        <v>382.3570884770092</v>
      </c>
      <c r="GE100" s="102">
        <f>GE11+GE12</f>
        <v>401.81003556797015</v>
      </c>
      <c r="GF100" s="102"/>
      <c r="GH100" s="102">
        <f>GH11+GH12</f>
        <v>436.23283468970698</v>
      </c>
      <c r="GI100" s="102">
        <f>GI11+GI12</f>
        <v>459.26517305998573</v>
      </c>
      <c r="GJ100" s="102">
        <f>GJ11+GJ12</f>
        <v>484.36882609150962</v>
      </c>
      <c r="GK100" s="102">
        <f>GK11+GK12</f>
        <v>168.1010311029226</v>
      </c>
      <c r="GL100" s="102"/>
      <c r="GN100" s="102">
        <f>GN11+GN12</f>
        <v>212.81470164128132</v>
      </c>
      <c r="GO100" s="102">
        <f>GO11+GO12</f>
        <v>245.55158335201898</v>
      </c>
      <c r="GP100" s="102">
        <f>GP11+GP12</f>
        <v>280.79626472116183</v>
      </c>
      <c r="GQ100" s="102">
        <f>GQ11+GQ12</f>
        <v>318.24916544814482</v>
      </c>
      <c r="GR100" s="102"/>
      <c r="GT100" s="102">
        <f>GT11+GT12</f>
        <v>371.52769290786046</v>
      </c>
      <c r="GU100" s="102">
        <f>GU11+GU12</f>
        <v>412.29477378332433</v>
      </c>
      <c r="GV100" s="102">
        <f>GV11+GV12</f>
        <v>456.05480298194209</v>
      </c>
      <c r="GW100" s="102">
        <f>GW11+GW12</f>
        <v>502.36840632637393</v>
      </c>
      <c r="GX100" s="102"/>
      <c r="GZ100" s="102">
        <f>GZ11+GZ12</f>
        <v>565.39784923585717</v>
      </c>
      <c r="HA100" s="102">
        <f>HA11+HA12</f>
        <v>615.44087767620056</v>
      </c>
      <c r="HB100" s="102">
        <f>HB11+HB12</f>
        <v>669.00453343483957</v>
      </c>
      <c r="HC100" s="102">
        <f>HC11+HC12</f>
        <v>725.48995233167102</v>
      </c>
      <c r="HD100" s="102"/>
      <c r="HF100" s="102">
        <f>HF11+HF12</f>
        <v>799.14521462713049</v>
      </c>
      <c r="HG100" s="102">
        <f>HG11+HG12</f>
        <v>859.39622741815413</v>
      </c>
      <c r="HH100" s="102">
        <f>HH11+HH12</f>
        <v>923.72509037523332</v>
      </c>
      <c r="HI100" s="102">
        <f>HI11+HI12</f>
        <v>991.35918660568325</v>
      </c>
      <c r="HJ100" s="102"/>
    </row>
    <row r="101" spans="1:218">
      <c r="B101" s="31" t="s">
        <v>480</v>
      </c>
      <c r="AZ101" s="102"/>
      <c r="BA101" s="102"/>
      <c r="BB101" s="102"/>
      <c r="BC101" s="102"/>
      <c r="BF101" s="102"/>
      <c r="BG101" s="102"/>
      <c r="BH101" s="102"/>
      <c r="BI101" s="102"/>
      <c r="BL101" s="102"/>
      <c r="BM101" s="102"/>
      <c r="BN101" s="102"/>
      <c r="BO101" s="102"/>
      <c r="BR101" s="102"/>
      <c r="BS101" s="102"/>
      <c r="BT101" s="102"/>
      <c r="BU101" s="102"/>
      <c r="BX101" s="102"/>
      <c r="BY101" s="102"/>
      <c r="BZ101" s="102"/>
      <c r="CA101" s="102"/>
      <c r="CD101" s="102"/>
      <c r="CE101" s="102"/>
      <c r="CF101" s="102"/>
      <c r="CG101" s="102"/>
      <c r="CJ101" s="102"/>
      <c r="CK101" s="102"/>
      <c r="CL101" s="102"/>
      <c r="CM101" s="102"/>
      <c r="CP101" s="102"/>
      <c r="CQ101" s="102"/>
      <c r="CR101" s="102"/>
      <c r="CS101" s="102"/>
      <c r="CV101" s="102"/>
      <c r="CW101" s="102"/>
      <c r="CX101" s="102"/>
      <c r="CY101" s="102"/>
      <c r="DB101" s="102"/>
      <c r="DC101" s="102"/>
      <c r="DD101" s="102"/>
      <c r="DE101" s="102"/>
      <c r="DH101" s="102">
        <f>DH99-DH100</f>
        <v>79.882999999999996</v>
      </c>
      <c r="DI101" s="102">
        <f>DI99-DI100</f>
        <v>123.25199999999998</v>
      </c>
      <c r="DJ101" s="102">
        <f>DJ99-DJ100</f>
        <v>-14.796000000000006</v>
      </c>
      <c r="DK101" s="102">
        <f>DK99-DK100</f>
        <v>96.192000000000007</v>
      </c>
      <c r="DL101" s="102"/>
      <c r="DM101" s="102"/>
      <c r="DN101" s="102">
        <f>DN99-DN100</f>
        <v>90.926000000000016</v>
      </c>
      <c r="DO101" s="102">
        <f>DO99-DO100</f>
        <v>-63.404000000000011</v>
      </c>
      <c r="DP101" s="102">
        <f>DP99-DP100</f>
        <v>-75.631999999999991</v>
      </c>
      <c r="DQ101" s="102">
        <f>DQ99-DQ100</f>
        <v>-72.988</v>
      </c>
      <c r="DR101" s="102"/>
      <c r="DS101" s="102"/>
      <c r="DT101" s="102">
        <f>DT99-DT100</f>
        <v>-26.959000000000003</v>
      </c>
      <c r="DU101" s="102">
        <f>DU99-DU100</f>
        <v>-164.85600000000002</v>
      </c>
      <c r="DV101" s="102">
        <f>DV99-DV100</f>
        <v>-97.396999999999991</v>
      </c>
      <c r="DW101" s="102">
        <f>DW99-DW100</f>
        <v>-81.544999999999987</v>
      </c>
      <c r="DX101" s="102"/>
      <c r="DY101" s="102"/>
      <c r="DZ101" s="102">
        <f>DZ99-DZ100</f>
        <v>-92.02800000000002</v>
      </c>
      <c r="EA101" s="102">
        <f>EA99-EA100</f>
        <v>158.62599999999998</v>
      </c>
      <c r="EB101" s="102">
        <f>EB99-EB100</f>
        <v>188.20500000000004</v>
      </c>
      <c r="EC101" s="102">
        <f>EC99-EC100</f>
        <v>215.72699999999998</v>
      </c>
      <c r="ED101" s="102"/>
      <c r="EE101" s="102"/>
      <c r="EF101" s="102">
        <f>EF99-EF100</f>
        <v>227.29299999999995</v>
      </c>
      <c r="EG101" s="102">
        <f>EG99-EG100</f>
        <v>250.26100000000002</v>
      </c>
      <c r="EH101" s="102">
        <f>EH99-EH100</f>
        <v>268.48300000000006</v>
      </c>
      <c r="EI101" s="102">
        <f>EI99-EI100</f>
        <v>272.142</v>
      </c>
      <c r="EJ101" s="102"/>
      <c r="EK101" s="102"/>
      <c r="EL101" s="102">
        <f>EL99-EL100</f>
        <v>260.42800000000005</v>
      </c>
      <c r="EM101" s="102">
        <f>EM99-EM100</f>
        <v>247.68099999999998</v>
      </c>
      <c r="EN101" s="102">
        <f>EN99-EN100</f>
        <v>231.23600000000005</v>
      </c>
      <c r="EO101" s="102">
        <f>EO99-EO100</f>
        <v>195.70999999999998</v>
      </c>
      <c r="EP101" s="102"/>
      <c r="EQ101" s="102"/>
      <c r="ER101" s="102">
        <f>ER99-ER100</f>
        <v>207.00900000000001</v>
      </c>
      <c r="ES101" s="102">
        <f>ES99-ES100</f>
        <v>184.565</v>
      </c>
      <c r="ET101" s="102">
        <f>ET99-ET100</f>
        <v>178.38799999999998</v>
      </c>
      <c r="EU101" s="102">
        <f>EU99-EU100</f>
        <v>174.09999999999997</v>
      </c>
      <c r="EV101" s="102"/>
      <c r="EX101" s="102">
        <f>EX99-EX100</f>
        <v>195.65100000000001</v>
      </c>
      <c r="EY101" s="102">
        <f>EY99-EY100</f>
        <v>186.37200000000001</v>
      </c>
      <c r="EZ101" s="102">
        <f>EZ99-EZ100</f>
        <v>177.35900000000001</v>
      </c>
      <c r="FA101" s="102">
        <f>FA99-FA100</f>
        <v>171.09004692800212</v>
      </c>
      <c r="FB101" s="543"/>
      <c r="FD101" s="543">
        <f>FD99-FD100</f>
        <v>170.30591426412641</v>
      </c>
      <c r="FE101" s="102">
        <f>FE99-FE100</f>
        <v>170.838844687332</v>
      </c>
      <c r="FF101" s="102">
        <f>FF99-FF100</f>
        <v>165.94473248760616</v>
      </c>
      <c r="FG101" s="102">
        <f>FG99-FG100</f>
        <v>157.91482541488281</v>
      </c>
      <c r="FH101" s="102"/>
      <c r="FJ101" s="102">
        <f>FJ99-FJ100</f>
        <v>144.03647874811665</v>
      </c>
      <c r="FK101" s="102">
        <f>FK99-FK100</f>
        <v>138.09793806403465</v>
      </c>
      <c r="FL101" s="102">
        <f>FL99-FL100</f>
        <v>131.4546466277171</v>
      </c>
      <c r="FM101" s="102">
        <f>FM99-FM100</f>
        <v>125.92213796838917</v>
      </c>
      <c r="FN101" s="102"/>
      <c r="FP101" s="102">
        <f>FP99-FP100</f>
        <v>108.45276123236056</v>
      </c>
      <c r="FQ101" s="102">
        <f>FQ99-FQ100</f>
        <v>99.15654988350741</v>
      </c>
      <c r="FR101" s="102">
        <f>FR99-FR100</f>
        <v>88.774587758920575</v>
      </c>
      <c r="FS101" s="102">
        <f>FS99-FS100</f>
        <v>77.216314048080505</v>
      </c>
      <c r="FT101" s="102"/>
      <c r="FV101" s="102">
        <f>FV99-FV100</f>
        <v>57.384491483417776</v>
      </c>
      <c r="FW101" s="102">
        <f>FW99-FW100</f>
        <v>47.455038007216615</v>
      </c>
      <c r="FX101" s="102">
        <f>FX99-FX100</f>
        <v>36.246254673865963</v>
      </c>
      <c r="FY101" s="102">
        <f>FY99-FY100</f>
        <v>23.706248019672898</v>
      </c>
      <c r="FZ101" s="102"/>
      <c r="GB101" s="102">
        <f>GB99-GB100</f>
        <v>-3.2586279725335885</v>
      </c>
      <c r="GC101" s="102">
        <f>GC99-GC100</f>
        <v>-19.490805834558103</v>
      </c>
      <c r="GD101" s="102">
        <f>GD99-GD100</f>
        <v>-37.357088477009199</v>
      </c>
      <c r="GE101" s="102">
        <f>GE99-GE100</f>
        <v>-56.810035567970147</v>
      </c>
      <c r="GF101" s="102"/>
      <c r="GH101" s="102">
        <f>GH99-GH100</f>
        <v>-91.232834689706976</v>
      </c>
      <c r="GI101" s="102">
        <f>GI99-GI100</f>
        <v>-114.26517305998573</v>
      </c>
      <c r="GJ101" s="102">
        <f>GJ99-GJ100</f>
        <v>-139.36882609150962</v>
      </c>
      <c r="GK101" s="102">
        <f>GK99-GK100</f>
        <v>-168.1010311029226</v>
      </c>
      <c r="GL101" s="102"/>
      <c r="GN101" s="102">
        <f>GN99-GN100</f>
        <v>-212.81470164128132</v>
      </c>
      <c r="GO101" s="102">
        <f>GO99-GO100</f>
        <v>-245.55158335201898</v>
      </c>
      <c r="GP101" s="102">
        <f>GP99-GP100</f>
        <v>-280.79626472116183</v>
      </c>
      <c r="GQ101" s="102">
        <f>GQ99-GQ100</f>
        <v>-318.24916544814482</v>
      </c>
      <c r="GR101" s="102"/>
      <c r="GT101" s="102">
        <f>GT99-GT100</f>
        <v>-371.52769290786046</v>
      </c>
      <c r="GU101" s="102">
        <f>GU99-GU100</f>
        <v>-412.29477378332433</v>
      </c>
      <c r="GV101" s="102">
        <f>GV99-GV100</f>
        <v>-456.05480298194209</v>
      </c>
      <c r="GW101" s="102">
        <f>GW99-GW100</f>
        <v>-502.36840632637393</v>
      </c>
      <c r="GX101" s="102"/>
      <c r="GZ101" s="102">
        <f>GZ99-GZ100</f>
        <v>-565.39784923585717</v>
      </c>
      <c r="HA101" s="102">
        <f>HA99-HA100</f>
        <v>-615.44087767620056</v>
      </c>
      <c r="HB101" s="102">
        <f>HB99-HB100</f>
        <v>-669.00453343483957</v>
      </c>
      <c r="HC101" s="102">
        <f>HC99-HC100</f>
        <v>-725.48995233167102</v>
      </c>
      <c r="HD101" s="102"/>
      <c r="HF101" s="102">
        <f>HF99-HF100</f>
        <v>-799.14521462713049</v>
      </c>
      <c r="HG101" s="102">
        <f>HG99-HG100</f>
        <v>-859.39622741815413</v>
      </c>
      <c r="HH101" s="102">
        <f>HH99-HH100</f>
        <v>-923.72509037523332</v>
      </c>
      <c r="HI101" s="102">
        <f>HI99-HI100</f>
        <v>-991.35918660568325</v>
      </c>
      <c r="HJ101" s="102"/>
    </row>
    <row r="102" spans="1:218">
      <c r="C102" s="100"/>
      <c r="BH102" s="102"/>
      <c r="BI102" s="102"/>
      <c r="BL102" s="105"/>
      <c r="BM102" s="105"/>
      <c r="BN102" s="105"/>
      <c r="BO102" s="105"/>
      <c r="BR102" s="105"/>
      <c r="BS102" s="105"/>
      <c r="BT102" s="105"/>
      <c r="BU102" s="105"/>
      <c r="BX102" s="105"/>
      <c r="BY102" s="105"/>
      <c r="BZ102" s="105"/>
      <c r="CA102" s="105"/>
      <c r="CD102" s="105"/>
      <c r="CE102" s="105"/>
      <c r="CF102" s="105"/>
      <c r="CG102" s="105"/>
      <c r="CJ102" s="105"/>
      <c r="CK102" s="105"/>
      <c r="CL102" s="105"/>
      <c r="CM102" s="105"/>
      <c r="CP102" s="105"/>
      <c r="CQ102" s="105"/>
      <c r="CR102" s="105"/>
      <c r="CS102" s="105"/>
      <c r="CV102" s="105"/>
      <c r="CW102" s="105"/>
      <c r="CX102" s="105"/>
      <c r="CY102" s="105"/>
      <c r="DB102" s="105"/>
      <c r="DC102" s="105"/>
      <c r="DD102" s="105"/>
      <c r="DE102" s="105"/>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c r="EO102" s="102"/>
      <c r="EP102" s="102"/>
      <c r="EQ102" s="102"/>
      <c r="ER102" s="102"/>
      <c r="ES102" s="102"/>
      <c r="ET102" s="102"/>
      <c r="EU102" s="102"/>
      <c r="EV102" s="102"/>
      <c r="EX102" s="102"/>
      <c r="EY102" s="102"/>
      <c r="EZ102" s="102"/>
      <c r="FA102" s="102"/>
      <c r="FB102" s="543"/>
      <c r="FD102" s="543"/>
      <c r="FE102" s="102"/>
      <c r="FF102" s="102"/>
      <c r="FG102" s="102"/>
      <c r="FH102" s="102"/>
      <c r="FJ102" s="102"/>
      <c r="FK102" s="102"/>
      <c r="FL102" s="102"/>
      <c r="FM102" s="102"/>
      <c r="FN102" s="102"/>
      <c r="FP102" s="102"/>
      <c r="FQ102" s="102"/>
      <c r="FR102" s="102"/>
      <c r="FS102" s="102"/>
      <c r="FT102" s="102"/>
      <c r="FV102" s="102"/>
      <c r="FW102" s="102"/>
      <c r="FX102" s="102"/>
      <c r="FY102" s="102"/>
      <c r="FZ102" s="102"/>
      <c r="GB102" s="102"/>
      <c r="GC102" s="102"/>
      <c r="GD102" s="102"/>
      <c r="GE102" s="102"/>
      <c r="GF102" s="102"/>
      <c r="GH102" s="102"/>
      <c r="GI102" s="102"/>
      <c r="GJ102" s="102"/>
      <c r="GK102" s="102"/>
      <c r="GL102" s="102"/>
      <c r="GN102" s="102"/>
      <c r="GO102" s="102"/>
      <c r="GP102" s="102"/>
      <c r="GQ102" s="102"/>
      <c r="GR102" s="102"/>
      <c r="GT102" s="102"/>
      <c r="GU102" s="102"/>
      <c r="GV102" s="102"/>
      <c r="GW102" s="102"/>
      <c r="GX102" s="102"/>
      <c r="GZ102" s="102"/>
      <c r="HA102" s="102"/>
      <c r="HB102" s="102"/>
      <c r="HC102" s="102"/>
      <c r="HD102" s="102"/>
      <c r="HF102" s="102"/>
      <c r="HG102" s="102"/>
      <c r="HH102" s="102"/>
      <c r="HI102" s="102"/>
      <c r="HJ102" s="102"/>
    </row>
    <row r="103" spans="1:218">
      <c r="B103" s="31" t="s">
        <v>609</v>
      </c>
      <c r="AU103" s="34"/>
      <c r="AV103" s="34"/>
      <c r="AW103" s="34"/>
      <c r="AZ103" s="34"/>
      <c r="BA103" s="34"/>
      <c r="BB103" s="34"/>
      <c r="BC103" s="34"/>
      <c r="BF103" s="34"/>
      <c r="BG103" s="34"/>
      <c r="BH103" s="34"/>
      <c r="BI103" s="34"/>
      <c r="BL103" s="34"/>
      <c r="BM103" s="34"/>
      <c r="BN103" s="34"/>
      <c r="BO103" s="34"/>
      <c r="BR103" s="34"/>
      <c r="BS103" s="34"/>
      <c r="BT103" s="34"/>
      <c r="BU103" s="34"/>
      <c r="BX103" s="34"/>
      <c r="BY103" s="34"/>
      <c r="BZ103" s="34"/>
      <c r="CA103" s="34"/>
      <c r="CD103" s="34"/>
      <c r="CE103" s="34"/>
      <c r="CF103" s="34"/>
      <c r="CG103" s="34"/>
      <c r="CJ103" s="34"/>
      <c r="CK103" s="34"/>
      <c r="CL103" s="34"/>
      <c r="CM103" s="34"/>
      <c r="CP103" s="34"/>
      <c r="CQ103" s="34"/>
      <c r="CR103" s="34"/>
      <c r="CS103" s="34"/>
      <c r="CV103" s="34"/>
      <c r="CW103" s="34"/>
      <c r="CX103" s="34"/>
      <c r="CY103" s="34"/>
      <c r="DB103" s="34"/>
      <c r="DC103" s="34"/>
      <c r="DD103" s="34"/>
      <c r="DE103" s="34"/>
      <c r="DH103" s="662">
        <f>DH99/(DH99+DH60)</f>
        <v>0.31364164290993563</v>
      </c>
      <c r="DI103" s="662">
        <f>DI99/(DI99+DI60)</f>
        <v>0.44691407092045699</v>
      </c>
      <c r="DJ103" s="662">
        <f>DJ99/(DJ99+DJ60)</f>
        <v>0.25452661203380128</v>
      </c>
      <c r="DK103" s="662">
        <f>DK99/(DK99+DK60)</f>
        <v>0.24857309014505941</v>
      </c>
      <c r="DL103" s="448"/>
      <c r="DM103" s="448"/>
      <c r="DN103" s="662">
        <f>DN99/(DN99+DN60)</f>
        <v>0.24329098602936194</v>
      </c>
      <c r="DO103" s="662">
        <f>DO99/(DO99+DO60)</f>
        <v>0.17520706810427003</v>
      </c>
      <c r="DP103" s="662">
        <f>DP99/(DP99+DP60)</f>
        <v>0.17202207021553778</v>
      </c>
      <c r="DQ103" s="662">
        <f>DQ99/(DQ99+DQ60)</f>
        <v>0.16467249224609667</v>
      </c>
      <c r="DR103" s="448"/>
      <c r="DS103" s="448"/>
      <c r="DT103" s="662">
        <f>DT99/(DT99+DT60)</f>
        <v>0.16255496819637988</v>
      </c>
      <c r="DU103" s="662">
        <f>DU99/(DU99+DU60)</f>
        <v>0.20282471694342769</v>
      </c>
      <c r="DV103" s="662">
        <f>DV99/(DV99+DV60)</f>
        <v>0.20119707217196794</v>
      </c>
      <c r="DW103" s="662">
        <f>DW99/(DW99+DW60)</f>
        <v>0.19584285500839146</v>
      </c>
      <c r="DX103" s="448"/>
      <c r="DY103" s="448"/>
      <c r="DZ103" s="662">
        <f>DZ99/(DZ99+DZ60)</f>
        <v>0.38628939280973251</v>
      </c>
      <c r="EA103" s="662">
        <f>EA99/(EA99+EA60)</f>
        <v>0.31640596398677767</v>
      </c>
      <c r="EB103" s="662">
        <f>EB99/(EB99+EB60)</f>
        <v>0.3186787972029313</v>
      </c>
      <c r="EC103" s="662">
        <f>EC99/(EC99+EC60)</f>
        <v>0.3245635900345617</v>
      </c>
      <c r="ED103" s="448"/>
      <c r="EE103" s="448"/>
      <c r="EF103" s="662">
        <f>EF99/(EF99+EF60)</f>
        <v>0.33154540530893994</v>
      </c>
      <c r="EG103" s="662">
        <f>EG99/(EG99+EG60)</f>
        <v>0.33846345005791117</v>
      </c>
      <c r="EH103" s="662">
        <f>EH99/(EH99+EH60)</f>
        <v>0.3454445827951334</v>
      </c>
      <c r="EI103" s="662">
        <f>EI99/(EI99+EI60)</f>
        <v>0.34912038712748922</v>
      </c>
      <c r="EJ103" s="448"/>
      <c r="EK103" s="448"/>
      <c r="EL103" s="662">
        <f>EL99/(EL99+EL60)</f>
        <v>0.35487411775843619</v>
      </c>
      <c r="EM103" s="662">
        <f>EM99/(EM99+EM60)</f>
        <v>0.35952716338892138</v>
      </c>
      <c r="EN103" s="662">
        <f>EN99/(EN99+EN60)</f>
        <v>0.36195967009292868</v>
      </c>
      <c r="EO103" s="662">
        <f>EO99/(EO99+EO60)</f>
        <v>0.36371242148087335</v>
      </c>
      <c r="EP103" s="448"/>
      <c r="EQ103" s="448"/>
      <c r="ER103" s="662">
        <f>ER99/(ER99+ER60)</f>
        <v>0.36853644142613207</v>
      </c>
      <c r="ES103" s="662">
        <f>ES99/(ES99+ES60)</f>
        <v>0.37075739900270283</v>
      </c>
      <c r="ET103" s="711">
        <f>ET99/(ET99+ET60)</f>
        <v>0.3730386099586494</v>
      </c>
      <c r="EU103" s="711">
        <f>EU99/(EU99+EU60)</f>
        <v>0.37487382668341351</v>
      </c>
      <c r="EV103" s="436"/>
      <c r="EX103" s="711">
        <f>EX99/(EX99+EX60)</f>
        <v>0.37888423733329046</v>
      </c>
      <c r="EY103" s="662">
        <f>EY99/(EY99+EY60)</f>
        <v>0.28540290427441251</v>
      </c>
      <c r="EZ103" s="711">
        <f>EZ99/(EZ99+EZ60)</f>
        <v>0.28944383886296093</v>
      </c>
      <c r="FA103" s="711">
        <f>FA99/(FA99+FA60)</f>
        <v>0.28753510528344089</v>
      </c>
      <c r="FB103" s="934"/>
      <c r="FD103" s="872">
        <f>FD99/(FD99+FD60)</f>
        <v>0.28774087057153308</v>
      </c>
      <c r="FE103" s="662">
        <f>FE99/(FE99+FE60)</f>
        <v>0.28726587727964864</v>
      </c>
      <c r="FF103" s="662">
        <f>FF99/(FF99+FF60)</f>
        <v>0.28564255022007012</v>
      </c>
      <c r="FG103" s="662">
        <f>FG99/(FG99+FG60)</f>
        <v>0.28352243889633316</v>
      </c>
      <c r="FH103" s="436"/>
      <c r="FJ103" s="662">
        <f>FJ99/(FJ99+FJ60)</f>
        <v>0.28154126617079489</v>
      </c>
      <c r="FK103" s="662">
        <f>FK99/(FK99+FK60)</f>
        <v>0.27945176050786774</v>
      </c>
      <c r="FL103" s="662">
        <f>FL99/(FL99+FL60)</f>
        <v>0.27729252442179025</v>
      </c>
      <c r="FM103" s="662">
        <f>FM99/(FM99+FM60)</f>
        <v>0.43242779003444287</v>
      </c>
      <c r="FN103" s="436"/>
      <c r="FP103" s="662">
        <f>FP99/(FP99+FP60)</f>
        <v>0.42902113884978993</v>
      </c>
      <c r="FQ103" s="662">
        <f>FQ99/(FQ99+FQ60)</f>
        <v>0.42541626947442807</v>
      </c>
      <c r="FR103" s="662">
        <f>FR99/(FR99+FR60)</f>
        <v>0.42167835153325162</v>
      </c>
      <c r="FS103" s="662">
        <f>FS99/(FS99+FS60)</f>
        <v>0.26405416163096168</v>
      </c>
      <c r="FT103" s="436"/>
      <c r="FV103" s="662">
        <f>FV99/(FV99+FV60)</f>
        <v>0.261264246259646</v>
      </c>
      <c r="FW103" s="662">
        <f>FW99/(FW99+FW60)</f>
        <v>0.25828304337346281</v>
      </c>
      <c r="FX103" s="662">
        <f>FX99/(FX99+FX60)</f>
        <v>0.25520234893760529</v>
      </c>
      <c r="FY103" s="662">
        <f>FY99/(FY99+FY60)</f>
        <v>0.25209366442830655</v>
      </c>
      <c r="FZ103" s="436"/>
      <c r="GB103" s="662">
        <f>GB99/(GB99+GB60)</f>
        <v>0.24844790335766634</v>
      </c>
      <c r="GC103" s="662">
        <f>GC99/(GC99+GC60)</f>
        <v>0.24464343715932302</v>
      </c>
      <c r="GD103" s="662">
        <f>GD99/(GD99+GD60)</f>
        <v>0.24075007435467377</v>
      </c>
      <c r="GE103" s="662">
        <f>GE99/(GE99+GE60)</f>
        <v>0.23685586956237686</v>
      </c>
      <c r="GF103" s="436"/>
      <c r="GH103" s="662">
        <f>GH99/(GH99+GH60)</f>
        <v>0.2325626838454054</v>
      </c>
      <c r="GI103" s="662">
        <f>GI99/(GI99+GI60)</f>
        <v>0.22812745616900285</v>
      </c>
      <c r="GJ103" s="662">
        <f>GJ99/(GJ99+GJ60)</f>
        <v>0.22362925487400229</v>
      </c>
      <c r="GK103" s="662">
        <f>GK99/(GK99+GK60)</f>
        <v>0</v>
      </c>
      <c r="GL103" s="436"/>
      <c r="GN103" s="662">
        <f>GN99/(GN99+GN60)</f>
        <v>0</v>
      </c>
      <c r="GO103" s="662">
        <f>GO99/(GO99+GO60)</f>
        <v>0</v>
      </c>
      <c r="GP103" s="662">
        <f>GP99/(GP99+GP60)</f>
        <v>0</v>
      </c>
      <c r="GQ103" s="662">
        <f>GQ99/(GQ99+GQ60)</f>
        <v>0</v>
      </c>
      <c r="GR103" s="436"/>
      <c r="GT103" s="662">
        <f>GT99/(GT99+GT60)</f>
        <v>0</v>
      </c>
      <c r="GU103" s="662">
        <f>GU99/(GU99+GU60)</f>
        <v>0</v>
      </c>
      <c r="GV103" s="662">
        <f>GV99/(GV99+GV60)</f>
        <v>0</v>
      </c>
      <c r="GW103" s="662">
        <f>GW99/(GW99+GW60)</f>
        <v>0</v>
      </c>
      <c r="GX103" s="436"/>
      <c r="GZ103" s="662">
        <f>GZ99/(GZ99+GZ60)</f>
        <v>0</v>
      </c>
      <c r="HA103" s="662">
        <f>HA99/(HA99+HA60)</f>
        <v>0</v>
      </c>
      <c r="HB103" s="662">
        <f>HB99/(HB99+HB60)</f>
        <v>0</v>
      </c>
      <c r="HC103" s="662">
        <f>HC99/(HC99+HC60)</f>
        <v>0</v>
      </c>
      <c r="HD103" s="436"/>
      <c r="HF103" s="662">
        <f>HF99/(HF99+HF60)</f>
        <v>0</v>
      </c>
      <c r="HG103" s="662">
        <f>HG99/(HG99+HG60)</f>
        <v>0</v>
      </c>
      <c r="HH103" s="662">
        <f>HH99/(HH99+HH60)</f>
        <v>0</v>
      </c>
      <c r="HI103" s="662">
        <f>HI99/(HI99+HI60)</f>
        <v>0</v>
      </c>
      <c r="HJ103" s="436"/>
    </row>
    <row r="104" spans="1:218">
      <c r="B104" s="31" t="s">
        <v>610</v>
      </c>
      <c r="BF104" s="101"/>
      <c r="BG104" s="101"/>
      <c r="BH104" s="101"/>
      <c r="BI104" s="101"/>
      <c r="BL104" s="101"/>
      <c r="BM104" s="101"/>
      <c r="BN104" s="101"/>
      <c r="BO104" s="101"/>
      <c r="BR104" s="101"/>
      <c r="BS104" s="101"/>
      <c r="BT104" s="101"/>
      <c r="BU104" s="101"/>
      <c r="DH104" s="662">
        <f>DH101/(DH99+DH60)</f>
        <v>0.26357763171787563</v>
      </c>
      <c r="DI104" s="662">
        <f>DI101/(DI99+DI60)</f>
        <v>0.41513526622116836</v>
      </c>
      <c r="DJ104" s="662">
        <f>DJ101/(DJ99+DJ60)</f>
        <v>-3.6335685149667375E-2</v>
      </c>
      <c r="DK104" s="662">
        <f>DK101/(DK99+DK60)</f>
        <v>0.22556666025710176</v>
      </c>
      <c r="DL104" s="468"/>
      <c r="DM104" s="468"/>
      <c r="DN104" s="662">
        <f>DN101/(DN99+DN60)</f>
        <v>0.21245931364187595</v>
      </c>
      <c r="DO104" s="662">
        <f>DO101/(DO99+DO60)</f>
        <v>-0.1067828066948933</v>
      </c>
      <c r="DP104" s="662">
        <f>DP101/(DP99+DP60)</f>
        <v>-0.1259974744529925</v>
      </c>
      <c r="DQ104" s="662">
        <f>DQ101/(DQ99+DQ60)</f>
        <v>-0.12015751453651083</v>
      </c>
      <c r="DR104" s="468"/>
      <c r="DS104" s="468"/>
      <c r="DT104" s="662">
        <f>DT101/(DT99+DT60)</f>
        <v>-4.4702491891569225E-2</v>
      </c>
      <c r="DU104" s="662">
        <f>DU101/(DU99+DU60)</f>
        <v>-0.20087634217311415</v>
      </c>
      <c r="DV104" s="662">
        <f>DV101/(DV99+DV60)</f>
        <v>-0.11675469490602994</v>
      </c>
      <c r="DW104" s="662">
        <f>DW101/(DW99+DW60)</f>
        <v>-9.444845323211884E-2</v>
      </c>
      <c r="DX104" s="468"/>
      <c r="DY104" s="468"/>
      <c r="DZ104" s="662">
        <f>DZ101/(DZ99+DZ60)</f>
        <v>-6.6940408430470444E-2</v>
      </c>
      <c r="EA104" s="662">
        <f>EA101/(EA99+EA60)</f>
        <v>9.442681424837325E-2</v>
      </c>
      <c r="EB104" s="662">
        <f>EB101/(EB99+EB60)</f>
        <v>0.11275323872377752</v>
      </c>
      <c r="EC104" s="662">
        <f>EC101/(EC99+EC60)</f>
        <v>0.13147423470180655</v>
      </c>
      <c r="ED104" s="468"/>
      <c r="EE104" s="468"/>
      <c r="EF104" s="662">
        <f>EF101/(EF99+EF60)</f>
        <v>0.14133440451488097</v>
      </c>
      <c r="EG104" s="662">
        <f>EG101/(EG99+EG60)</f>
        <v>0.15865240453221946</v>
      </c>
      <c r="EH104" s="662">
        <f>EH101/(EH99+EH60)</f>
        <v>0.17348379455375015</v>
      </c>
      <c r="EI104" s="662">
        <f>EI101/(EI99+EI60)</f>
        <v>0.17748256263267562</v>
      </c>
      <c r="EJ104" s="468"/>
      <c r="EK104" s="468"/>
      <c r="EL104" s="662">
        <f>EL101/(EL99+EL60)</f>
        <v>0.17241189831969442</v>
      </c>
      <c r="EM104" s="662">
        <f>EM101/(EM99+EM60)</f>
        <v>0.16590073190809854</v>
      </c>
      <c r="EN104" s="662">
        <f>EN101/(EN99+EN60)</f>
        <v>0.15572465002764496</v>
      </c>
      <c r="EO104" s="662">
        <f>EO101/(EO99+EO60)</f>
        <v>0.13226016820579362</v>
      </c>
      <c r="EP104" s="468"/>
      <c r="EQ104" s="468"/>
      <c r="ER104" s="662">
        <f>ER101/(ER99+ER60)</f>
        <v>0.14156077993179392</v>
      </c>
      <c r="ES104" s="662">
        <f>ES101/(ES99+ES60)</f>
        <v>0.12680225951437754</v>
      </c>
      <c r="ET104" s="711">
        <f>ET101/(ET99+ET60)</f>
        <v>0.12314595572246112</v>
      </c>
      <c r="EU104" s="711">
        <f>EU101/(EU99+EU60)</f>
        <v>0.12061372363869641</v>
      </c>
      <c r="EV104" s="468"/>
      <c r="EW104" s="468"/>
      <c r="EX104" s="711">
        <f>EX101/(EX99+EX60)</f>
        <v>0.13680864438814719</v>
      </c>
      <c r="EY104" s="662">
        <f>EY101/(EY99+EY60)</f>
        <v>0.15594221573295067</v>
      </c>
      <c r="EZ104" s="711">
        <f>EZ101/(EZ99+EZ60)</f>
        <v>0.15033404929452113</v>
      </c>
      <c r="FA104" s="711">
        <f>FA101/(FA99+FA60)</f>
        <v>0.14402408947489023</v>
      </c>
      <c r="FB104" s="935"/>
      <c r="FC104" s="468"/>
      <c r="FD104" s="872">
        <f>FD101/(FD99+FD60)</f>
        <v>0.14333697116627531</v>
      </c>
      <c r="FE104" s="662">
        <f>FE101/(FE99+FE60)</f>
        <v>0.14341856881340243</v>
      </c>
      <c r="FF104" s="662">
        <f>FF101/(FF99+FF60)</f>
        <v>0.13839781097061829</v>
      </c>
      <c r="FG104" s="662">
        <f>FG101/(FG99+FG60)</f>
        <v>0.1306055620916898</v>
      </c>
      <c r="FH104" s="468"/>
      <c r="FI104" s="468"/>
      <c r="FJ104" s="662">
        <f>FJ101/(FJ99+FJ60)</f>
        <v>0.11818836478350138</v>
      </c>
      <c r="FK104" s="662">
        <f>FK101/(FK99+FK60)</f>
        <v>0.11237336911369318</v>
      </c>
      <c r="FL104" s="662">
        <f>FL101/(FL99+FL60)</f>
        <v>0.10604568492097804</v>
      </c>
      <c r="FM104" s="662">
        <f>FM101/(FM99+FM60)</f>
        <v>7.9026021118142234E-2</v>
      </c>
      <c r="FN104" s="468"/>
      <c r="FO104" s="468"/>
      <c r="FP104" s="662">
        <f>FP101/(FP99+FP60)</f>
        <v>6.7496162889675276E-2</v>
      </c>
      <c r="FQ104" s="662">
        <f>FQ101/(FQ99+FQ60)</f>
        <v>6.1164681163572238E-2</v>
      </c>
      <c r="FR104" s="662">
        <f>FR101/(FR99+FR60)</f>
        <v>5.4255117189010237E-2</v>
      </c>
      <c r="FS104" s="662">
        <f>FS101/(FS99+FS60)</f>
        <v>5.9099388609272309E-2</v>
      </c>
      <c r="FT104" s="468"/>
      <c r="FU104" s="468"/>
      <c r="FV104" s="662">
        <f>FV101/(FV99+FV60)</f>
        <v>4.3456567867849911E-2</v>
      </c>
      <c r="FW104" s="662">
        <f>FW101/(FW99+FW60)</f>
        <v>3.5527048231615233E-2</v>
      </c>
      <c r="FX104" s="662">
        <f>FX101/(FX99+FX60)</f>
        <v>2.6811969081047094E-2</v>
      </c>
      <c r="FY104" s="662">
        <f>FY101/(FY99+FY60)</f>
        <v>1.7322304153987323E-2</v>
      </c>
      <c r="FZ104" s="468"/>
      <c r="GA104" s="468"/>
      <c r="GB104" s="662">
        <f>GB101/(GB99+GB60)</f>
        <v>-2.3466646017351106E-3</v>
      </c>
      <c r="GC104" s="662">
        <f>GC101/(GC99+GC60)</f>
        <v>-1.3821152847452989E-2</v>
      </c>
      <c r="GD104" s="662">
        <f>GD101/(GD99+GD60)</f>
        <v>-2.6068758923229251E-2</v>
      </c>
      <c r="GE104" s="662">
        <f>GE101/(GE99+GE60)</f>
        <v>-3.9002290940061239E-2</v>
      </c>
      <c r="GF104" s="468"/>
      <c r="GG104" s="468"/>
      <c r="GH104" s="662">
        <f>GH101/(GH99+GH60)</f>
        <v>-6.149957359496365E-2</v>
      </c>
      <c r="GI104" s="662">
        <f>GI101/(GI99+GI60)</f>
        <v>-7.5556589156189624E-2</v>
      </c>
      <c r="GJ104" s="662">
        <f>GJ101/(GJ99+GJ60)</f>
        <v>-9.0338976033358567E-2</v>
      </c>
      <c r="GK104" s="662">
        <f>GK101/(GK99+GK60)</f>
        <v>-0.13657152878251175</v>
      </c>
      <c r="GL104" s="468"/>
      <c r="GM104" s="468"/>
      <c r="GN104" s="662">
        <f>GN101/(GN99+GN60)</f>
        <v>-0.16798799289625038</v>
      </c>
      <c r="GO104" s="662">
        <f>GO101/(GO99+GO60)</f>
        <v>-0.1881218265039937</v>
      </c>
      <c r="GP104" s="662">
        <f>GP101/(GP99+GP60)</f>
        <v>-0.20865971156854859</v>
      </c>
      <c r="GQ104" s="662">
        <f>GQ101/(GQ99+GQ60)</f>
        <v>-0.22938396670459121</v>
      </c>
      <c r="GR104" s="468"/>
      <c r="GS104" s="468"/>
      <c r="GT104" s="662">
        <f>GT101/(GT99+GT60)</f>
        <v>-0.25955847369495755</v>
      </c>
      <c r="GU104" s="662">
        <f>GU101/(GU99+GU60)</f>
        <v>-0.27889636075180874</v>
      </c>
      <c r="GV104" s="662">
        <f>GV101/(GV99+GV60)</f>
        <v>-0.29853430037226464</v>
      </c>
      <c r="GW104" s="662">
        <f>GW101/(GW99+GW60)</f>
        <v>-0.31825520805350421</v>
      </c>
      <c r="GX104" s="468"/>
      <c r="GY104" s="468"/>
      <c r="GZ104" s="662">
        <f>GZ101/(GZ99+GZ60)</f>
        <v>-0.34653808230433863</v>
      </c>
      <c r="HA104" s="662">
        <f>HA101/(HA99+HA60)</f>
        <v>-0.36457190838775688</v>
      </c>
      <c r="HB104" s="662">
        <f>HB101/(HB99+HB60)</f>
        <v>-0.38282249453848971</v>
      </c>
      <c r="HC104" s="662">
        <f>HC101/(HC99+HC60)</f>
        <v>-0.40108501650192602</v>
      </c>
      <c r="HD104" s="468"/>
      <c r="HF104" s="662">
        <f>HF101/(HF99+HF60)</f>
        <v>-0.4269452374310686</v>
      </c>
      <c r="HG104" s="662">
        <f>HG101/(HG99+HG60)</f>
        <v>-0.44325365760516627</v>
      </c>
      <c r="HH104" s="662">
        <f>HH101/(HH99+HH60)</f>
        <v>-0.45972926504261991</v>
      </c>
      <c r="HI104" s="662">
        <f>HI101/(HI99+HI60)</f>
        <v>-0.47618734677675262</v>
      </c>
      <c r="HJ104" s="468"/>
    </row>
    <row r="105" spans="1:218">
      <c r="B105" s="31" t="s">
        <v>611</v>
      </c>
      <c r="BF105" s="101"/>
      <c r="BG105" s="101"/>
      <c r="BH105" s="101"/>
      <c r="BI105" s="101"/>
      <c r="BL105" s="101"/>
      <c r="BM105" s="101"/>
      <c r="BN105" s="101"/>
      <c r="BO105" s="101"/>
      <c r="BR105" s="101"/>
      <c r="BS105" s="101"/>
      <c r="BT105" s="101"/>
      <c r="BU105" s="101"/>
      <c r="DH105" s="662">
        <f>DH99/DH60</f>
        <v>0.45696484885778021</v>
      </c>
      <c r="DI105" s="662">
        <f>DI99/DI60</f>
        <v>0.80803731829558678</v>
      </c>
      <c r="DJ105" s="662">
        <f>DJ99/DJ60</f>
        <v>0.34142950793750138</v>
      </c>
      <c r="DK105" s="662">
        <f>DK99/DK60</f>
        <v>0.33080142178172095</v>
      </c>
      <c r="DL105" s="468"/>
      <c r="DM105" s="468"/>
      <c r="DN105" s="662">
        <f>DN99/DN60</f>
        <v>0.32151194387490428</v>
      </c>
      <c r="DO105" s="662">
        <f>DO99/DO60</f>
        <v>0.21242552079292024</v>
      </c>
      <c r="DP105" s="662">
        <f>DP99/DP60</f>
        <v>0.20776166130456916</v>
      </c>
      <c r="DQ105" s="662">
        <f>DQ99/DQ60</f>
        <v>0.19713524422161255</v>
      </c>
      <c r="DR105" s="468"/>
      <c r="DS105" s="468"/>
      <c r="DT105" s="662">
        <f>DT99/DT60</f>
        <v>0.19410822444821529</v>
      </c>
      <c r="DU105" s="662">
        <f>DU99/DU60</f>
        <v>0.25442925947947892</v>
      </c>
      <c r="DV105" s="662">
        <f>DV99/DV60</f>
        <v>0.25187322825547032</v>
      </c>
      <c r="DW105" s="662">
        <f>DW99/DW60</f>
        <v>0.24353804008100319</v>
      </c>
      <c r="DX105" s="468"/>
      <c r="DY105" s="468"/>
      <c r="DZ105" s="662">
        <f>DZ99/DZ60</f>
        <v>0.62943248541567398</v>
      </c>
      <c r="EA105" s="662">
        <f>EA99/EA60</f>
        <v>0.4628565308031119</v>
      </c>
      <c r="EB105" s="662">
        <f>EB99/EB60</f>
        <v>0.46773650356783286</v>
      </c>
      <c r="EC105" s="662">
        <f>EC99/EC60</f>
        <v>0.48052427326381397</v>
      </c>
      <c r="ED105" s="468"/>
      <c r="EE105" s="468"/>
      <c r="EF105" s="662">
        <f>EF99/EF60</f>
        <v>0.49598792190540686</v>
      </c>
      <c r="EG105" s="662">
        <f>EG99/EG60</f>
        <v>0.51163227502326269</v>
      </c>
      <c r="EH105" s="662">
        <f>EH99/EH60</f>
        <v>0.52775452423918157</v>
      </c>
      <c r="EI105" s="662">
        <f>EI99/EI60</f>
        <v>0.53638242806027514</v>
      </c>
      <c r="EJ105" s="468"/>
      <c r="EK105" s="468"/>
      <c r="EL105" s="662">
        <f>EL99/EL60</f>
        <v>0.55008507258364114</v>
      </c>
      <c r="EM105" s="662">
        <f>EM99/EM60</f>
        <v>0.56134646598172755</v>
      </c>
      <c r="EN105" s="662">
        <f>EN99/EN60</f>
        <v>0.5672990454155884</v>
      </c>
      <c r="EO105" s="662">
        <f>EO99/EO60</f>
        <v>0.5716164101888721</v>
      </c>
      <c r="EP105" s="468"/>
      <c r="EQ105" s="468"/>
      <c r="ER105" s="662">
        <f>ER99/ER60</f>
        <v>0.58362265949036729</v>
      </c>
      <c r="ES105" s="662">
        <f>ES99/ES60</f>
        <v>0.58921217097361678</v>
      </c>
      <c r="ET105" s="711">
        <f>ET99/ET60</f>
        <v>0.59499454971867738</v>
      </c>
      <c r="EU105" s="711">
        <f>EU99/EU60</f>
        <v>0.59967706150349243</v>
      </c>
      <c r="EV105" s="468"/>
      <c r="EW105" s="468"/>
      <c r="EX105" s="711">
        <f>EX99/EX60</f>
        <v>0.61000583161274491</v>
      </c>
      <c r="EY105" s="662">
        <f>EY99/EY60</f>
        <v>0.39938995831576973</v>
      </c>
      <c r="EZ105" s="711">
        <f>EZ99/EZ60</f>
        <v>0.4073482923570601</v>
      </c>
      <c r="FA105" s="711">
        <f>FA99/FA60</f>
        <v>0.40357792701889028</v>
      </c>
      <c r="FB105" s="935"/>
      <c r="FC105" s="468"/>
      <c r="FD105" s="872">
        <f>FD99/FD60</f>
        <v>0.40398340812061329</v>
      </c>
      <c r="FE105" s="662">
        <f>FE99/FE60</f>
        <v>0.40304773985454384</v>
      </c>
      <c r="FF105" s="662">
        <f>FF99/FF60</f>
        <v>0.39985941255049173</v>
      </c>
      <c r="FG105" s="662">
        <f>FG99/FG60</f>
        <v>0.39571712261245595</v>
      </c>
      <c r="FH105" s="468"/>
      <c r="FI105" s="468"/>
      <c r="FJ105" s="662">
        <f>FJ99/FJ60</f>
        <v>0.39186838841842797</v>
      </c>
      <c r="FK105" s="662">
        <f>FK99/FK60</f>
        <v>0.38783213280048423</v>
      </c>
      <c r="FL105" s="662">
        <f>FL99/FL60</f>
        <v>0.38368570105067673</v>
      </c>
      <c r="FM105" s="662">
        <f>FM99/FM60</f>
        <v>0.7618903505876099</v>
      </c>
      <c r="FN105" s="468"/>
      <c r="FO105" s="468"/>
      <c r="FP105" s="662">
        <f>FP99/FP60</f>
        <v>0.75137832245758984</v>
      </c>
      <c r="FQ105" s="662">
        <f>FQ99/FQ60</f>
        <v>0.7403903850276089</v>
      </c>
      <c r="FR105" s="662">
        <f>FR99/FR60</f>
        <v>0.72914156447577072</v>
      </c>
      <c r="FS105" s="662">
        <f>FS99/FS60</f>
        <v>0.35879564482101511</v>
      </c>
      <c r="FT105" s="468"/>
      <c r="FU105" s="468"/>
      <c r="FV105" s="662">
        <f>FV99/FV60</f>
        <v>0.35366400629293676</v>
      </c>
      <c r="FW105" s="662">
        <f>FW99/FW60</f>
        <v>0.34822318819321696</v>
      </c>
      <c r="FX105" s="662">
        <f>FX99/FX60</f>
        <v>0.34264655450185622</v>
      </c>
      <c r="FY105" s="662">
        <f>FY99/FY60</f>
        <v>0.33706582286885994</v>
      </c>
      <c r="FZ105" s="468"/>
      <c r="GA105" s="468"/>
      <c r="GB105" s="662">
        <f>GB99/GB60</f>
        <v>0.33057974885259828</v>
      </c>
      <c r="GC105" s="662">
        <f>GC99/GC60</f>
        <v>0.32387808512484484</v>
      </c>
      <c r="GD105" s="662">
        <f>GD99/GD60</f>
        <v>0.31708936178037517</v>
      </c>
      <c r="GE105" s="662">
        <f>GE99/GE60</f>
        <v>0.31036846136332391</v>
      </c>
      <c r="GF105" s="468"/>
      <c r="GG105" s="468"/>
      <c r="GH105" s="662">
        <f>GH99/GH60</f>
        <v>0.30303801880616055</v>
      </c>
      <c r="GI105" s="662">
        <f>GI99/GI60</f>
        <v>0.29555068125204847</v>
      </c>
      <c r="GJ105" s="662">
        <f>GJ99/GJ60</f>
        <v>0.28804441212903942</v>
      </c>
      <c r="GK105" s="662">
        <f>GK99/GK60</f>
        <v>0</v>
      </c>
      <c r="GL105" s="468"/>
      <c r="GM105" s="468"/>
      <c r="GN105" s="662">
        <f>GN99/GN60</f>
        <v>0</v>
      </c>
      <c r="GO105" s="662">
        <f>GO99/GO60</f>
        <v>0</v>
      </c>
      <c r="GP105" s="662">
        <f>GP99/GP60</f>
        <v>0</v>
      </c>
      <c r="GQ105" s="662">
        <f>GQ99/GQ60</f>
        <v>0</v>
      </c>
      <c r="GR105" s="468"/>
      <c r="GS105" s="468"/>
      <c r="GT105" s="662">
        <f>GT99/GT60</f>
        <v>0</v>
      </c>
      <c r="GU105" s="662">
        <f>GU99/GU60</f>
        <v>0</v>
      </c>
      <c r="GV105" s="662">
        <f>GV99/GV60</f>
        <v>0</v>
      </c>
      <c r="GW105" s="662">
        <f>GW99/GW60</f>
        <v>0</v>
      </c>
      <c r="GX105" s="468"/>
      <c r="GY105" s="468"/>
      <c r="GZ105" s="662">
        <f>GZ99/GZ60</f>
        <v>0</v>
      </c>
      <c r="HA105" s="662">
        <f>HA99/HA60</f>
        <v>0</v>
      </c>
      <c r="HB105" s="662">
        <f>HB99/HB60</f>
        <v>0</v>
      </c>
      <c r="HC105" s="662">
        <f>HC99/HC60</f>
        <v>0</v>
      </c>
      <c r="HD105" s="468"/>
      <c r="HF105" s="662">
        <f>HF99/HF60</f>
        <v>0</v>
      </c>
      <c r="HG105" s="662">
        <f>HG99/HG60</f>
        <v>0</v>
      </c>
      <c r="HH105" s="662">
        <f>HH99/HH60</f>
        <v>0</v>
      </c>
      <c r="HI105" s="662">
        <f>HI99/HI60</f>
        <v>0</v>
      </c>
      <c r="HJ105" s="468"/>
    </row>
    <row r="106" spans="1:218">
      <c r="BF106" s="101"/>
      <c r="BG106" s="101"/>
      <c r="BH106" s="101"/>
      <c r="BI106" s="101"/>
      <c r="BL106" s="101"/>
      <c r="BM106" s="101"/>
      <c r="BN106" s="101"/>
      <c r="BO106" s="101"/>
      <c r="BR106" s="101"/>
      <c r="BS106" s="101"/>
      <c r="BT106" s="101"/>
      <c r="BU106" s="101"/>
      <c r="DH106" s="467"/>
      <c r="DI106" s="467"/>
      <c r="DJ106" s="467"/>
      <c r="DK106" s="467"/>
      <c r="DL106" s="468"/>
      <c r="DM106" s="468"/>
      <c r="DN106" s="467"/>
      <c r="DO106" s="467"/>
      <c r="DP106" s="467"/>
      <c r="DQ106" s="467"/>
      <c r="DR106" s="468"/>
      <c r="DS106" s="468"/>
      <c r="DT106" s="467"/>
      <c r="DU106" s="467"/>
      <c r="DV106" s="467"/>
      <c r="DW106" s="467"/>
      <c r="DX106" s="468"/>
      <c r="DY106" s="468"/>
      <c r="DZ106" s="467"/>
      <c r="EA106" s="467"/>
      <c r="EB106" s="467"/>
      <c r="EC106" s="467"/>
      <c r="ED106" s="468"/>
      <c r="EE106" s="468"/>
      <c r="EF106" s="467"/>
      <c r="EG106" s="467"/>
      <c r="EH106" s="467"/>
      <c r="EI106" s="467"/>
      <c r="EJ106" s="468"/>
      <c r="EK106" s="468"/>
      <c r="EL106" s="467"/>
      <c r="EM106" s="467"/>
      <c r="EN106" s="467"/>
      <c r="EO106" s="467"/>
      <c r="EP106" s="468"/>
      <c r="EQ106" s="468"/>
      <c r="ER106" s="467"/>
      <c r="ES106" s="467"/>
      <c r="ET106" s="467"/>
      <c r="EU106" s="467"/>
      <c r="EV106" s="468"/>
      <c r="EW106" s="468"/>
      <c r="EX106" s="467"/>
      <c r="EY106" s="467"/>
      <c r="EZ106" s="467"/>
      <c r="FA106" s="467"/>
      <c r="FB106" s="935"/>
      <c r="FC106" s="468"/>
      <c r="FD106" s="873"/>
      <c r="FE106" s="467"/>
      <c r="FF106" s="467"/>
      <c r="FG106" s="467"/>
      <c r="FH106" s="468"/>
      <c r="FI106" s="468"/>
      <c r="FJ106" s="467"/>
      <c r="FK106" s="467"/>
      <c r="FL106" s="467"/>
      <c r="FM106" s="467"/>
      <c r="FN106" s="468"/>
      <c r="FO106" s="468"/>
      <c r="FP106" s="467"/>
      <c r="FQ106" s="467"/>
      <c r="FR106" s="467"/>
      <c r="FS106" s="467"/>
      <c r="FT106" s="468"/>
      <c r="FU106" s="468"/>
      <c r="FV106" s="467"/>
      <c r="FW106" s="467"/>
      <c r="FX106" s="467"/>
      <c r="FY106" s="467"/>
      <c r="FZ106" s="468"/>
      <c r="GA106" s="468"/>
      <c r="GB106" s="467"/>
      <c r="GC106" s="467"/>
      <c r="GD106" s="467"/>
      <c r="GE106" s="467"/>
      <c r="GF106" s="468"/>
      <c r="GG106" s="468"/>
      <c r="GH106" s="467"/>
      <c r="GI106" s="467"/>
      <c r="GJ106" s="467"/>
      <c r="GK106" s="467"/>
      <c r="GL106" s="468"/>
      <c r="GM106" s="468"/>
      <c r="GN106" s="467"/>
      <c r="GO106" s="467"/>
      <c r="GP106" s="467"/>
      <c r="GQ106" s="467"/>
      <c r="GR106" s="468"/>
      <c r="GS106" s="468"/>
      <c r="GT106" s="467"/>
      <c r="GU106" s="467"/>
      <c r="GV106" s="467"/>
      <c r="GW106" s="467"/>
      <c r="GX106" s="468"/>
      <c r="GY106" s="468"/>
      <c r="GZ106" s="467"/>
      <c r="HA106" s="467"/>
      <c r="HB106" s="467"/>
      <c r="HC106" s="467"/>
      <c r="HD106" s="468"/>
      <c r="HF106" s="467"/>
      <c r="HG106" s="467"/>
      <c r="HH106" s="467"/>
      <c r="HI106" s="467"/>
      <c r="HJ106" s="468"/>
    </row>
    <row r="107" spans="1:218">
      <c r="B107" s="31" t="s">
        <v>613</v>
      </c>
      <c r="AU107" s="34"/>
      <c r="AV107" s="34"/>
      <c r="AW107" s="34"/>
      <c r="AZ107" s="34"/>
      <c r="BA107" s="34"/>
      <c r="BB107" s="34"/>
      <c r="BC107" s="34"/>
      <c r="BF107" s="34"/>
      <c r="BG107" s="34"/>
      <c r="BH107" s="34"/>
      <c r="BI107" s="34"/>
      <c r="BL107" s="34"/>
      <c r="BM107" s="34"/>
      <c r="BN107" s="34"/>
      <c r="BO107" s="34"/>
      <c r="BR107" s="34"/>
      <c r="BS107" s="34"/>
      <c r="BT107" s="34"/>
      <c r="BU107" s="34"/>
      <c r="BX107" s="34"/>
      <c r="BY107" s="34"/>
      <c r="BZ107" s="34"/>
      <c r="CA107" s="34"/>
      <c r="CD107" s="34"/>
      <c r="CE107" s="34"/>
      <c r="CF107" s="34"/>
      <c r="CG107" s="34"/>
      <c r="CJ107" s="34"/>
      <c r="CK107" s="34"/>
      <c r="CL107" s="34"/>
      <c r="CM107" s="34"/>
      <c r="CP107" s="34"/>
      <c r="CQ107" s="34"/>
      <c r="CR107" s="34"/>
      <c r="CS107" s="34"/>
      <c r="CV107" s="34"/>
      <c r="CW107" s="34"/>
      <c r="CX107" s="34"/>
      <c r="CY107" s="34"/>
      <c r="DB107" s="34"/>
      <c r="DC107" s="34"/>
      <c r="DD107" s="34"/>
      <c r="DE107" s="34"/>
      <c r="DH107" s="662"/>
      <c r="DI107" s="662"/>
      <c r="DJ107" s="662"/>
      <c r="DK107" s="662">
        <f>DK101/SUM(IS!DK70,IS!DJ70,IS!DI70,IS!DH70)</f>
        <v>2.2083151587502012</v>
      </c>
      <c r="DL107" s="448"/>
      <c r="DM107" s="448"/>
      <c r="DN107" s="662">
        <f>DN101/SUM(IS!DN70,IS!DK70,IS!DJ70,IS!DI70)</f>
        <v>1.8911397670549095</v>
      </c>
      <c r="DO107" s="662">
        <f>DO101/SUM(IS!DO70,IS!DN70,IS!DK70,IS!DJ70)</f>
        <v>-1.1972054380664658</v>
      </c>
      <c r="DP107" s="662">
        <f>DP101/SUM(IS!DP70,IS!DO70,IS!DN70,IS!DK70)</f>
        <v>-1.3364905460328687</v>
      </c>
      <c r="DQ107" s="662">
        <f>DQ101/SUM(IS!DQ70,IS!DP70,IS!DO70,IS!DN70)</f>
        <v>-1.276326373587942</v>
      </c>
      <c r="DR107" s="448"/>
      <c r="DS107" s="448"/>
      <c r="DT107" s="662">
        <f>DT101/SUM(IS!DT70,IS!DQ70,IS!DP70,IS!DO70)</f>
        <v>-0.53383101324726268</v>
      </c>
      <c r="DU107" s="662">
        <f>DU101/SUM(IS!DU70,IS!DT70,IS!DQ70,IS!DP70)</f>
        <v>-5.817078334509528</v>
      </c>
      <c r="DV107" s="662">
        <f>DV101/SUM(IS!DV70,IS!DU70,IS!DT70,IS!DQ70)</f>
        <v>-3.2275242734532914</v>
      </c>
      <c r="DW107" s="662">
        <f>DW101/SUM(IS!DW70,IS!DV70,IS!DU70,IS!DT70)</f>
        <v>-2.3404224786177599</v>
      </c>
      <c r="DX107" s="448"/>
      <c r="DY107" s="448"/>
      <c r="DZ107" s="662">
        <f>DZ101/SUM(IS!DZ70,IS!DW70,IS!DV70,IS!DU70)</f>
        <v>-2.8800150215935405</v>
      </c>
      <c r="EA107" s="662">
        <f>EA101/SUM(IS!EA70,IS!DZ70,IS!DW70,IS!DV70)</f>
        <v>3.6275612879619445</v>
      </c>
      <c r="EB107" s="662">
        <f>EB101/SUM(IS!EB70,IS!EA70,IS!DZ70,IS!DW70)</f>
        <v>7.8802914206757881</v>
      </c>
      <c r="EC107" s="662">
        <f>EC101/SUM(IS!EC70,IS!EB70,IS!EA70,IS!DZ70)</f>
        <v>-51.832532436328947</v>
      </c>
      <c r="ED107" s="448"/>
      <c r="EE107" s="448"/>
      <c r="EF107" s="662">
        <f>EF101/SUM(IS!EF70,IS!EC70,IS!EB70,IS!EA70)</f>
        <v>-8.3077963375854349</v>
      </c>
      <c r="EG107" s="662">
        <f>EG101/SUM(IS!EG70,IS!EF70,IS!EC70,IS!EB70)</f>
        <v>-5.193968827179706</v>
      </c>
      <c r="EH107" s="662">
        <f>EH101/SUM(IS!EH70,IS!EG70,IS!EF70,IS!EC70)</f>
        <v>-4.7412541720380714</v>
      </c>
      <c r="EI107" s="662">
        <f>EI101/SUM(IS!EI70,IS!EH70,IS!EG70,IS!EF70)</f>
        <v>-5.6685621445978871</v>
      </c>
      <c r="EJ107" s="448"/>
      <c r="EK107" s="448"/>
      <c r="EL107" s="662">
        <f>EL101/SUM(IS!EL70,IS!EI70,IS!EH70,IS!EG70)</f>
        <v>-7.2094787254657735</v>
      </c>
      <c r="EM107" s="662">
        <f>EM101/SUM(IS!EM70,IS!EL70,IS!EI70,IS!EH70)</f>
        <v>-11.309634703196364</v>
      </c>
      <c r="EN107" s="662">
        <f>EN101/SUM(IS!EN70,IS!EM70,IS!EL70,IS!EI70)</f>
        <v>-32.855356635407951</v>
      </c>
      <c r="EO107" s="662">
        <f>EO101/SUM(IS!EO70,IS!EN70,IS!EM70,IS!EL70)</f>
        <v>56.287029048029687</v>
      </c>
      <c r="EP107" s="448"/>
      <c r="EQ107" s="448"/>
      <c r="ER107" s="662">
        <f>ER101/SUM(IS!ER70,IS!EO70,IS!EN70,IS!EM70)</f>
        <v>14.687739463601515</v>
      </c>
      <c r="ES107" s="662">
        <f>ES101/SUM(IS!ES70,IS!ER70,IS!EO70,IS!EN70)</f>
        <v>6.8321981194935884</v>
      </c>
      <c r="ET107" s="711">
        <f>ET101/SUM(IS!ET70,IS!ES70,IS!EP70,IS!EO70)</f>
        <v>4.8124527894679971</v>
      </c>
      <c r="EU107" s="711">
        <f>EU101/SUM(IS!EU70,IS!ET70,IS!EQ70,IS!ER70)</f>
        <v>6.0579700059152977</v>
      </c>
      <c r="EV107" s="436"/>
      <c r="EX107" s="711">
        <f>EX101/SUM(IS!EX70,IS!EU70,IS!ET70,IS!ES70)</f>
        <v>4.5304265271152628</v>
      </c>
      <c r="EY107" s="662">
        <f>EY101/SUM(IS!EY70,IS!EX70,IS!EU70,IS!ET70)</f>
        <v>4.3350390770375817</v>
      </c>
      <c r="EZ107" s="711">
        <f>EZ101/SUM(IS!EZ70,IS!EY70,IS!EV70,IS!EU70)</f>
        <v>2.3842420820562431</v>
      </c>
      <c r="FA107" s="711">
        <f>FA101/SUM(IS!FA70,IS!EZ70,IS!EY70,IS!EX70)</f>
        <v>3.9460766872247173</v>
      </c>
      <c r="FB107" s="934"/>
      <c r="FD107" s="872">
        <f>FD101/SUM(IS!FD70,IS!FA70,IS!EZ70,IS!EY70)</f>
        <v>3.7533598040069376</v>
      </c>
      <c r="FE107" s="662">
        <f>FE101/SUM(IS!FE70,IS!FD70,IS!FA70,IS!EZ70)</f>
        <v>3.6734950396108146</v>
      </c>
      <c r="FF107" s="662">
        <f>FF101/SUM(IS!FF70,IS!FE70,IS!FD70,IS!FA70)</f>
        <v>3.2657532874735127</v>
      </c>
      <c r="FG107" s="662">
        <f>FG101/SUM(IS!FG70,IS!FF70,IS!FE70,IS!FD70)</f>
        <v>2.8165168714598341</v>
      </c>
      <c r="FH107" s="436"/>
      <c r="FJ107" s="662">
        <f>FJ101/SUM(IS!FJ70,IS!FG70,IS!FF70,IS!FE70)</f>
        <v>2.2257777691426157</v>
      </c>
      <c r="FK107" s="662">
        <f>FK101/SUM(IS!FK70,IS!FJ70,IS!FG70,IS!FF70)</f>
        <v>1.9407910126150583</v>
      </c>
      <c r="FL107" s="662">
        <f>FL101/SUM(IS!FL70,IS!FK70,IS!FJ70,IS!FG70)</f>
        <v>1.793549250283945</v>
      </c>
      <c r="FM107" s="662">
        <f>FM101/SUM(IS!FM70,IS!FL70,IS!FK70,IS!FJ70)</f>
        <v>1.7111750849170067</v>
      </c>
      <c r="FN107" s="436"/>
      <c r="FP107" s="662">
        <f>FP101/SUM(IS!FP70,IS!FM70,IS!FL70,IS!FK70)</f>
        <v>1.3736941792917989</v>
      </c>
      <c r="FQ107" s="662">
        <f>FQ101/SUM(IS!FQ70,IS!FP70,IS!FM70,IS!FL70)</f>
        <v>1.170516608013622</v>
      </c>
      <c r="FR107" s="662">
        <f>FR101/SUM(IS!FR70,IS!FQ70,IS!FP70,IS!FM70)</f>
        <v>0.97760821788638919</v>
      </c>
      <c r="FS107" s="662">
        <f>FS101/SUM(IS!FS70,IS!FR70,IS!FQ70,IS!FP70)</f>
        <v>0.79506819889917457</v>
      </c>
      <c r="FT107" s="436"/>
      <c r="FV107" s="662">
        <f>FV101/SUM(IS!FV70,IS!FS70,IS!FR70,IS!FQ70)</f>
        <v>0.55135433071779905</v>
      </c>
      <c r="FW107" s="662">
        <f>FW101/SUM(IS!FW70,IS!FV70,IS!FS70,IS!FR70)</f>
        <v>0.42559064178705597</v>
      </c>
      <c r="FX107" s="662">
        <f>FX101/SUM(IS!FX70,IS!FW70,IS!FV70,IS!FS70)</f>
        <v>0.30378372747987253</v>
      </c>
      <c r="FY107" s="662">
        <f>FY101/SUM(IS!FY70,IS!FX70,IS!FW70,IS!FV70)</f>
        <v>0.18612358629669962</v>
      </c>
      <c r="FZ107" s="436"/>
      <c r="GB107" s="662">
        <f>GB101/SUM(IS!GB70,IS!FY70,IS!FX70,IS!FW70)</f>
        <v>-2.4063933088198042E-2</v>
      </c>
      <c r="GC107" s="662">
        <f>GC101/SUM(IS!GC70,IS!GB70,IS!FY70,IS!FX70)</f>
        <v>-0.13544168833951598</v>
      </c>
      <c r="GD107" s="662">
        <f>GD101/SUM(IS!GD70,IS!GC70,IS!GB70,IS!FY70)</f>
        <v>-0.24454676736552633</v>
      </c>
      <c r="GE107" s="662">
        <f>GE101/SUM(IS!GE70,IS!GD70,IS!GC70,IS!GB70)</f>
        <v>-0.35105251317092473</v>
      </c>
      <c r="GF107" s="436"/>
      <c r="GH107" s="662">
        <f>GH101/SUM(IS!GH70,IS!GE70,IS!GD70,IS!GC70)</f>
        <v>-0.53569226753643318</v>
      </c>
      <c r="GI107" s="662">
        <f>GI101/SUM(IS!GI70,IS!GH70,IS!GE70,IS!GD70)</f>
        <v>-0.63716808000976177</v>
      </c>
      <c r="GJ107" s="662">
        <f>GJ101/SUM(IS!GJ70,IS!GI70,IS!GH70,IS!GE70)</f>
        <v>-0.73814478433834541</v>
      </c>
      <c r="GK107" s="662">
        <f>GK101/SUM(IS!GK70,IS!GJ70,IS!GI70,IS!GH70)</f>
        <v>-0.84658638117350415</v>
      </c>
      <c r="GL107" s="436"/>
      <c r="GN107" s="662">
        <f>GN101/SUM(IS!GN70,IS!GK70,IS!GJ70,IS!GI70)</f>
        <v>-1.0198932000172334</v>
      </c>
      <c r="GO107" s="662">
        <f>GO101/SUM(IS!GO70,IS!GN70,IS!GK70,IS!GJ70)</f>
        <v>-1.1196752000994949</v>
      </c>
      <c r="GP107" s="662">
        <f>GP101/SUM(IS!GP70,IS!GO70,IS!GN70,IS!GK70)</f>
        <v>-1.2187653662362015</v>
      </c>
      <c r="GQ107" s="662">
        <f>GQ101/SUM(IS!GQ70,IS!GP70,IS!GO70,IS!GN70)</f>
        <v>-1.3165057990082765</v>
      </c>
      <c r="GR107" s="436"/>
      <c r="GT107" s="662">
        <f>GT101/SUM(IS!GT70,IS!GQ70,IS!GP70,IS!GO70)</f>
        <v>-1.4781651881308091</v>
      </c>
      <c r="GU107" s="662">
        <f>GU101/SUM(IS!GU70,IS!GT70,IS!GQ70,IS!GP70)</f>
        <v>-1.5762979064221612</v>
      </c>
      <c r="GV107" s="662">
        <f>GV101/SUM(IS!GV70,IS!GU70,IS!GT70,IS!GQ70)</f>
        <v>-1.6749484948449263</v>
      </c>
      <c r="GW107" s="662">
        <f>GW101/SUM(IS!GW70,IS!GV70,IS!GU70,IS!GT70)</f>
        <v>-1.7732099640457897</v>
      </c>
      <c r="GX107" s="436"/>
      <c r="GZ107" s="662">
        <f>GZ101/SUM(IS!GZ70,IS!GW70,IS!GV70,IS!GU70)</f>
        <v>-1.9217423207480635</v>
      </c>
      <c r="HA107" s="662">
        <f>HA101/SUM(IS!HA70,IS!GZ70,IS!GW70,IS!GV70)</f>
        <v>-2.0126938505250265</v>
      </c>
      <c r="HB107" s="662">
        <f>HB101/SUM(IS!HB70,IS!HA70,IS!GZ70,IS!GW70)</f>
        <v>-2.1044369197615382</v>
      </c>
      <c r="HC107" s="662">
        <f>HC101/SUM(IS!HC70,IS!HB70,IS!HA70,IS!GZ70)</f>
        <v>-2.1960689196783116</v>
      </c>
      <c r="HD107" s="436"/>
      <c r="HF107" s="662">
        <f>HF101/SUM(IS!HF70,IS!HC70,IS!HB70,IS!HA70)</f>
        <v>-2.4481883261151896</v>
      </c>
      <c r="HG107" s="662">
        <f>HG101/SUM(IS!HG70,IS!HF70,IS!HC70,IS!HB70)</f>
        <v>-2.6616597037236005</v>
      </c>
      <c r="HH107" s="662">
        <f>HH101/SUM(IS!HH70,IS!HG70,IS!HF70,IS!HC70)</f>
        <v>-2.8898790544806441</v>
      </c>
      <c r="HI107" s="662">
        <f>HI101/SUM(IS!HI70,IS!HH70,IS!HG70,IS!HF70)</f>
        <v>-3.1322188060947016</v>
      </c>
      <c r="HJ107" s="436"/>
    </row>
    <row r="108" spans="1:218">
      <c r="DH108" s="436"/>
      <c r="DI108" s="436"/>
      <c r="DJ108" s="436"/>
      <c r="DK108" s="436"/>
      <c r="DL108" s="436"/>
      <c r="DM108" s="436"/>
      <c r="DN108" s="436"/>
      <c r="DO108" s="436"/>
      <c r="DP108" s="436"/>
      <c r="DQ108" s="436"/>
      <c r="DR108" s="436"/>
      <c r="DS108" s="436"/>
      <c r="DT108" s="436"/>
      <c r="DU108" s="436"/>
      <c r="DV108" s="436"/>
      <c r="DW108" s="436"/>
      <c r="DX108" s="436"/>
      <c r="DY108" s="436"/>
      <c r="DZ108" s="436"/>
      <c r="EA108" s="436"/>
      <c r="EB108" s="436"/>
      <c r="EC108" s="436"/>
      <c r="ED108" s="436"/>
      <c r="EE108" s="436"/>
      <c r="EF108" s="436"/>
      <c r="EG108" s="436"/>
      <c r="EH108" s="436"/>
      <c r="EI108" s="436"/>
      <c r="EJ108" s="436"/>
      <c r="EK108" s="436"/>
      <c r="EL108" s="436"/>
      <c r="EM108" s="436"/>
      <c r="EN108" s="436"/>
      <c r="EO108" s="436"/>
      <c r="EP108" s="436"/>
      <c r="EQ108" s="436"/>
      <c r="ER108" s="436"/>
      <c r="ES108" s="436"/>
      <c r="ET108" s="436"/>
      <c r="EU108" s="436"/>
      <c r="EV108" s="436"/>
      <c r="EY108" s="436"/>
      <c r="FD108" s="640"/>
      <c r="HF108" s="31"/>
      <c r="HG108" s="31"/>
      <c r="HH108" s="31"/>
      <c r="HI108" s="31"/>
      <c r="HJ108" s="31"/>
    </row>
    <row r="109" spans="1:218">
      <c r="A109" s="31" t="s">
        <v>617</v>
      </c>
      <c r="DH109" s="436"/>
      <c r="DI109" s="436"/>
      <c r="DJ109" s="436"/>
      <c r="DK109" s="436"/>
      <c r="DL109" s="436"/>
      <c r="DM109" s="436"/>
      <c r="DN109" s="436"/>
      <c r="DO109" s="436"/>
      <c r="DP109" s="436"/>
      <c r="DQ109" s="436"/>
      <c r="DR109" s="436"/>
      <c r="DS109" s="436"/>
      <c r="DT109" s="436"/>
      <c r="DU109" s="436"/>
      <c r="DV109" s="436"/>
      <c r="DW109" s="436"/>
      <c r="DX109" s="436"/>
      <c r="DY109" s="436"/>
      <c r="DZ109" s="436"/>
      <c r="EA109" s="436"/>
      <c r="EB109" s="436"/>
      <c r="EC109" s="436"/>
      <c r="ED109" s="436"/>
      <c r="EE109" s="436"/>
      <c r="EF109" s="436"/>
      <c r="EG109" s="436"/>
      <c r="EH109" s="436"/>
      <c r="EI109" s="436"/>
      <c r="EJ109" s="436"/>
      <c r="EK109" s="436"/>
      <c r="EL109" s="436"/>
      <c r="EM109" s="436"/>
      <c r="EN109" s="436"/>
      <c r="EO109" s="436"/>
      <c r="EP109" s="436"/>
      <c r="EQ109" s="436"/>
      <c r="ER109" s="436"/>
      <c r="ES109" s="436"/>
      <c r="ET109" s="436"/>
      <c r="EU109" s="436"/>
      <c r="EV109" s="436"/>
      <c r="EY109" s="436"/>
      <c r="FD109" s="640"/>
      <c r="HF109" s="31"/>
      <c r="HG109" s="31"/>
      <c r="HH109" s="31"/>
      <c r="HI109" s="31"/>
      <c r="HJ109" s="31"/>
    </row>
    <row r="110" spans="1:218">
      <c r="B110" s="31" t="s">
        <v>614</v>
      </c>
      <c r="DH110" s="102">
        <f>DH14+DH15+DH16+DH18+DH21+DH22+DH23+DH24+DH26+DH28</f>
        <v>334.09899999999999</v>
      </c>
      <c r="DI110" s="102">
        <f>DI14+DI15+DI16+DI18+DI21+DI22+DI23+DI24+DI26+DI28</f>
        <v>336.34800000000001</v>
      </c>
      <c r="DJ110" s="102">
        <f>DJ14+DJ15+DJ16+DJ18+DJ21+DJ22+DJ23+DJ24+DJ26+DJ28</f>
        <v>336.69900000000001</v>
      </c>
      <c r="DK110" s="102">
        <f>DK14+DK15+DK16+DK18+DK21+DK22+DK23+DK24+DK26+DK28</f>
        <v>495.20400000000001</v>
      </c>
      <c r="DN110" s="102">
        <f>DN14+DN15+DN16+DN18+DN21+DN22+DN23+DN24+DN26+DN28</f>
        <v>520.14800000000002</v>
      </c>
      <c r="DO110" s="102">
        <f>DO14+DO15+DO16+DO18+DO21+DO22+DO23+DO24+DO26+DO28</f>
        <v>529.23099999999988</v>
      </c>
      <c r="DP110" s="102">
        <f>DP14+DP15+DP16+DP18+DP21+DP22+DP23+DP24+DP26+DP28</f>
        <v>532.26400000000001</v>
      </c>
      <c r="DQ110" s="102">
        <f>DQ14+DQ15+DQ16+DQ18+DQ21+DQ22+DQ23+DQ24+DQ26+DQ28</f>
        <v>536.49</v>
      </c>
      <c r="DT110" s="102">
        <f>DT14+DT15+DT16+DT18+DT21+DT22+DT23+DT24+DT26+DT28</f>
        <v>607.255</v>
      </c>
      <c r="DU110" s="102">
        <f>DU14+DU15+DU16+DU18+DU21+DU22+DU23+DU24+DU26+DU28</f>
        <v>601.03699999999992</v>
      </c>
      <c r="DV110" s="102">
        <f>DV14+DV15+DV16+DV18+DV21+DV22+DV23+DV24+DV26+DV28</f>
        <v>618.21699999999998</v>
      </c>
      <c r="DW110" s="102">
        <f>DW14+DW15+DW16+DW18+DW21+DW22+DW23+DW24+DW26+DW28</f>
        <v>640.59800000000007</v>
      </c>
      <c r="DZ110" s="102">
        <f>DZ14+DZ15+DZ16+DZ18+DZ21+DZ22+DZ23+DZ24+DZ26+DZ28</f>
        <v>640.87400000000002</v>
      </c>
      <c r="EA110" s="102">
        <f>EA14+EA15+EA16+EA18+EA21+EA22+EA23+EA24+EA26+EA28</f>
        <v>1320.462</v>
      </c>
      <c r="EB110" s="102">
        <f>EB14+EB15+EB16+EB18+EB21+EB22+EB23+EB24+EB26+EB28</f>
        <v>1350.4670000000001</v>
      </c>
      <c r="EC110" s="102">
        <f>EC14+EC15+EC16+EC18+EC21+EC22+EC23+EC24+EC26+EC28</f>
        <v>1344.338</v>
      </c>
      <c r="EF110" s="102">
        <f>EF14+EF15+EF16+EF18+EF21+EF22+EF23+EF24+EF26+EF28</f>
        <v>1348.117</v>
      </c>
      <c r="EG110" s="102">
        <f>EG14+EG15+EG16+EG18+EG21+EG22+EG23+EG24+EG26+EG28</f>
        <v>1326.16</v>
      </c>
      <c r="EH110" s="102">
        <f>EH14+EH15+EH16+EH18+EH21+EH22+EH23+EH24+EH26+EH28</f>
        <v>1312.0419999999999</v>
      </c>
      <c r="EI110" s="102">
        <f>EI14+EI15+EI16+EI18+EI21+EI22+EI23+EI24+EI26+EI28</f>
        <v>1302.0449999999998</v>
      </c>
      <c r="EL110" s="102">
        <f>EL14+EL15+EL16+EL18+EL21+EL22+EL23+EL24+EL26+EL28</f>
        <v>1291.259</v>
      </c>
      <c r="EM110" s="102">
        <f>EM14+EM15+EM16+EM18+EM21+EM22+EM23+EM24+EM26+EM28</f>
        <v>1285.7619999999999</v>
      </c>
      <c r="EN110" s="102">
        <f>EN14+EN15+EN16+EN18+EN21+EN22+EN23+EN24+EN26+EN28</f>
        <v>1275.9770000000001</v>
      </c>
      <c r="EO110" s="102">
        <f>EO14+EO15+EO16+EO18+EO21+EO22+EO23+EO24+EO26+EO28</f>
        <v>1266.0259999999998</v>
      </c>
      <c r="ER110" s="102">
        <f>ER14+ER15+ER16+ER18+ER21+ER22+ER23+ER24+ER26+ER28</f>
        <v>1255.509</v>
      </c>
      <c r="ES110" s="102">
        <f>ES14+ES15+ES16+ES18+ES21+ES22+ES23+ES24+ES26+ES28</f>
        <v>1255.422</v>
      </c>
      <c r="ET110" s="102">
        <f>ET14+ET15+ET16+ET18+ET21+ET22+ET23+ET24+ET26+ET28</f>
        <v>1253.298</v>
      </c>
      <c r="EU110" s="102">
        <f>EU14+EU15+EU16+EU18+EU21+EU22+EU23+EU24+EU26+EU28</f>
        <v>1251.194</v>
      </c>
      <c r="EX110" s="102">
        <f>EX14+EX15+EX16+EX18+EX21+EX22+EX23+EX24+EX26+EX28</f>
        <v>1243.3499999999999</v>
      </c>
      <c r="EY110" s="102">
        <f>EY14+EY15+EY16+EY18+EY21+EY22+EY23+EY24+EY26+EY28</f>
        <v>1221.309</v>
      </c>
      <c r="EZ110" s="102">
        <f>EZ14+EZ15+EZ16+EZ18+EZ21+EZ22+EZ23+EZ24+EZ26+EZ28</f>
        <v>1208.585</v>
      </c>
      <c r="FA110" s="102">
        <f>FA14+FA15+FA16+FA18+FA21+FA22+FA23+FA24+FA26+FA28</f>
        <v>1208.5287557183626</v>
      </c>
      <c r="FD110" s="543">
        <f>FD14+FD15+FD16+FD18+FD21+FD22+FD23+FD24+FD26+FD28</f>
        <v>1209.62527630827</v>
      </c>
      <c r="FE110" s="102">
        <f>FE14+FE15+FE16+FE18+FE21+FE22+FE23+FE24+FE26+FE28</f>
        <v>1214.6162742165677</v>
      </c>
      <c r="FF110" s="102">
        <f>FF14+FF15+FF16+FF18+FF21+FF22+FF23+FF24+FF26+FF28</f>
        <v>1219.3808474036223</v>
      </c>
      <c r="FG110" s="102">
        <f>FG14+FG15+FG16+FG18+FG21+FG22+FG23+FG24+FG26+FG28</f>
        <v>1223.5939488042336</v>
      </c>
      <c r="FJ110" s="102">
        <f>FJ14+FJ15+FJ16+FJ18+FJ21+FJ22+FJ23+FJ24+FJ26+FJ28</f>
        <v>1222.3708884049227</v>
      </c>
      <c r="FK110" s="102">
        <f>FK14+FK15+FK16+FK18+FK21+FK22+FK23+FK24+FK26+FK28</f>
        <v>1228.5331727268356</v>
      </c>
      <c r="FL110" s="102">
        <f>FL14+FL15+FL16+FL18+FL21+FL22+FL23+FL24+FL26+FL28</f>
        <v>1234.5557375286123</v>
      </c>
      <c r="FM110" s="102">
        <f>FM14+FM15+FM16+FM18+FM21+FM22+FM23+FM24+FM26+FM28</f>
        <v>1240.021014160169</v>
      </c>
      <c r="FP110" s="102">
        <f>FP14+FP15+FP16+FP18+FP21+FP22+FP23+FP24+FP26+FP28</f>
        <v>1239.1895841107505</v>
      </c>
      <c r="FQ110" s="102">
        <f>FQ14+FQ15+FQ16+FQ18+FQ21+FQ22+FQ23+FQ24+FQ26+FQ28</f>
        <v>1246.4124914371396</v>
      </c>
      <c r="FR110" s="102">
        <f>FR14+FR15+FR16+FR18+FR21+FR22+FR23+FR24+FR26+FR28</f>
        <v>1253.4317394900463</v>
      </c>
      <c r="FS110" s="102">
        <f>FS14+FS15+FS16+FS18+FS21+FS22+FS23+FS24+FS26+FS28</f>
        <v>1259.8274208687769</v>
      </c>
      <c r="FV110" s="102">
        <f>FV14+FV15+FV16+FV18+FV21+FV22+FV23+FV24+FV26+FV28</f>
        <v>1260.396842423886</v>
      </c>
      <c r="FW110" s="102">
        <f>FW14+FW15+FW16+FW18+FW21+FW22+FW23+FW24+FW26+FW28</f>
        <v>1268.3520216720785</v>
      </c>
      <c r="FX110" s="102">
        <f>FX14+FX15+FX16+FX18+FX21+FX22+FX23+FX24+FX26+FX28</f>
        <v>1276.0388927612225</v>
      </c>
      <c r="FY110" s="102">
        <f>FY14+FY15+FY16+FY18+FY21+FY22+FY23+FY24+FY26+FY28</f>
        <v>1283.0151017773837</v>
      </c>
      <c r="GB110" s="102">
        <f>GB14+GB15+GB16+GB18+GB21+GB22+GB23+GB24+GB26+GB28</f>
        <v>1283.0473992491479</v>
      </c>
      <c r="GC110" s="102">
        <f>GC14+GC15+GC16+GC18+GC21+GC22+GC23+GC24+GC26+GC28</f>
        <v>1291.1944748028559</v>
      </c>
      <c r="GD110" s="102">
        <f>GD14+GD15+GD16+GD18+GD21+GD22+GD23+GD24+GD26+GD28</f>
        <v>1299.0537542020629</v>
      </c>
      <c r="GE110" s="102">
        <f>GE14+GE15+GE16+GE18+GE21+GE22+GE23+GE24+GE26+GE28</f>
        <v>1306.1598680754239</v>
      </c>
      <c r="GH110" s="102">
        <f>GH14+GH15+GH16+GH18+GH21+GH22+GH23+GH24+GH26+GH28</f>
        <v>1305.9220344301657</v>
      </c>
      <c r="GI110" s="102">
        <f>GI14+GI15+GI16+GI18+GI21+GI22+GI23+GI24+GI26+GI28</f>
        <v>1314.5608872909663</v>
      </c>
      <c r="GJ110" s="102">
        <f>GJ14+GJ15+GJ16+GJ18+GJ21+GJ22+GJ23+GJ24+GJ26+GJ28</f>
        <v>1322.8437354826476</v>
      </c>
      <c r="GK110" s="102">
        <f>GK14+GK15+GK16+GK18+GK21+GK22+GK23+GK24+GK26+GK28</f>
        <v>1330.2908183079703</v>
      </c>
      <c r="GN110" s="102">
        <f>GN14+GN15+GN16+GN18+GN21+GN22+GN23+GN24+GN26+GN28</f>
        <v>1329.2639587719154</v>
      </c>
      <c r="GO110" s="102">
        <f>GO14+GO15+GO16+GO18+GO21+GO22+GO23+GO24+GO26+GO28</f>
        <v>1337.8742860234349</v>
      </c>
      <c r="GP110" s="102">
        <f>GP14+GP15+GP16+GP18+GP21+GP22+GP23+GP24+GP26+GP28</f>
        <v>1346.1174861540317</v>
      </c>
      <c r="GQ110" s="102">
        <f>GQ14+GQ15+GQ16+GQ18+GQ21+GQ22+GQ23+GQ24+GQ26+GQ28</f>
        <v>1353.4946055845073</v>
      </c>
      <c r="GT110" s="102">
        <f>GT14+GT15+GT16+GT18+GT21+GT22+GT23+GT24+GT26+GT28</f>
        <v>1352.2785509112205</v>
      </c>
      <c r="GU110" s="102">
        <f>GU14+GU15+GU16+GU18+GU21+GU22+GU23+GU24+GU26+GU28</f>
        <v>1361.4006181008829</v>
      </c>
      <c r="GV110" s="102">
        <f>GV14+GV15+GV16+GV18+GV21+GV22+GV23+GV24+GV26+GV28</f>
        <v>1370.0868484998996</v>
      </c>
      <c r="GW110" s="102">
        <f>GW14+GW15+GW16+GW18+GW21+GW22+GW23+GW24+GW26+GW28</f>
        <v>1377.8268941653519</v>
      </c>
      <c r="GZ110" s="102">
        <f>GZ14+GZ15+GZ16+GZ18+GZ21+GZ22+GZ23+GZ24+GZ26+GZ28</f>
        <v>1376.2803317664393</v>
      </c>
      <c r="HA110" s="102">
        <f>HA14+HA15+HA16+HA18+HA21+HA22+HA23+HA24+HA26+HA28</f>
        <v>1385.7776281803247</v>
      </c>
      <c r="HB110" s="102">
        <f>HB14+HB15+HB16+HB18+HB21+HB22+HB23+HB24+HB26+HB28</f>
        <v>1394.7789084331673</v>
      </c>
      <c r="HC110" s="102">
        <f>HC14+HC15+HC16+HC18+HC21+HC22+HC23+HC24+HC26+HC28</f>
        <v>1402.7641427102933</v>
      </c>
      <c r="HF110" s="102">
        <f>HF14+HF15+HF16+HF18+HF21+HF22+HF23+HF24+HF26+HF28</f>
        <v>1400.7940206360524</v>
      </c>
      <c r="HG110" s="102">
        <f>HG14+HG15+HG16+HG18+HG21+HG22+HG23+HG24+HG26+HG28</f>
        <v>1410.5644897025572</v>
      </c>
      <c r="HH110" s="102">
        <f>HH14+HH15+HH16+HH18+HH21+HH22+HH23+HH24+HH26+HH28</f>
        <v>1419.7834737717385</v>
      </c>
      <c r="HI110" s="102">
        <f>HI14+HI15+HI16+HI18+HI21+HI22+HI23+HI24+HI26+HI28</f>
        <v>1427.9237073178365</v>
      </c>
    </row>
    <row r="111" spans="1:218">
      <c r="B111" s="31" t="s">
        <v>615</v>
      </c>
      <c r="DH111" s="102">
        <f>DH35+DH36+DH39+DH41+DH47+DH48</f>
        <v>40.212000000000003</v>
      </c>
      <c r="DI111" s="102">
        <f>DI35+DI36+DI39+DI41+DI47+DI48</f>
        <v>43.04</v>
      </c>
      <c r="DJ111" s="102">
        <f>DJ35+DJ36+DJ39+DJ41+DJ47+DJ48</f>
        <v>41.261000000000003</v>
      </c>
      <c r="DK111" s="102">
        <f>DK35+DK36+DK39+DK41+DK47+DK48</f>
        <v>72.271000000000015</v>
      </c>
      <c r="DN111" s="102">
        <f>DN35+DN36+DN39+DN41+DN47+DN48</f>
        <v>78.605000000000004</v>
      </c>
      <c r="DO111" s="102">
        <f>DO35+DO36+DO39+DO41+DO47+DO48</f>
        <v>69.469000000000008</v>
      </c>
      <c r="DP111" s="102">
        <f>DP35+DP36+DP39+DP41+DP47+DP48</f>
        <v>77.742000000000004</v>
      </c>
      <c r="DQ111" s="102">
        <f>DQ35+DQ36+DQ39+DQ41+DQ47+DQ48</f>
        <v>69.222999999999999</v>
      </c>
      <c r="DT111" s="102">
        <f>DT35+DT36+DT39+DT41+DT47+DT48</f>
        <v>73.814999999999998</v>
      </c>
      <c r="DU111" s="102">
        <f>DU35+DU36+DU39+DU41+DU47+DU48</f>
        <v>71.323000000000008</v>
      </c>
      <c r="DV111" s="102">
        <f>DV35+DV36+DV39+DV41+DV47+DV48</f>
        <v>73.701999999999998</v>
      </c>
      <c r="DW111" s="102">
        <f>DW35+DW36+DW39+DW41+DW47+DW48</f>
        <v>74.846000000000004</v>
      </c>
      <c r="DZ111" s="102">
        <f>DZ35+DZ36+DZ39+DZ41+DZ47+DZ48</f>
        <v>66.000999999999991</v>
      </c>
      <c r="EA111" s="102">
        <f>EA35+EA36+EA39+EA41+EA47+EA48</f>
        <v>159.249</v>
      </c>
      <c r="EB111" s="102">
        <f>EB35+EB36+EB39+EB41+EB47+EB48</f>
        <v>156.32300000000001</v>
      </c>
      <c r="EC111" s="102">
        <f>EC35+EC36+EC39+EC41+EC47+EC48</f>
        <v>148.63899999999998</v>
      </c>
      <c r="EF111" s="102">
        <f>EF35+EF36+EF39+EF41+EF47+EF48</f>
        <v>141.34100000000001</v>
      </c>
      <c r="EG111" s="102">
        <f>EG35+EG36+EG39+EG41+EG47+EG48</f>
        <v>136.696</v>
      </c>
      <c r="EH111" s="102">
        <f>EH35+EH36+EH39+EH41+EH47+EH48</f>
        <v>131.017</v>
      </c>
      <c r="EI111" s="102">
        <f>EI35+EI36+EI39+EI41+EI47+EI48</f>
        <v>131.083</v>
      </c>
      <c r="EL111" s="102">
        <f>EL35+EL36+EL39+EL41+EL47+EL48</f>
        <v>124.38399999999999</v>
      </c>
      <c r="EM111" s="102">
        <f>EM35+EM36+EM39+EM41+EM47+EM48</f>
        <v>129.328</v>
      </c>
      <c r="EN111" s="102">
        <f>EN35+EN36+EN39+EN41+EN47+EN48</f>
        <v>125.114</v>
      </c>
      <c r="EO111" s="102">
        <f>EO35+EO36+EO39+EO41+EO47+EO48</f>
        <v>128.01300000000001</v>
      </c>
      <c r="ER111" s="102">
        <f>ER35+ER36+ER39+ER41+ER47+ER48</f>
        <v>108.746</v>
      </c>
      <c r="ES111" s="102">
        <f>ES35+ES36+ES39+ES41+ES47+ES48</f>
        <v>120.87500000000001</v>
      </c>
      <c r="ET111" s="102">
        <f>ET35+ET36+ET39+ET41+ET47+ET48</f>
        <v>126.63300000000001</v>
      </c>
      <c r="EU111" s="102">
        <f>EU35+EU36+EU39+EU41+EU47+EU48</f>
        <v>130.36500000000001</v>
      </c>
      <c r="EX111" s="102">
        <f>EX35+EX36+EX39+EX41+EX47+EX48</f>
        <v>108.38</v>
      </c>
      <c r="EY111" s="102">
        <f>EY35+EY36+EY39+EY41+EY47+EY48</f>
        <v>128.14700000000002</v>
      </c>
      <c r="EZ111" s="102">
        <f>EZ35+EZ36+EZ39+EZ41+EZ47+EZ48</f>
        <v>126.18200000000002</v>
      </c>
      <c r="FA111" s="102">
        <f>FA35+FA36+FA39+FA41+FA47+FA48</f>
        <v>124.29070879036041</v>
      </c>
      <c r="FD111" s="543">
        <f>FD35+FD36+FD39+FD41+FD47+FD48</f>
        <v>126.25622038891899</v>
      </c>
      <c r="FE111" s="102">
        <f>FE35+FE36+FE39+FE41+FE47+FE48</f>
        <v>127.98327379579185</v>
      </c>
      <c r="FF111" s="102">
        <f>FF35+FF36+FF39+FF41+FF47+FF48</f>
        <v>130.09981647024273</v>
      </c>
      <c r="FG111" s="102">
        <f>FG35+FG36+FG39+FG41+FG47+FG48</f>
        <v>132.59607756132911</v>
      </c>
      <c r="FJ111" s="102">
        <f>FJ35+FJ36+FJ39+FJ41+FJ47+FJ48</f>
        <v>135.95481407451146</v>
      </c>
      <c r="FK111" s="102">
        <f>FK35+FK36+FK39+FK41+FK47+FK48</f>
        <v>138.1467248192742</v>
      </c>
      <c r="FL111" s="102">
        <f>FL35+FL36+FL39+FL41+FL47+FL48</f>
        <v>140.43807183834184</v>
      </c>
      <c r="FM111" s="102">
        <f>FM35+FM36+FM39+FM41+FM47+FM48</f>
        <v>142.92240739180778</v>
      </c>
      <c r="FP111" s="102">
        <f>FP35+FP36+FP39+FP41+FP47+FP48</f>
        <v>146.49660884782205</v>
      </c>
      <c r="FQ111" s="102">
        <f>FQ35+FQ36+FQ39+FQ41+FQ47+FQ48</f>
        <v>148.98290945691906</v>
      </c>
      <c r="FR111" s="102">
        <f>FR35+FR36+FR39+FR41+FR47+FR48</f>
        <v>151.59006110991686</v>
      </c>
      <c r="FS111" s="102">
        <f>FS35+FS36+FS39+FS41+FS47+FS48</f>
        <v>154.26897381363906</v>
      </c>
      <c r="FV111" s="102">
        <f>FV35+FV36+FV39+FV41+FV47+FV48</f>
        <v>160.71819674545088</v>
      </c>
      <c r="FW111" s="102">
        <f>FW35+FW36+FW39+FW41+FW47+FW48</f>
        <v>163.36108234668939</v>
      </c>
      <c r="FX111" s="102">
        <f>FX35+FX36+FX39+FX41+FX47+FX48</f>
        <v>166.13220334834338</v>
      </c>
      <c r="FY111" s="102">
        <f>FY35+FY36+FY39+FY41+FY47+FY48</f>
        <v>168.97789907043327</v>
      </c>
      <c r="GB111" s="102">
        <f>GB35+GB36+GB39+GB41+GB47+GB48</f>
        <v>175.89293065586745</v>
      </c>
      <c r="GC111" s="102">
        <f>GC35+GC36+GC39+GC41+GC47+GC48</f>
        <v>178.67764597348355</v>
      </c>
      <c r="GD111" s="102">
        <f>GD35+GD36+GD39+GD41+GD47+GD48</f>
        <v>181.5974784084014</v>
      </c>
      <c r="GE111" s="102">
        <f>GE35+GE36+GE39+GE41+GE47+GE48</f>
        <v>184.59588759526321</v>
      </c>
      <c r="GH111" s="102">
        <f>GH35+GH36+GH39+GH41+GH47+GH48</f>
        <v>191.89185693746853</v>
      </c>
      <c r="GI111" s="102">
        <f>GI35+GI36+GI39+GI41+GI47+GI48</f>
        <v>194.72157594567761</v>
      </c>
      <c r="GJ111" s="102">
        <f>GJ35+GJ36+GJ39+GJ41+GJ47+GJ48</f>
        <v>197.68859569437689</v>
      </c>
      <c r="GK111" s="102">
        <f>GK35+GK36+GK39+GK41+GK47+GK48</f>
        <v>200.7354620712656</v>
      </c>
      <c r="GN111" s="102">
        <f>GN35+GN36+GN39+GN41+GN47+GN48</f>
        <v>208.44194150095876</v>
      </c>
      <c r="GO111" s="102">
        <f>GO35+GO36+GO39+GO41+GO47+GO48</f>
        <v>211.35426458272619</v>
      </c>
      <c r="GP111" s="102">
        <f>GP35+GP36+GP39+GP41+GP47+GP48</f>
        <v>214.40789643561661</v>
      </c>
      <c r="GQ111" s="102">
        <f>GQ35+GQ36+GQ39+GQ41+GQ47+GQ48</f>
        <v>217.54370576888684</v>
      </c>
      <c r="GT111" s="102">
        <f>GT35+GT36+GT39+GT41+GT47+GT48</f>
        <v>225.63083483628205</v>
      </c>
      <c r="GU111" s="102">
        <f>GU35+GU36+GU39+GU41+GU47+GU48</f>
        <v>228.59520359548455</v>
      </c>
      <c r="GV111" s="102">
        <f>GV35+GV36+GV39+GV41+GV47+GV48</f>
        <v>231.70340643310394</v>
      </c>
      <c r="GW111" s="102">
        <f>GW35+GW36+GW39+GW41+GW47+GW48</f>
        <v>234.8952553322035</v>
      </c>
      <c r="GZ111" s="102">
        <f>GZ35+GZ36+GZ39+GZ41+GZ47+GZ48</f>
        <v>243.32567406987155</v>
      </c>
      <c r="HA111" s="102">
        <f>HA35+HA36+HA39+HA41+HA47+HA48</f>
        <v>246.30719793217281</v>
      </c>
      <c r="HB111" s="102">
        <f>HB35+HB36+HB39+HB41+HB47+HB48</f>
        <v>249.43338825531194</v>
      </c>
      <c r="HC111" s="102">
        <f>HC35+HC36+HC39+HC41+HC47+HC48</f>
        <v>252.64370870818496</v>
      </c>
      <c r="HF111" s="102">
        <f>HF35+HF36+HF39+HF41+HF47+HF48</f>
        <v>261.3727204903027</v>
      </c>
      <c r="HG111" s="102">
        <f>HG35+HG36+HG39+HG41+HG47+HG48</f>
        <v>264.3325390701014</v>
      </c>
      <c r="HH111" s="102">
        <f>HH35+HH36+HH39+HH41+HH47+HH48</f>
        <v>267.4359709491514</v>
      </c>
      <c r="HI111" s="102">
        <f>HI35+HI36+HI39+HI41+HI47+HI48</f>
        <v>270.62292049655071</v>
      </c>
    </row>
    <row r="112" spans="1:218">
      <c r="B112" s="31" t="s">
        <v>616</v>
      </c>
      <c r="DH112" s="102">
        <f>DH110-DH111</f>
        <v>293.887</v>
      </c>
      <c r="DI112" s="102">
        <f>DI110-DI111</f>
        <v>293.30799999999999</v>
      </c>
      <c r="DJ112" s="102">
        <f>DJ110-DJ111</f>
        <v>295.43799999999999</v>
      </c>
      <c r="DK112" s="102">
        <f>DK110-DK111</f>
        <v>422.93299999999999</v>
      </c>
      <c r="DN112" s="102">
        <f>DN110-DN111</f>
        <v>441.54300000000001</v>
      </c>
      <c r="DO112" s="102">
        <f>DO110-DO111</f>
        <v>459.76199999999989</v>
      </c>
      <c r="DP112" s="102">
        <f>DP110-DP111</f>
        <v>454.52199999999999</v>
      </c>
      <c r="DQ112" s="102">
        <f>DQ110-DQ111</f>
        <v>467.267</v>
      </c>
      <c r="DT112" s="102">
        <f>DT110-DT111</f>
        <v>533.44000000000005</v>
      </c>
      <c r="DU112" s="102">
        <f>DU110-DU111</f>
        <v>529.71399999999994</v>
      </c>
      <c r="DV112" s="102">
        <f>DV110-DV111</f>
        <v>544.51499999999999</v>
      </c>
      <c r="DW112" s="102">
        <f>DW110-DW111</f>
        <v>565.75200000000007</v>
      </c>
      <c r="DZ112" s="102">
        <f>DZ110-DZ111</f>
        <v>574.87300000000005</v>
      </c>
      <c r="EA112" s="102">
        <f>EA110-EA111</f>
        <v>1161.213</v>
      </c>
      <c r="EB112" s="102">
        <f>EB110-EB111</f>
        <v>1194.144</v>
      </c>
      <c r="EC112" s="102">
        <f>EC110-EC111</f>
        <v>1195.6990000000001</v>
      </c>
      <c r="EF112" s="102">
        <f>EF110-EF111</f>
        <v>1206.7759999999998</v>
      </c>
      <c r="EG112" s="102">
        <f>EG110-EG111</f>
        <v>1189.4640000000002</v>
      </c>
      <c r="EH112" s="102">
        <f>EH110-EH111</f>
        <v>1181.0249999999999</v>
      </c>
      <c r="EI112" s="102">
        <f>EI110-EI111</f>
        <v>1170.9619999999998</v>
      </c>
      <c r="EL112" s="102">
        <f>EL110-EL111</f>
        <v>1166.875</v>
      </c>
      <c r="EM112" s="102">
        <f>EM110-EM111</f>
        <v>1156.434</v>
      </c>
      <c r="EN112" s="102">
        <f>EN110-EN111</f>
        <v>1150.8630000000001</v>
      </c>
      <c r="EO112" s="102">
        <f>EO110-EO111</f>
        <v>1138.0129999999999</v>
      </c>
      <c r="ER112" s="102">
        <f>ER110-ER111</f>
        <v>1146.7629999999999</v>
      </c>
      <c r="ES112" s="102">
        <f>ES110-ES111</f>
        <v>1134.547</v>
      </c>
      <c r="ET112" s="102">
        <f>ET110-ET111</f>
        <v>1126.665</v>
      </c>
      <c r="EU112" s="102">
        <f>EU110-EU111</f>
        <v>1120.829</v>
      </c>
      <c r="EX112" s="102">
        <f>EX110-EX111</f>
        <v>1134.9699999999998</v>
      </c>
      <c r="EY112" s="102">
        <f>EY110-EY111</f>
        <v>1093.162</v>
      </c>
      <c r="EZ112" s="102">
        <f>EZ110-EZ111</f>
        <v>1082.403</v>
      </c>
      <c r="FA112" s="102">
        <f>FA110-FA111</f>
        <v>1084.2380469280022</v>
      </c>
      <c r="FD112" s="543">
        <f>FD110-FD111</f>
        <v>1083.369055919351</v>
      </c>
      <c r="FE112" s="102">
        <f>FE110-FE111</f>
        <v>1086.6330004207759</v>
      </c>
      <c r="FF112" s="102">
        <f>FF110-FF111</f>
        <v>1089.2810309333795</v>
      </c>
      <c r="FG112" s="102">
        <f>FG110-FG111</f>
        <v>1090.9978712429045</v>
      </c>
      <c r="FJ112" s="102">
        <f>FJ110-FJ111</f>
        <v>1086.4160743304112</v>
      </c>
      <c r="FK112" s="102">
        <f>FK110-FK111</f>
        <v>1090.3864479075614</v>
      </c>
      <c r="FL112" s="102">
        <f>FL110-FL111</f>
        <v>1094.1176656902705</v>
      </c>
      <c r="FM112" s="102">
        <f>FM110-FM111</f>
        <v>1097.0986067683612</v>
      </c>
      <c r="FP112" s="102">
        <f>FP110-FP111</f>
        <v>1092.6929752629285</v>
      </c>
      <c r="FQ112" s="102">
        <f>FQ110-FQ111</f>
        <v>1097.4295819802205</v>
      </c>
      <c r="FR112" s="102">
        <f>FR110-FR111</f>
        <v>1101.8416783801295</v>
      </c>
      <c r="FS112" s="102">
        <f>FS110-FS111</f>
        <v>1105.5584470551378</v>
      </c>
      <c r="FV112" s="102">
        <f>FV110-FV111</f>
        <v>1099.6786456784353</v>
      </c>
      <c r="FW112" s="102">
        <f>FW110-FW111</f>
        <v>1104.9909393253893</v>
      </c>
      <c r="FX112" s="102">
        <f>FX110-FX111</f>
        <v>1109.9066894128791</v>
      </c>
      <c r="FY112" s="102">
        <f>FY110-FY111</f>
        <v>1114.0372027069504</v>
      </c>
      <c r="GB112" s="102">
        <f>GB110-GB111</f>
        <v>1107.1544685932804</v>
      </c>
      <c r="GC112" s="102">
        <f>GC110-GC111</f>
        <v>1112.5168288293723</v>
      </c>
      <c r="GD112" s="102">
        <f>GD110-GD111</f>
        <v>1117.4562757936615</v>
      </c>
      <c r="GE112" s="102">
        <f>GE110-GE111</f>
        <v>1121.5639804801608</v>
      </c>
      <c r="GH112" s="102">
        <f>GH110-GH111</f>
        <v>1114.0301774926972</v>
      </c>
      <c r="GI112" s="102">
        <f>GI110-GI111</f>
        <v>1119.8393113452887</v>
      </c>
      <c r="GJ112" s="102">
        <f>GJ110-GJ111</f>
        <v>1125.1551397882708</v>
      </c>
      <c r="GK112" s="102">
        <f>GK110-GK111</f>
        <v>1129.5553562367047</v>
      </c>
      <c r="GN112" s="102">
        <f>GN110-GN111</f>
        <v>1120.8220172709566</v>
      </c>
      <c r="GO112" s="102">
        <f>GO110-GO111</f>
        <v>1126.5200214407087</v>
      </c>
      <c r="GP112" s="102">
        <f>GP110-GP111</f>
        <v>1131.7095897184151</v>
      </c>
      <c r="GQ112" s="102">
        <f>GQ110-GQ111</f>
        <v>1135.9508998156205</v>
      </c>
      <c r="GT112" s="102">
        <f>GT110-GT111</f>
        <v>1126.6477160749384</v>
      </c>
      <c r="GU112" s="102">
        <f>GU110-GU111</f>
        <v>1132.8054145053984</v>
      </c>
      <c r="GV112" s="102">
        <f>GV110-GV111</f>
        <v>1138.3834420667956</v>
      </c>
      <c r="GW112" s="102">
        <f>GW110-GW111</f>
        <v>1142.9316388331483</v>
      </c>
      <c r="GZ112" s="102">
        <f>GZ110-GZ111</f>
        <v>1132.9546576965677</v>
      </c>
      <c r="HA112" s="102">
        <f>HA110-HA111</f>
        <v>1139.4704302481518</v>
      </c>
      <c r="HB112" s="102">
        <f>HB110-HB111</f>
        <v>1145.3455201778554</v>
      </c>
      <c r="HC112" s="102">
        <f>HC110-HC111</f>
        <v>1150.1204340021084</v>
      </c>
      <c r="HF112" s="102">
        <f>HF110-HF111</f>
        <v>1139.4213001457497</v>
      </c>
      <c r="HG112" s="102">
        <f>HG110-HG111</f>
        <v>1146.2319506324559</v>
      </c>
      <c r="HH112" s="102">
        <f>HH110-HH111</f>
        <v>1152.3475028225871</v>
      </c>
      <c r="HI112" s="102">
        <f>HI110-HI111</f>
        <v>1157.3007868212858</v>
      </c>
    </row>
    <row r="113" spans="1:217">
      <c r="FD113" s="640"/>
      <c r="HF113" s="31"/>
      <c r="HG113" s="31"/>
      <c r="HH113" s="31"/>
      <c r="HI113" s="31"/>
    </row>
    <row r="114" spans="1:217">
      <c r="B114" s="31" t="s">
        <v>619</v>
      </c>
      <c r="DH114" s="102">
        <f>DH37+DH38+DH40+DH44+DH45+DH46</f>
        <v>101.044</v>
      </c>
      <c r="DI114" s="102">
        <f>DI37+DI38+DI40+DI44+DI45+DI46</f>
        <v>138.53399999999999</v>
      </c>
      <c r="DJ114" s="102">
        <f>DJ37+DJ38+DJ40+DJ44+DJ45+DJ46</f>
        <v>110.31899999999999</v>
      </c>
      <c r="DK114" s="102">
        <f>DK37+DK38+DK40+DK44+DK45+DK46</f>
        <v>112.30099999999999</v>
      </c>
      <c r="DN114" s="102">
        <f>DN37+DN38+DN40+DN44+DN45+DN46</f>
        <v>130.88999999999999</v>
      </c>
      <c r="DO114" s="102">
        <f>DO37+DO38+DO40+DO44+DO45+DO46</f>
        <v>137.46400000000003</v>
      </c>
      <c r="DP114" s="102">
        <f>DP37+DP38+DP40+DP44+DP45+DP46</f>
        <v>136.40600000000001</v>
      </c>
      <c r="DQ114" s="102">
        <f>DQ37+DQ38+DQ40+DQ44+DQ45+DQ46</f>
        <v>132.875</v>
      </c>
      <c r="DT114" s="102">
        <f>DT37+DT38+DT40+DT44+DT45+DT46</f>
        <v>153.38900000000001</v>
      </c>
      <c r="DU114" s="102">
        <f>DU37+DU38+DU40+DU44+DU45+DU46</f>
        <v>219.93300000000002</v>
      </c>
      <c r="DV114" s="102">
        <f>DV37+DV38+DV40+DV44+DV45+DV46</f>
        <v>219.363</v>
      </c>
      <c r="DW114" s="102">
        <f>DW37+DW38+DW40+DW44+DW45+DW46</f>
        <v>219.191</v>
      </c>
      <c r="DZ114" s="102">
        <f>DZ37+DZ38+DZ40+DZ44+DZ45+DZ46</f>
        <v>584.69800000000009</v>
      </c>
      <c r="EA114" s="102">
        <f>EA37+EA38+EA40+EA44+EA45+EA46</f>
        <v>588.70399999999995</v>
      </c>
      <c r="EB114" s="102">
        <f>EB37+EB38+EB40+EB44+EB45+EB46</f>
        <v>612.81900000000007</v>
      </c>
      <c r="EC114" s="102">
        <f>EC37+EC38+EC40+EC44+EC45+EC46</f>
        <v>612.86199999999997</v>
      </c>
      <c r="EF114" s="102">
        <f>EF37+EF38+EF40+EF44+EF45+EF46</f>
        <v>613.202</v>
      </c>
      <c r="EG114" s="102">
        <f>EG37+EG38+EG40+EG44+EG45+EG46</f>
        <v>611.89800000000002</v>
      </c>
      <c r="EH114" s="102">
        <f>EH37+EH38+EH40+EH44+EH45+EH46</f>
        <v>611.577</v>
      </c>
      <c r="EI114" s="102">
        <f>EI37+EI38+EI40+EI44+EI45+EI46</f>
        <v>610.928</v>
      </c>
      <c r="EL114" s="102">
        <f>EL37+EL38+EL40+EL44+EL45+EL46</f>
        <v>610.32799999999997</v>
      </c>
      <c r="EM114" s="102">
        <f>EM37+EM38+EM40+EM44+EM45+EM46</f>
        <v>609.58799999999997</v>
      </c>
      <c r="EN114" s="102">
        <f>EN37+EN38+EN40+EN44+EN45+EN46</f>
        <v>605.69900000000007</v>
      </c>
      <c r="EO114" s="102">
        <f>EO37+EO38+EO40+EO44+EO45+EO46</f>
        <v>611.67899999999997</v>
      </c>
      <c r="ER114" s="102">
        <f>ER37+ER38+ER40+ER44+ER45+ER46</f>
        <v>608.18299999999999</v>
      </c>
      <c r="ES114" s="102">
        <f>ES37+ES38+ES40+ES44+ES45+ES46</f>
        <v>606.51800000000003</v>
      </c>
      <c r="ET114" s="102">
        <f>ET37+ET38+ET40+ET44+ET45+ET46</f>
        <v>606.26800000000003</v>
      </c>
      <c r="EU114" s="102">
        <f>EU37+EU38+EU40+EU44+EU45+EU46</f>
        <v>605.33399999999995</v>
      </c>
      <c r="EX114" s="102">
        <f>EX37+EX38+EX40+EX44+EX45+EX46</f>
        <v>604.78099999999995</v>
      </c>
      <c r="EY114" s="102">
        <f>EY37+EY38+EY40+EY44+EY45+EY46</f>
        <v>411.76300000000003</v>
      </c>
      <c r="EZ114" s="102">
        <f>EZ37+EZ38+EZ40+EZ44+EZ45+EZ46</f>
        <v>410.30799999999999</v>
      </c>
      <c r="FA114" s="102">
        <f>FA37+FA38+FA40+FA44+FA45+FA46</f>
        <v>410.40259999999995</v>
      </c>
      <c r="FD114" s="543">
        <f>FD37+FD38+FD40+FD44+FD45+FD46</f>
        <v>410.71149999999994</v>
      </c>
      <c r="FE114" s="102">
        <f>FE37+FE38+FE40+FE44+FE45+FE46</f>
        <v>411.0204</v>
      </c>
      <c r="FF114" s="102">
        <f>FF37+FF38+FF40+FF44+FF45+FF46</f>
        <v>411.32929999999999</v>
      </c>
      <c r="FG114" s="102">
        <f>FG37+FG38+FG40+FG44+FG45+FG46</f>
        <v>411.63819999999998</v>
      </c>
      <c r="FJ114" s="102">
        <f>FJ37+FJ38+FJ40+FJ44+FJ45+FJ46</f>
        <v>411.94709999999998</v>
      </c>
      <c r="FK114" s="102">
        <f>FK37+FK38+FK40+FK44+FK45+FK46</f>
        <v>412.25599999999997</v>
      </c>
      <c r="FL114" s="102">
        <f>FL37+FL38+FL40+FL44+FL45+FL46</f>
        <v>412.56489999999997</v>
      </c>
      <c r="FM114" s="102">
        <f>FM37+FM38+FM40+FM44+FM45+FM46</f>
        <v>757.87379999999996</v>
      </c>
      <c r="FP114" s="102">
        <f>FP37+FP38+FP40+FP44+FP45+FP46</f>
        <v>758.18269999999995</v>
      </c>
      <c r="FQ114" s="102">
        <f>FQ37+FQ38+FQ40+FQ44+FQ45+FQ46</f>
        <v>758.49159999999995</v>
      </c>
      <c r="FR114" s="102">
        <f>FR37+FR38+FR40+FR44+FR45+FR46</f>
        <v>758.80049999999994</v>
      </c>
      <c r="FS114" s="102">
        <f>FS37+FS38+FS40+FS44+FS45+FS46</f>
        <v>413.83199999999999</v>
      </c>
      <c r="FV114" s="102">
        <f>FV37+FV38+FV40+FV44+FV45+FV46</f>
        <v>413.83199999999999</v>
      </c>
      <c r="FW114" s="102">
        <f>FW37+FW38+FW40+FW44+FW45+FW46</f>
        <v>413.83199999999999</v>
      </c>
      <c r="FX114" s="102">
        <f>FX37+FX38+FX40+FX44+FX45+FX46</f>
        <v>413.83199999999999</v>
      </c>
      <c r="FY114" s="102">
        <f>FY37+FY38+FY40+FY44+FY45+FY46</f>
        <v>413.83199999999999</v>
      </c>
      <c r="GB114" s="102">
        <f>GB37+GB38+GB40+GB44+GB45+GB46</f>
        <v>413.83199999999999</v>
      </c>
      <c r="GC114" s="102">
        <f>GC37+GC38+GC40+GC44+GC45+GC46</f>
        <v>413.83199999999999</v>
      </c>
      <c r="GD114" s="102">
        <f>GD37+GD38+GD40+GD44+GD45+GD46</f>
        <v>413.83199999999999</v>
      </c>
      <c r="GE114" s="102">
        <f>GE37+GE38+GE40+GE44+GE45+GE46</f>
        <v>413.83199999999999</v>
      </c>
      <c r="GH114" s="102">
        <f>GH37+GH38+GH40+GH44+GH45+GH46</f>
        <v>413.83199999999999</v>
      </c>
      <c r="GI114" s="102">
        <f>GI37+GI38+GI40+GI44+GI45+GI46</f>
        <v>413.83199999999999</v>
      </c>
      <c r="GJ114" s="102">
        <f>GJ37+GJ38+GJ40+GJ44+GJ45+GJ46</f>
        <v>413.83199999999999</v>
      </c>
      <c r="GK114" s="102">
        <f>GK37+GK38+GK40+GK44+GK45+GK46</f>
        <v>68.832000000000008</v>
      </c>
      <c r="GN114" s="102">
        <f>GN37+GN38+GN40+GN44+GN45+GN46</f>
        <v>68.832000000000008</v>
      </c>
      <c r="GO114" s="102">
        <f>GO37+GO38+GO40+GO44+GO45+GO46</f>
        <v>68.832000000000008</v>
      </c>
      <c r="GP114" s="102">
        <f>GP37+GP38+GP40+GP44+GP45+GP46</f>
        <v>68.832000000000008</v>
      </c>
      <c r="GQ114" s="102">
        <f>GQ37+GQ38+GQ40+GQ44+GQ45+GQ46</f>
        <v>68.832000000000008</v>
      </c>
      <c r="GT114" s="102">
        <f>GT37+GT38+GT40+GT44+GT45+GT46</f>
        <v>68.832000000000008</v>
      </c>
      <c r="GU114" s="102">
        <f>GU37+GU38+GU40+GU44+GU45+GU46</f>
        <v>68.832000000000008</v>
      </c>
      <c r="GV114" s="102">
        <f>GV37+GV38+GV40+GV44+GV45+GV46</f>
        <v>68.832000000000008</v>
      </c>
      <c r="GW114" s="102">
        <f>GW37+GW38+GW40+GW44+GW45+GW46</f>
        <v>68.832000000000008</v>
      </c>
      <c r="GZ114" s="102">
        <f>GZ37+GZ38+GZ40+GZ44+GZ45+GZ46</f>
        <v>68.832000000000008</v>
      </c>
      <c r="HA114" s="102">
        <f>HA37+HA38+HA40+HA44+HA45+HA46</f>
        <v>68.832000000000008</v>
      </c>
      <c r="HB114" s="102">
        <f>HB37+HB38+HB40+HB44+HB45+HB46</f>
        <v>68.832000000000008</v>
      </c>
      <c r="HC114" s="102">
        <f>HC37+HC38+HC40+HC44+HC45+HC46</f>
        <v>68.832000000000008</v>
      </c>
      <c r="HF114" s="102">
        <f>HF37+HF38+HF40+HF44+HF45+HF46</f>
        <v>68.832000000000008</v>
      </c>
      <c r="HG114" s="102">
        <f>HG37+HG38+HG40+HG44+HG45+HG46</f>
        <v>68.832000000000008</v>
      </c>
      <c r="HH114" s="102">
        <f>HH37+HH38+HH40+HH44+HH45+HH46</f>
        <v>68.832000000000008</v>
      </c>
      <c r="HI114" s="102">
        <f>HI37+HI38+HI40+HI44+HI45+HI46</f>
        <v>68.832000000000008</v>
      </c>
    </row>
    <row r="115" spans="1:217">
      <c r="B115" s="31" t="s">
        <v>618</v>
      </c>
      <c r="DH115" s="102">
        <f>DH11+DH12+DH13+DH25+DH27</f>
        <v>15.173</v>
      </c>
      <c r="DI115" s="102">
        <f>DI11+DI12+DI13+DI25+DI27</f>
        <v>9.4350000000000005</v>
      </c>
      <c r="DJ115" s="102">
        <f>DJ11+DJ12+DJ13+DJ25+DJ27</f>
        <v>118.44</v>
      </c>
      <c r="DK115" s="102">
        <f>DK11+DK12+DK13+DK25+DK27</f>
        <v>9.8109999999999999</v>
      </c>
      <c r="DN115" s="102">
        <f>DN11+DN12+DN13+DN25+DN27</f>
        <v>13.195</v>
      </c>
      <c r="DO115" s="102">
        <f>DO11+DO12+DO13+DO25+DO27</f>
        <v>167.43600000000001</v>
      </c>
      <c r="DP115" s="102">
        <f>DP11+DP12+DP13+DP25+DP27</f>
        <v>178.89099999999999</v>
      </c>
      <c r="DQ115" s="102">
        <f>DQ11+DQ12+DQ13+DQ25+DQ27</f>
        <v>173.01599999999999</v>
      </c>
      <c r="DT115" s="102">
        <f>DT11+DT12+DT13+DT25+DT27</f>
        <v>124.992</v>
      </c>
      <c r="DU115" s="102">
        <f>DU11+DU12+DU13+DU25+DU27</f>
        <v>344.44800000000004</v>
      </c>
      <c r="DV115" s="102">
        <f>DV11+DV12+DV13+DV25+DV27</f>
        <v>341.21100000000001</v>
      </c>
      <c r="DW115" s="102">
        <f>DW11+DW12+DW13+DW25+DW27</f>
        <v>347.733</v>
      </c>
      <c r="DZ115" s="102">
        <f>DZ11+DZ12+DZ13+DZ25+DZ27</f>
        <v>853.53899999999999</v>
      </c>
      <c r="EA115" s="102">
        <f>EA11+EA12+EA13+EA25+EA27</f>
        <v>575.84899999999993</v>
      </c>
      <c r="EB115" s="102">
        <f>EB11+EB12+EB13+EB25+EB27</f>
        <v>545.87</v>
      </c>
      <c r="EC115" s="102">
        <f>EC11+EC12+EC13+EC25+EC27</f>
        <v>515.39</v>
      </c>
      <c r="EF115" s="102">
        <f>EF11+EF12+EF13+EF25+EF27</f>
        <v>481.43</v>
      </c>
      <c r="EG115" s="102">
        <f>EG11+EG12+EG13+EG25+EG27</f>
        <v>465.95299999999997</v>
      </c>
      <c r="EH115" s="102">
        <f>EH11+EH12+EH13+EH25+EH27</f>
        <v>443.53999999999996</v>
      </c>
      <c r="EI115" s="102">
        <f>EI11+EI12+EI13+EI25+EI27</f>
        <v>437.98900000000003</v>
      </c>
      <c r="EL115" s="102">
        <f>EL11+EL12+EL13+EL25+EL27</f>
        <v>417.91499999999996</v>
      </c>
      <c r="EM115" s="102">
        <f>EM11+EM12+EM13+EM25+EM27</f>
        <v>409.346</v>
      </c>
      <c r="EN115" s="102">
        <f>EN11+EN12+EN13+EN25+EN27</f>
        <v>402.26400000000001</v>
      </c>
      <c r="EO115" s="102">
        <f>EO11+EO12+EO13+EO25+EO27</f>
        <v>415.20299999999997</v>
      </c>
      <c r="ER115" s="102">
        <f>ER11+ER12+ER13+ER25+ER27</f>
        <v>384.83</v>
      </c>
      <c r="ES115" s="102">
        <f>ES11+ES12+ES13+ES25+ES27</f>
        <v>387.85499999999996</v>
      </c>
      <c r="ET115" s="102">
        <f>ET11+ET12+ET13+ET25+ET27</f>
        <v>387.81300000000005</v>
      </c>
      <c r="EU115" s="102">
        <f>EU11+EU12+EU13+EU25+EU27</f>
        <v>386.84399999999999</v>
      </c>
      <c r="EX115" s="102">
        <f>EX11+EX12+EX13+EX25+EX27</f>
        <v>358.08000000000004</v>
      </c>
      <c r="EY115" s="102">
        <f>EY11+EY12+EY13+EY25+EY27</f>
        <v>163.685</v>
      </c>
      <c r="EZ115" s="102">
        <f>EZ11+EZ12+EZ13+EZ25+EZ27</f>
        <v>164.11699999999999</v>
      </c>
      <c r="FA115" s="102">
        <f>FA11+FA12+FA13+FA25+FA27</f>
        <v>170.48055307199783</v>
      </c>
      <c r="FD115" s="543">
        <f>FD11+FD12+FD13+FD25+FD27</f>
        <v>171.57358573587354</v>
      </c>
      <c r="FE115" s="102">
        <f>FE11+FE12+FE13+FE25+FE27</f>
        <v>171.349555312668</v>
      </c>
      <c r="FF115" s="102">
        <f>FF11+FF12+FF13+FF25+FF27</f>
        <v>176.55256751239384</v>
      </c>
      <c r="FG115" s="102">
        <f>FG11+FG12+FG13+FG25+FG27</f>
        <v>184.89137458511718</v>
      </c>
      <c r="FJ115" s="102">
        <f>FJ11+FJ12+FJ13+FJ25+FJ27</f>
        <v>199.07862125188333</v>
      </c>
      <c r="FK115" s="102">
        <f>FK11+FK12+FK13+FK25+FK27</f>
        <v>205.32606193596533</v>
      </c>
      <c r="FL115" s="102">
        <f>FL11+FL12+FL13+FL25+FL27</f>
        <v>212.27825337228288</v>
      </c>
      <c r="FM115" s="102">
        <f>FM11+FM12+FM13+FM25+FM27</f>
        <v>563.1196620316108</v>
      </c>
      <c r="FP115" s="102">
        <f>FP11+FP12+FP13+FP25+FP27</f>
        <v>580.8979387676394</v>
      </c>
      <c r="FQ115" s="102">
        <f>FQ11+FQ12+FQ13+FQ25+FQ27</f>
        <v>590.50305011649255</v>
      </c>
      <c r="FR115" s="102">
        <f>FR11+FR12+FR13+FR25+FR27</f>
        <v>601.19391224107937</v>
      </c>
      <c r="FS115" s="102">
        <f>FS11+FS12+FS13+FS25+FS27</f>
        <v>267.78368595191949</v>
      </c>
      <c r="FV115" s="102">
        <f>FV11+FV12+FV13+FV25+FV27</f>
        <v>287.61550851658222</v>
      </c>
      <c r="FW115" s="102">
        <f>FW11+FW12+FW13+FW25+FW27</f>
        <v>297.54496199278339</v>
      </c>
      <c r="FX115" s="102">
        <f>FX11+FX12+FX13+FX25+FX27</f>
        <v>308.75374532613404</v>
      </c>
      <c r="FY115" s="102">
        <f>FY11+FY12+FY13+FY25+FY27</f>
        <v>321.2937519803271</v>
      </c>
      <c r="GB115" s="102">
        <f>GB11+GB12+GB13+GB25+GB27</f>
        <v>348.25862797253359</v>
      </c>
      <c r="GC115" s="102">
        <f>GC11+GC12+GC13+GC25+GC27</f>
        <v>364.4908058345581</v>
      </c>
      <c r="GD115" s="102">
        <f>GD11+GD12+GD13+GD25+GD27</f>
        <v>382.3570884770092</v>
      </c>
      <c r="GE115" s="102">
        <f>GE11+GE12+GE13+GE25+GE27</f>
        <v>401.81003556797015</v>
      </c>
      <c r="GH115" s="102">
        <f>GH11+GH12+GH13+GH25+GH27</f>
        <v>436.23283468970698</v>
      </c>
      <c r="GI115" s="102">
        <f>GI11+GI12+GI13+GI25+GI27</f>
        <v>459.26517305998573</v>
      </c>
      <c r="GJ115" s="102">
        <f>GJ11+GJ12+GJ13+GJ25+GJ27</f>
        <v>484.36882609150962</v>
      </c>
      <c r="GK115" s="102">
        <f>GK11+GK12+GK13+GK25+GK27</f>
        <v>168.1010311029226</v>
      </c>
      <c r="GN115" s="102">
        <f>GN11+GN12+GN13+GN25+GN27</f>
        <v>212.81470164128132</v>
      </c>
      <c r="GO115" s="102">
        <f>GO11+GO12+GO13+GO25+GO27</f>
        <v>245.55158335201898</v>
      </c>
      <c r="GP115" s="102">
        <f>GP11+GP12+GP13+GP25+GP27</f>
        <v>280.79626472116183</v>
      </c>
      <c r="GQ115" s="102">
        <f>GQ11+GQ12+GQ13+GQ25+GQ27</f>
        <v>318.24916544814482</v>
      </c>
      <c r="GT115" s="102">
        <f>GT11+GT12+GT13+GT25+GT27</f>
        <v>371.52769290786046</v>
      </c>
      <c r="GU115" s="102">
        <f>GU11+GU12+GU13+GU25+GU27</f>
        <v>412.29477378332433</v>
      </c>
      <c r="GV115" s="102">
        <f>GV11+GV12+GV13+GV25+GV27</f>
        <v>456.05480298194209</v>
      </c>
      <c r="GW115" s="102">
        <f>GW11+GW12+GW13+GW25+GW27</f>
        <v>502.36840632637393</v>
      </c>
      <c r="GZ115" s="102">
        <f>GZ11+GZ12+GZ13+GZ25+GZ27</f>
        <v>565.39784923585717</v>
      </c>
      <c r="HA115" s="102">
        <f>HA11+HA12+HA13+HA25+HA27</f>
        <v>615.44087767620056</v>
      </c>
      <c r="HB115" s="102">
        <f>HB11+HB12+HB13+HB25+HB27</f>
        <v>669.00453343483957</v>
      </c>
      <c r="HC115" s="102">
        <f>HC11+HC12+HC13+HC25+HC27</f>
        <v>725.48995233167102</v>
      </c>
      <c r="HF115" s="102">
        <f>HF11+HF12+HF13+HF25+HF27</f>
        <v>799.14521462713049</v>
      </c>
      <c r="HG115" s="102">
        <f>HG11+HG12+HG13+HG25+HG27</f>
        <v>859.39622741815413</v>
      </c>
      <c r="HH115" s="102">
        <f>HH11+HH12+HH13+HH25+HH27</f>
        <v>923.72509037523332</v>
      </c>
      <c r="HI115" s="102">
        <f>HI11+HI12+HI13+HI25+HI27</f>
        <v>991.35918660568325</v>
      </c>
    </row>
    <row r="116" spans="1:217">
      <c r="B116" s="31" t="s">
        <v>620</v>
      </c>
      <c r="DH116" s="102">
        <f>DH114-DH115</f>
        <v>85.870999999999995</v>
      </c>
      <c r="DI116" s="102">
        <f>DI114-DI115</f>
        <v>129.09899999999999</v>
      </c>
      <c r="DJ116" s="102">
        <f>DJ114-DJ115</f>
        <v>-8.1210000000000093</v>
      </c>
      <c r="DK116" s="102">
        <f>DK114-DK115</f>
        <v>102.48999999999998</v>
      </c>
      <c r="DN116" s="102">
        <f>DN114-DN115</f>
        <v>117.69499999999999</v>
      </c>
      <c r="DO116" s="102">
        <f>DO114-DO115</f>
        <v>-29.97199999999998</v>
      </c>
      <c r="DP116" s="102">
        <f>DP114-DP115</f>
        <v>-42.484999999999985</v>
      </c>
      <c r="DQ116" s="102">
        <f>DQ114-DQ115</f>
        <v>-40.140999999999991</v>
      </c>
      <c r="DT116" s="102">
        <f>DT114-DT115</f>
        <v>28.397000000000006</v>
      </c>
      <c r="DU116" s="102">
        <f>DU114-DU115</f>
        <v>-124.51500000000001</v>
      </c>
      <c r="DV116" s="102">
        <f>DV114-DV115</f>
        <v>-121.84800000000001</v>
      </c>
      <c r="DW116" s="102">
        <f>DW114-DW115</f>
        <v>-128.542</v>
      </c>
      <c r="DZ116" s="102">
        <f>DZ114-DZ115</f>
        <v>-268.84099999999989</v>
      </c>
      <c r="EA116" s="102">
        <f>EA114-EA115</f>
        <v>12.855000000000018</v>
      </c>
      <c r="EB116" s="102">
        <f>EB114-EB115</f>
        <v>66.949000000000069</v>
      </c>
      <c r="EC116" s="102">
        <f>EC114-EC115</f>
        <v>97.47199999999998</v>
      </c>
      <c r="EF116" s="102">
        <f>EF114-EF115</f>
        <v>131.77199999999999</v>
      </c>
      <c r="EG116" s="102">
        <f>EG114-EG115</f>
        <v>145.94500000000005</v>
      </c>
      <c r="EH116" s="102">
        <f>EH114-EH115</f>
        <v>168.03700000000003</v>
      </c>
      <c r="EI116" s="102">
        <f>EI114-EI115</f>
        <v>172.93899999999996</v>
      </c>
      <c r="EL116" s="102">
        <f>EL114-EL115</f>
        <v>192.41300000000001</v>
      </c>
      <c r="EM116" s="102">
        <f>EM114-EM115</f>
        <v>200.24199999999996</v>
      </c>
      <c r="EN116" s="102">
        <f>EN114-EN115</f>
        <v>203.43500000000006</v>
      </c>
      <c r="EO116" s="102">
        <f>EO114-EO115</f>
        <v>196.476</v>
      </c>
      <c r="ER116" s="102">
        <f>ER114-ER115</f>
        <v>223.35300000000001</v>
      </c>
      <c r="ES116" s="102">
        <f>ES114-ES115</f>
        <v>218.66300000000007</v>
      </c>
      <c r="ET116" s="102">
        <f>ET114-ET115</f>
        <v>218.45499999999998</v>
      </c>
      <c r="EU116" s="102">
        <f>EU114-EU115</f>
        <v>218.48999999999995</v>
      </c>
      <c r="EX116" s="102">
        <f>EX114-EX115</f>
        <v>246.70099999999991</v>
      </c>
      <c r="EY116" s="102">
        <f>EY114-EY115</f>
        <v>248.07800000000003</v>
      </c>
      <c r="EZ116" s="102">
        <f>EZ114-EZ115</f>
        <v>246.191</v>
      </c>
      <c r="FA116" s="102">
        <f>FA114-FA115</f>
        <v>239.92204692800212</v>
      </c>
      <c r="FD116" s="543">
        <f>FD114-FD115</f>
        <v>239.13791426412641</v>
      </c>
      <c r="FE116" s="102">
        <f>FE114-FE115</f>
        <v>239.67084468733199</v>
      </c>
      <c r="FF116" s="102">
        <f>FF114-FF115</f>
        <v>234.77673248760615</v>
      </c>
      <c r="FG116" s="102">
        <f>FG114-FG115</f>
        <v>226.74682541488281</v>
      </c>
      <c r="FJ116" s="102">
        <f>FJ114-FJ115</f>
        <v>212.86847874811664</v>
      </c>
      <c r="FK116" s="102">
        <f>FK114-FK115</f>
        <v>206.92993806403464</v>
      </c>
      <c r="FL116" s="102">
        <f>FL114-FL115</f>
        <v>200.28664662771709</v>
      </c>
      <c r="FM116" s="102">
        <f>FM114-FM115</f>
        <v>194.75413796838916</v>
      </c>
      <c r="FP116" s="102">
        <f>FP114-FP115</f>
        <v>177.28476123236055</v>
      </c>
      <c r="FQ116" s="102">
        <f>FQ114-FQ115</f>
        <v>167.9885498835074</v>
      </c>
      <c r="FR116" s="102">
        <f>FR114-FR115</f>
        <v>157.60658775892057</v>
      </c>
      <c r="FS116" s="102">
        <f>FS114-FS115</f>
        <v>146.0483140480805</v>
      </c>
      <c r="FV116" s="102">
        <f>FV114-FV115</f>
        <v>126.21649148341777</v>
      </c>
      <c r="FW116" s="102">
        <f>FW114-FW115</f>
        <v>116.28703800721661</v>
      </c>
      <c r="FX116" s="102">
        <f>FX114-FX115</f>
        <v>105.07825467386596</v>
      </c>
      <c r="FY116" s="102">
        <f>FY114-FY115</f>
        <v>92.538248019672892</v>
      </c>
      <c r="GB116" s="102">
        <f>GB114-GB115</f>
        <v>65.573372027466405</v>
      </c>
      <c r="GC116" s="102">
        <f>GC114-GC115</f>
        <v>49.341194165441891</v>
      </c>
      <c r="GD116" s="102">
        <f>GD114-GD115</f>
        <v>31.474911522990794</v>
      </c>
      <c r="GE116" s="102">
        <f>GE114-GE115</f>
        <v>12.021964432029847</v>
      </c>
      <c r="GH116" s="102">
        <f>GH114-GH115</f>
        <v>-22.400834689706983</v>
      </c>
      <c r="GI116" s="102">
        <f>GI114-GI115</f>
        <v>-45.433173059985734</v>
      </c>
      <c r="GJ116" s="102">
        <f>GJ114-GJ115</f>
        <v>-70.536826091509624</v>
      </c>
      <c r="GK116" s="102">
        <f>GK114-GK115</f>
        <v>-99.269031102922597</v>
      </c>
      <c r="GN116" s="102">
        <f>GN114-GN115</f>
        <v>-143.98270164128132</v>
      </c>
      <c r="GO116" s="102">
        <f>GO114-GO115</f>
        <v>-176.71958335201896</v>
      </c>
      <c r="GP116" s="102">
        <f>GP114-GP115</f>
        <v>-211.96426472116184</v>
      </c>
      <c r="GQ116" s="102">
        <f>GQ114-GQ115</f>
        <v>-249.41716544814483</v>
      </c>
      <c r="GT116" s="102">
        <f>GT114-GT115</f>
        <v>-302.69569290786046</v>
      </c>
      <c r="GU116" s="102">
        <f>GU114-GU115</f>
        <v>-343.46277378332434</v>
      </c>
      <c r="GV116" s="102">
        <f>GV114-GV115</f>
        <v>-387.2228029819421</v>
      </c>
      <c r="GW116" s="102">
        <f>GW114-GW115</f>
        <v>-433.53640632637394</v>
      </c>
      <c r="GZ116" s="102">
        <f>GZ114-GZ115</f>
        <v>-496.56584923585717</v>
      </c>
      <c r="HA116" s="102">
        <f>HA114-HA115</f>
        <v>-546.60887767620056</v>
      </c>
      <c r="HB116" s="102">
        <f>HB114-HB115</f>
        <v>-600.17253343483958</v>
      </c>
      <c r="HC116" s="102">
        <f>HC114-HC115</f>
        <v>-656.65795233167103</v>
      </c>
      <c r="HF116" s="102">
        <f>HF114-HF115</f>
        <v>-730.31321462713049</v>
      </c>
      <c r="HG116" s="102">
        <f>HG114-HG115</f>
        <v>-790.56422741815413</v>
      </c>
      <c r="HH116" s="102">
        <f>HH114-HH115</f>
        <v>-854.89309037523333</v>
      </c>
      <c r="HI116" s="102">
        <f>HI114-HI115</f>
        <v>-922.52718660568326</v>
      </c>
    </row>
    <row r="117" spans="1:217">
      <c r="DH117" s="102"/>
      <c r="DI117" s="102"/>
      <c r="DJ117" s="102"/>
      <c r="DK117" s="102"/>
      <c r="DN117" s="102"/>
      <c r="DO117" s="102"/>
      <c r="DP117" s="102"/>
      <c r="DQ117" s="102"/>
      <c r="FD117" s="640"/>
      <c r="HF117" s="31"/>
      <c r="HG117" s="31"/>
      <c r="HH117" s="31"/>
      <c r="HI117" s="31"/>
    </row>
    <row r="118" spans="1:217">
      <c r="B118" s="31" t="s">
        <v>621</v>
      </c>
      <c r="DH118" s="102">
        <f>DH112-DH116</f>
        <v>208.01600000000002</v>
      </c>
      <c r="DI118" s="102">
        <f>DI112-DI116</f>
        <v>164.209</v>
      </c>
      <c r="DJ118" s="102">
        <f>DJ112-DJ116</f>
        <v>303.55899999999997</v>
      </c>
      <c r="DK118" s="102">
        <f>DK112-DK116</f>
        <v>320.44299999999998</v>
      </c>
      <c r="DN118" s="102">
        <f>DN112-DN116</f>
        <v>323.84800000000001</v>
      </c>
      <c r="DO118" s="102">
        <f>DO112-DO116</f>
        <v>489.73399999999987</v>
      </c>
      <c r="DP118" s="102">
        <f>DP112-DP116</f>
        <v>497.00699999999995</v>
      </c>
      <c r="DQ118" s="102">
        <f>DQ112-DQ116</f>
        <v>507.40800000000002</v>
      </c>
      <c r="DT118" s="102">
        <f>DT112-DT116</f>
        <v>505.04300000000006</v>
      </c>
      <c r="DU118" s="102">
        <f>DU112-DU116</f>
        <v>654.22899999999993</v>
      </c>
      <c r="DV118" s="102">
        <f>DV112-DV116</f>
        <v>666.36300000000006</v>
      </c>
      <c r="DW118" s="102">
        <f>DW112-DW116</f>
        <v>694.2940000000001</v>
      </c>
      <c r="DZ118" s="102">
        <f>DZ112-DZ116</f>
        <v>843.71399999999994</v>
      </c>
      <c r="EA118" s="102">
        <f>EA112-EA116</f>
        <v>1148.3579999999999</v>
      </c>
      <c r="EB118" s="102">
        <f>EB112-EB116</f>
        <v>1127.1949999999999</v>
      </c>
      <c r="EC118" s="102">
        <f>EC112-EC116</f>
        <v>1098.2270000000001</v>
      </c>
      <c r="EF118" s="102">
        <f>EF112-EF116</f>
        <v>1075.0039999999999</v>
      </c>
      <c r="EG118" s="102">
        <f>EG112-EG116</f>
        <v>1043.5190000000002</v>
      </c>
      <c r="EH118" s="102">
        <f>EH112-EH116</f>
        <v>1012.9879999999998</v>
      </c>
      <c r="EI118" s="102">
        <f>EI112-EI116</f>
        <v>998.0229999999998</v>
      </c>
      <c r="EL118" s="102">
        <f>EL112-EL116</f>
        <v>974.46199999999999</v>
      </c>
      <c r="EM118" s="102">
        <f>EM112-EM116</f>
        <v>956.19200000000001</v>
      </c>
      <c r="EN118" s="102">
        <f>EN112-EN116</f>
        <v>947.428</v>
      </c>
      <c r="EO118" s="102">
        <f>EO112-EO116</f>
        <v>941.53699999999992</v>
      </c>
      <c r="ER118" s="102">
        <f>ER112-ER116</f>
        <v>923.40999999999985</v>
      </c>
      <c r="ES118" s="102">
        <f>ES112-ES116</f>
        <v>915.88400000000001</v>
      </c>
      <c r="ET118" s="102">
        <f>ET112-ET116</f>
        <v>908.21</v>
      </c>
      <c r="EU118" s="102">
        <f>EU112-EU116</f>
        <v>902.33899999999994</v>
      </c>
      <c r="EX118" s="102">
        <f>EX112-EX116</f>
        <v>888.26899999999989</v>
      </c>
      <c r="EY118" s="102">
        <f>EY112-EY116</f>
        <v>845.08400000000006</v>
      </c>
      <c r="EZ118" s="102">
        <f>EZ112-EZ116</f>
        <v>836.21199999999999</v>
      </c>
      <c r="FA118" s="102">
        <f>FA112-FA116</f>
        <v>844.31600000000003</v>
      </c>
      <c r="FD118" s="543">
        <f>FD112-FD116</f>
        <v>844.23114165522463</v>
      </c>
      <c r="FE118" s="102">
        <f>FE112-FE116</f>
        <v>846.96215573344398</v>
      </c>
      <c r="FF118" s="102">
        <f>FF112-FF116</f>
        <v>854.50429844577332</v>
      </c>
      <c r="FG118" s="102">
        <f>FG112-FG116</f>
        <v>864.25104582802169</v>
      </c>
      <c r="FJ118" s="102">
        <f>FJ112-FJ116</f>
        <v>873.54759558229455</v>
      </c>
      <c r="FK118" s="102">
        <f>FK112-FK116</f>
        <v>883.45650984352676</v>
      </c>
      <c r="FL118" s="102">
        <f>FL112-FL116</f>
        <v>893.83101906255342</v>
      </c>
      <c r="FM118" s="102">
        <f>FM112-FM116</f>
        <v>902.34446879997199</v>
      </c>
      <c r="FP118" s="102">
        <f>FP112-FP116</f>
        <v>915.40821403056793</v>
      </c>
      <c r="FQ118" s="102">
        <f>FQ112-FQ116</f>
        <v>929.44103209671312</v>
      </c>
      <c r="FR118" s="102">
        <f>FR112-FR116</f>
        <v>944.23509062120888</v>
      </c>
      <c r="FS118" s="102">
        <f>FS112-FS116</f>
        <v>959.51013300705722</v>
      </c>
      <c r="FV118" s="102">
        <f>FV112-FV116</f>
        <v>973.46215419501755</v>
      </c>
      <c r="FW118" s="102">
        <f>FW112-FW116</f>
        <v>988.70390131817271</v>
      </c>
      <c r="FX118" s="102">
        <f>FX112-FX116</f>
        <v>1004.8284347390131</v>
      </c>
      <c r="FY118" s="102">
        <f>FY112-FY116</f>
        <v>1021.4989546872775</v>
      </c>
      <c r="GB118" s="102">
        <f>GB112-GB116</f>
        <v>1041.5810965658141</v>
      </c>
      <c r="GC118" s="102">
        <f>GC112-GC116</f>
        <v>1063.1756346639304</v>
      </c>
      <c r="GD118" s="102">
        <f>GD112-GD116</f>
        <v>1085.9813642706706</v>
      </c>
      <c r="GE118" s="102">
        <f>GE112-GE116</f>
        <v>1109.542016048131</v>
      </c>
      <c r="GH118" s="102">
        <f>GH112-GH116</f>
        <v>1136.4310121824042</v>
      </c>
      <c r="GI118" s="102">
        <f>GI112-GI116</f>
        <v>1165.2724844052746</v>
      </c>
      <c r="GJ118" s="102">
        <f>GJ112-GJ116</f>
        <v>1195.6919658797806</v>
      </c>
      <c r="GK118" s="102">
        <f>GK112-GK116</f>
        <v>1228.8243873396273</v>
      </c>
      <c r="GN118" s="102">
        <f>GN112-GN116</f>
        <v>1264.8047189122381</v>
      </c>
      <c r="GO118" s="102">
        <f>GO112-GO116</f>
        <v>1303.2396047927277</v>
      </c>
      <c r="GP118" s="102">
        <f>GP112-GP116</f>
        <v>1343.6738544395771</v>
      </c>
      <c r="GQ118" s="102">
        <f>GQ112-GQ116</f>
        <v>1385.3680652637654</v>
      </c>
      <c r="GT118" s="102">
        <f>GT112-GT116</f>
        <v>1429.3434089827988</v>
      </c>
      <c r="GU118" s="102">
        <f>GU112-GU116</f>
        <v>1476.2681882887227</v>
      </c>
      <c r="GV118" s="102">
        <f>GV112-GV116</f>
        <v>1525.6062450487377</v>
      </c>
      <c r="GW118" s="102">
        <f>GW112-GW116</f>
        <v>1576.4680451595223</v>
      </c>
      <c r="GZ118" s="102">
        <f>GZ112-GZ116</f>
        <v>1629.5205069324247</v>
      </c>
      <c r="HA118" s="102">
        <f>HA112-HA116</f>
        <v>1686.0793079243524</v>
      </c>
      <c r="HB118" s="102">
        <f>HB112-HB116</f>
        <v>1745.518053612695</v>
      </c>
      <c r="HC118" s="102">
        <f>HC112-HC116</f>
        <v>1806.7783863337795</v>
      </c>
      <c r="HF118" s="102">
        <f>HF112-HF116</f>
        <v>1869.7345147728802</v>
      </c>
      <c r="HG118" s="102">
        <f>HG112-HG116</f>
        <v>1936.79617805061</v>
      </c>
      <c r="HH118" s="102">
        <f>HH112-HH116</f>
        <v>2007.2405931978205</v>
      </c>
      <c r="HI118" s="102">
        <f>HI112-HI116</f>
        <v>2079.827973426969</v>
      </c>
    </row>
    <row r="119" spans="1:217">
      <c r="DH119" s="102"/>
      <c r="DI119" s="102"/>
      <c r="DJ119" s="102"/>
      <c r="DK119" s="102"/>
      <c r="DN119" s="102"/>
      <c r="DO119" s="102"/>
      <c r="DP119" s="102"/>
      <c r="DQ119" s="102"/>
      <c r="FD119" s="640"/>
      <c r="HF119" s="31"/>
      <c r="HG119" s="31"/>
      <c r="HH119" s="31"/>
      <c r="HI119" s="31"/>
    </row>
    <row r="120" spans="1:217">
      <c r="B120" s="31" t="s">
        <v>622</v>
      </c>
      <c r="DH120" s="102"/>
      <c r="DI120" s="491">
        <f>IS!DI49/BS!DH112</f>
        <v>0.23051717156594201</v>
      </c>
      <c r="DJ120" s="491">
        <f>IS!DJ49/BS!DI112</f>
        <v>0.2355748905587301</v>
      </c>
      <c r="DK120" s="491">
        <f>IS!DK49/BS!DJ112</f>
        <v>0.25885295730407054</v>
      </c>
      <c r="DN120" s="491">
        <f>IS!DN49/BS!DK112</f>
        <v>0.22598614910635964</v>
      </c>
      <c r="DO120" s="491">
        <f>IS!DO49/BS!DN112</f>
        <v>0.23035808516950781</v>
      </c>
      <c r="DP120" s="491">
        <f>IS!DP49/BS!DO112</f>
        <v>0.22766561829816301</v>
      </c>
      <c r="DQ120" s="491">
        <f>IS!DQ49/BS!DP112</f>
        <v>0.23512173228138572</v>
      </c>
      <c r="DT120" s="491">
        <f>IS!DT49/BS!DQ112</f>
        <v>0.22691523261860991</v>
      </c>
      <c r="DU120" s="491">
        <f>IS!DU49/BS!DT112</f>
        <v>0.1630492651469706</v>
      </c>
      <c r="DV120" s="491">
        <f>IS!DV49/BS!DU112</f>
        <v>0.236814582963637</v>
      </c>
      <c r="DW120" s="491">
        <f>IS!DW49/BS!DV112</f>
        <v>0.23139307457094846</v>
      </c>
      <c r="DZ120" s="491">
        <f>IS!DZ49/BS!DW112</f>
        <v>0.20421138590760612</v>
      </c>
      <c r="EA120" s="491">
        <f>IS!EA49/BS!DZ112</f>
        <v>0.21174068011543418</v>
      </c>
      <c r="EB120" s="491">
        <f>IS!EB49/BS!EA112</f>
        <v>0.10449417979302678</v>
      </c>
      <c r="EC120" s="491">
        <f>IS!EC49/BS!EB112</f>
        <v>0.10529048422970765</v>
      </c>
      <c r="ED120" s="491"/>
      <c r="EF120" s="491">
        <f>IS!EF49/BS!EC112</f>
        <v>9.7992053183953473E-2</v>
      </c>
      <c r="EG120" s="491">
        <f>IS!EG49/BS!EF112</f>
        <v>0.10364143801335129</v>
      </c>
      <c r="EH120" s="491">
        <f>IS!EH49/BS!EG112</f>
        <v>0.10826893457893638</v>
      </c>
      <c r="EI120" s="491">
        <f>IS!EI49/BS!EH112</f>
        <v>0.11744459262081669</v>
      </c>
      <c r="EJ120" s="491"/>
      <c r="EL120" s="491">
        <f>IS!EL49/BS!EI112</f>
        <v>0.1171856985965386</v>
      </c>
      <c r="EM120" s="491">
        <f>IS!EM49/BS!EL112</f>
        <v>0.12590637386181039</v>
      </c>
      <c r="EN120" s="491">
        <f>IS!EN49/BS!EM112</f>
        <v>0.1313987655153688</v>
      </c>
      <c r="EO120" s="491">
        <f>IS!EO49/BS!EN112</f>
        <v>0.1351611790456379</v>
      </c>
      <c r="EP120" s="491"/>
      <c r="ER120" s="491">
        <f>IS!ER49/BS!EO112</f>
        <v>0.13729192900256854</v>
      </c>
      <c r="ES120" s="491">
        <f>IS!ES49/BS!ER112</f>
        <v>0.14344899512802561</v>
      </c>
      <c r="ET120" s="491">
        <f>IS!ET49/BS!ES112</f>
        <v>0.14792159337603467</v>
      </c>
      <c r="EU120" s="491">
        <f>IS!EU49/BS!ET112</f>
        <v>0.15266294772625405</v>
      </c>
      <c r="EX120" s="870">
        <f>IS!EX49/BS!EU112</f>
        <v>0.14992028221967849</v>
      </c>
      <c r="EY120" s="870">
        <f>IS!EY49/BS!EX112</f>
        <v>0.15976633743623184</v>
      </c>
      <c r="EZ120" s="870">
        <f>IS!EZ49/BS!EY112</f>
        <v>0.17179246991754193</v>
      </c>
      <c r="FA120" s="870">
        <f>IS!FA49/BS!EZ112</f>
        <v>0.17569241770394206</v>
      </c>
      <c r="FD120" s="874">
        <f>IS!FD49/BS!FA112</f>
        <v>0.17027798142782721</v>
      </c>
      <c r="FE120" s="491">
        <f>IS!FE49/BS!FD112</f>
        <v>0.18098213547701336</v>
      </c>
      <c r="FF120" s="491">
        <f>IS!FF49/BS!FE112</f>
        <v>0.18919069790296553</v>
      </c>
      <c r="FG120" s="491">
        <f>IS!FG49/BS!FF112</f>
        <v>0.19378831979394878</v>
      </c>
      <c r="FJ120" s="491">
        <f>IS!FJ49/BS!FG112</f>
        <v>0.18573063933746881</v>
      </c>
      <c r="FK120" s="491">
        <f>IS!FK49/BS!FJ112</f>
        <v>0.19812782993008846</v>
      </c>
      <c r="FL120" s="491">
        <f>IS!FL49/BS!FK112</f>
        <v>0.20698321022298477</v>
      </c>
      <c r="FM120" s="491">
        <f>IS!FM49/BS!FL112</f>
        <v>0.21181706602868691</v>
      </c>
      <c r="FP120" s="491">
        <f>IS!FP49/BS!FM112</f>
        <v>0.20275108830642971</v>
      </c>
      <c r="FQ120" s="491">
        <f>IS!FQ49/BS!FP112</f>
        <v>0.21629473607595825</v>
      </c>
      <c r="FR120" s="491">
        <f>IS!FR49/BS!FQ112</f>
        <v>0.2258107241456225</v>
      </c>
      <c r="FS120" s="491">
        <f>IS!FS49/BS!FR112</f>
        <v>0.2309590590034544</v>
      </c>
      <c r="FV120" s="491">
        <f>IS!FV49/BS!FS112</f>
        <v>0.21990336481888836</v>
      </c>
      <c r="FW120" s="491">
        <f>IS!FW49/BS!FV112</f>
        <v>0.23490000925433546</v>
      </c>
      <c r="FX120" s="491">
        <f>IS!FX49/BS!FW112</f>
        <v>0.24511350126205325</v>
      </c>
      <c r="FY120" s="491">
        <f>IS!FY49/BS!FX112</f>
        <v>0.25059502963448266</v>
      </c>
      <c r="GB120" s="491">
        <f>IS!GB49/BS!FY112</f>
        <v>0.23742545256700134</v>
      </c>
      <c r="GC120" s="491">
        <f>IS!GC49/BS!GB112</f>
        <v>0.25383645569303215</v>
      </c>
      <c r="GD120" s="491">
        <f>IS!GD49/BS!GC112</f>
        <v>0.26486998567971254</v>
      </c>
      <c r="GE120" s="491">
        <f>IS!GE49/BS!GD112</f>
        <v>0.27079570356819038</v>
      </c>
      <c r="GH120" s="491">
        <f>IS!GH49/BS!GE112</f>
        <v>0.25492533592167099</v>
      </c>
      <c r="GI120" s="491">
        <f>IS!GI49/BS!GH112</f>
        <v>0.27269384895415594</v>
      </c>
      <c r="GJ120" s="491">
        <f>IS!GJ49/BS!GI112</f>
        <v>0.28444199307909562</v>
      </c>
      <c r="GK120" s="491">
        <f>IS!GK49/BS!GJ112</f>
        <v>0.29071670320627729</v>
      </c>
      <c r="GN120" s="491">
        <f>IS!GN49/BS!GK112</f>
        <v>0.27234921260458611</v>
      </c>
      <c r="GO120" s="491">
        <f>IS!GO49/BS!GN112</f>
        <v>0.29163002389911563</v>
      </c>
      <c r="GP120" s="491">
        <f>IS!GP49/BS!GO112</f>
        <v>0.30423354443571154</v>
      </c>
      <c r="GQ120" s="491">
        <f>IS!GQ49/BS!GP112</f>
        <v>0.31098825480737552</v>
      </c>
      <c r="GT120" s="491">
        <f>IS!GT49/BS!GQ112</f>
        <v>0.29003325688185827</v>
      </c>
      <c r="GU120" s="491">
        <f>IS!GU49/BS!GT112</f>
        <v>0.31070945016252222</v>
      </c>
      <c r="GV120" s="491">
        <f>IS!GV49/BS!GU112</f>
        <v>0.32401447465260469</v>
      </c>
      <c r="GW120" s="491">
        <f>IS!GW49/BS!GV112</f>
        <v>0.33110377246597733</v>
      </c>
      <c r="GZ120" s="491">
        <f>IS!GZ49/BS!GW112</f>
        <v>0.30727588647760479</v>
      </c>
      <c r="HA120" s="491">
        <f>IS!HA49/BS!GZ112</f>
        <v>0.32936045192313601</v>
      </c>
      <c r="HB120" s="491">
        <f>IS!HB49/BS!HA112</f>
        <v>0.34336659709406614</v>
      </c>
      <c r="HC120" s="491">
        <f>IS!HC49/BS!HB112</f>
        <v>0.350798359496863</v>
      </c>
      <c r="HF120" s="491">
        <f>IS!HF49/BS!HC112</f>
        <v>0.32397007500100539</v>
      </c>
      <c r="HG120" s="491">
        <f>IS!HG49/BS!HF112</f>
        <v>0.3474554481654914</v>
      </c>
      <c r="HH120" s="491">
        <f>IS!HH49/BS!HG112</f>
        <v>0.36214965398085841</v>
      </c>
      <c r="HI120" s="491">
        <f>IS!HI49/BS!HH112</f>
        <v>0.3699219407014222</v>
      </c>
    </row>
    <row r="121" spans="1:217">
      <c r="B121" s="31" t="s">
        <v>623</v>
      </c>
      <c r="DH121" s="102"/>
      <c r="DI121" s="42">
        <f>1/DI120</f>
        <v>4.3380716204646772</v>
      </c>
      <c r="DJ121" s="42">
        <f>1/DJ120</f>
        <v>4.2449345837675114</v>
      </c>
      <c r="DK121" s="42">
        <f>1/DK120</f>
        <v>3.8631971232428901</v>
      </c>
      <c r="DN121" s="42">
        <f>1/DN120</f>
        <v>4.4250499597183426</v>
      </c>
      <c r="DO121" s="42">
        <f>1/DO120</f>
        <v>4.3410675134938508</v>
      </c>
      <c r="DP121" s="42">
        <f>1/DP120</f>
        <v>4.3924067563436253</v>
      </c>
      <c r="DQ121" s="42">
        <f>1/DQ120</f>
        <v>4.2531159935621519</v>
      </c>
      <c r="DT121" s="42">
        <f>1/DT120</f>
        <v>4.4069320003772523</v>
      </c>
      <c r="DU121" s="42">
        <f>1/DU120</f>
        <v>6.1331156512641272</v>
      </c>
      <c r="DV121" s="42">
        <f>1/DV120</f>
        <v>4.2227129236950347</v>
      </c>
      <c r="DW121" s="42">
        <f>1/DW120</f>
        <v>4.3216505154884644</v>
      </c>
      <c r="DZ121" s="42">
        <f>1/DZ120</f>
        <v>4.896886603827479</v>
      </c>
      <c r="EA121" s="42">
        <f>1/EA120</f>
        <v>4.7227580427853182</v>
      </c>
      <c r="EB121" s="42">
        <f>1/EB120</f>
        <v>9.5699109939014342</v>
      </c>
      <c r="EC121" s="42">
        <f>1/EC120</f>
        <v>9.4975344383291436</v>
      </c>
      <c r="ED121" s="42"/>
      <c r="EF121" s="42">
        <f>1/EF120</f>
        <v>10.204909148324218</v>
      </c>
      <c r="EG121" s="42">
        <f>1/EG120</f>
        <v>9.6486503773826264</v>
      </c>
      <c r="EH121" s="42">
        <f>1/EH120</f>
        <v>9.2362597257380692</v>
      </c>
      <c r="EI121" s="42">
        <f>1/EI120</f>
        <v>8.5146534011030592</v>
      </c>
      <c r="EJ121" s="42"/>
      <c r="EL121" s="42">
        <f>1/EL120</f>
        <v>8.533464509546711</v>
      </c>
      <c r="EM121" s="42">
        <f>1/EM120</f>
        <v>7.9424096598759846</v>
      </c>
      <c r="EN121" s="42">
        <f>1/EN120</f>
        <v>7.6104215749503137</v>
      </c>
      <c r="EO121" s="42">
        <f>1/EO120</f>
        <v>7.398574110265379</v>
      </c>
      <c r="EP121" s="42"/>
      <c r="ER121" s="42">
        <f>1/ER120</f>
        <v>7.2837493599590362</v>
      </c>
      <c r="ES121" s="42">
        <f>1/ES120</f>
        <v>6.9711188921715221</v>
      </c>
      <c r="ET121" s="42">
        <f>1/ET120</f>
        <v>6.760338211459624</v>
      </c>
      <c r="EU121" s="42">
        <f>1/EU120</f>
        <v>6.5503779069767436</v>
      </c>
      <c r="EX121" s="42">
        <f>1/EX120</f>
        <v>6.6702115630672179</v>
      </c>
      <c r="EY121" s="42">
        <f>1/EY120</f>
        <v>6.2591407930292817</v>
      </c>
      <c r="EZ121" s="42">
        <f>1/EZ120</f>
        <v>5.8209769059143657</v>
      </c>
      <c r="FA121" s="42">
        <f>1/FA120</f>
        <v>5.6917652626597253</v>
      </c>
      <c r="FD121" s="875">
        <f>1/FD120</f>
        <v>5.87274990938187</v>
      </c>
      <c r="FE121" s="42">
        <f>1/FE120</f>
        <v>5.5254072307430064</v>
      </c>
      <c r="FF121" s="42">
        <f>1/FF120</f>
        <v>5.28567213443492</v>
      </c>
      <c r="FG121" s="42">
        <f>1/FG120</f>
        <v>5.1602697265928095</v>
      </c>
      <c r="FJ121" s="42">
        <f>1/FJ120</f>
        <v>5.3841412680598175</v>
      </c>
      <c r="FK121" s="42">
        <f>1/FK120</f>
        <v>5.0472465193449141</v>
      </c>
      <c r="FL121" s="42">
        <f>1/FL120</f>
        <v>4.8313097420930493</v>
      </c>
      <c r="FM121" s="42">
        <f>1/FM120</f>
        <v>4.7210549119048206</v>
      </c>
      <c r="FP121" s="42">
        <f>1/FP120</f>
        <v>4.9321560162904818</v>
      </c>
      <c r="FQ121" s="42">
        <f>1/FQ120</f>
        <v>4.6233210208537878</v>
      </c>
      <c r="FR121" s="42">
        <f>1/FR120</f>
        <v>4.4284876361988568</v>
      </c>
      <c r="FS121" s="42">
        <f>1/FS120</f>
        <v>4.3297717106867983</v>
      </c>
      <c r="FV121" s="42">
        <f>1/FV120</f>
        <v>4.5474520174968509</v>
      </c>
      <c r="FW121" s="42">
        <f>1/FW120</f>
        <v>4.2571305261944916</v>
      </c>
      <c r="FX121" s="42">
        <f>1/FX120</f>
        <v>4.0797426288276553</v>
      </c>
      <c r="FY121" s="42">
        <f>1/FY120</f>
        <v>3.9905021319002127</v>
      </c>
      <c r="GB121" s="42">
        <f>1/GB120</f>
        <v>4.2118483472946124</v>
      </c>
      <c r="GC121" s="42">
        <f>1/GC120</f>
        <v>3.9395444490814726</v>
      </c>
      <c r="GD121" s="42">
        <f>1/GD120</f>
        <v>3.7754372109538497</v>
      </c>
      <c r="GE121" s="42">
        <f>1/GE120</f>
        <v>3.6928207753051927</v>
      </c>
      <c r="GH121" s="42">
        <f>1/GH120</f>
        <v>3.9227172002521655</v>
      </c>
      <c r="GI121" s="42">
        <f>1/GI120</f>
        <v>3.6671160858054979</v>
      </c>
      <c r="GJ121" s="42">
        <f>1/GJ120</f>
        <v>3.5156552982031983</v>
      </c>
      <c r="GK121" s="42">
        <f>1/GK120</f>
        <v>3.4397748356772353</v>
      </c>
      <c r="GN121" s="42">
        <f>1/GN120</f>
        <v>3.671756530656336</v>
      </c>
      <c r="GO121" s="42">
        <f>1/GO120</f>
        <v>3.4290022221646588</v>
      </c>
      <c r="GP121" s="42">
        <f>1/GP120</f>
        <v>3.28694852454481</v>
      </c>
      <c r="GQ121" s="42">
        <f>1/GQ120</f>
        <v>3.2155555219260443</v>
      </c>
      <c r="GT121" s="42">
        <f>1/GT120</f>
        <v>3.447880462919942</v>
      </c>
      <c r="GU121" s="42">
        <f>1/GU120</f>
        <v>3.218440892212747</v>
      </c>
      <c r="GV121" s="42">
        <f>1/GV120</f>
        <v>3.0862818738951705</v>
      </c>
      <c r="GW121" s="42">
        <f>1/GW120</f>
        <v>3.0202011670004616</v>
      </c>
      <c r="GZ121" s="42">
        <f>1/GZ120</f>
        <v>3.2544044098718534</v>
      </c>
      <c r="HA121" s="42">
        <f>1/HA120</f>
        <v>3.0361872354771164</v>
      </c>
      <c r="HB121" s="42">
        <f>1/HB120</f>
        <v>2.9123391979973157</v>
      </c>
      <c r="HC121" s="42">
        <f>1/HC120</f>
        <v>2.8506404688843547</v>
      </c>
      <c r="HF121" s="42">
        <f>1/HF120</f>
        <v>3.0867048445659577</v>
      </c>
      <c r="HG121" s="42">
        <f>1/HG120</f>
        <v>2.8780668292290086</v>
      </c>
      <c r="HH121" s="42">
        <f>1/HH120</f>
        <v>2.7612893979262383</v>
      </c>
      <c r="HI121" s="42">
        <f>1/HI120</f>
        <v>2.7032730151227695</v>
      </c>
    </row>
    <row r="122" spans="1:217" s="653" customFormat="1">
      <c r="A122" s="661"/>
      <c r="B122" s="661" t="s">
        <v>624</v>
      </c>
      <c r="C122" s="661"/>
      <c r="D122" s="661"/>
      <c r="E122" s="661"/>
      <c r="F122" s="661"/>
      <c r="G122" s="661"/>
      <c r="H122" s="661"/>
      <c r="I122" s="661"/>
      <c r="J122" s="661"/>
      <c r="K122" s="661"/>
      <c r="L122" s="661"/>
      <c r="M122" s="661"/>
      <c r="N122" s="661"/>
      <c r="O122" s="661"/>
      <c r="P122" s="661"/>
      <c r="Q122" s="661"/>
      <c r="R122" s="661"/>
      <c r="S122" s="661"/>
      <c r="T122" s="661"/>
      <c r="U122" s="661"/>
      <c r="V122" s="661"/>
      <c r="W122" s="661"/>
      <c r="X122" s="661"/>
      <c r="Y122" s="661"/>
      <c r="Z122" s="661"/>
      <c r="AA122" s="661"/>
      <c r="AB122" s="661"/>
      <c r="AC122" s="661"/>
      <c r="AD122" s="661"/>
      <c r="AE122" s="661"/>
      <c r="AF122" s="661"/>
      <c r="AG122" s="661"/>
      <c r="AH122" s="661"/>
      <c r="AI122" s="661"/>
      <c r="AJ122" s="661"/>
      <c r="AK122" s="661"/>
      <c r="AL122" s="661"/>
      <c r="AM122" s="661"/>
      <c r="AN122" s="661"/>
      <c r="AO122" s="661"/>
      <c r="AP122" s="661"/>
      <c r="AQ122" s="661"/>
      <c r="AR122" s="661"/>
      <c r="AS122" s="661"/>
      <c r="AT122" s="661"/>
      <c r="AU122" s="661"/>
      <c r="AV122" s="661"/>
      <c r="AW122" s="661"/>
      <c r="AX122" s="661"/>
      <c r="AY122" s="661"/>
      <c r="AZ122" s="661"/>
      <c r="BA122" s="661"/>
      <c r="BB122" s="661"/>
      <c r="BC122" s="661"/>
      <c r="BD122" s="661"/>
      <c r="BE122" s="661"/>
      <c r="BF122" s="661"/>
      <c r="BG122" s="661"/>
      <c r="BH122" s="661"/>
      <c r="BI122" s="661"/>
      <c r="BJ122" s="661"/>
      <c r="BK122" s="661"/>
      <c r="BL122" s="661"/>
      <c r="BM122" s="661"/>
      <c r="BN122" s="661"/>
      <c r="BO122" s="661"/>
      <c r="BP122" s="661"/>
      <c r="BQ122" s="661"/>
      <c r="BR122" s="661"/>
      <c r="BS122" s="661"/>
      <c r="BT122" s="661"/>
      <c r="BU122" s="661"/>
      <c r="BV122" s="661"/>
      <c r="BW122" s="661"/>
      <c r="BX122" s="661"/>
      <c r="BY122" s="661"/>
      <c r="BZ122" s="661"/>
      <c r="CA122" s="661"/>
      <c r="CB122" s="661"/>
      <c r="CC122" s="661"/>
      <c r="CD122" s="661"/>
      <c r="CE122" s="661"/>
      <c r="CF122" s="661"/>
      <c r="CG122" s="661"/>
      <c r="CH122" s="661"/>
      <c r="CI122" s="661"/>
      <c r="CJ122" s="661"/>
      <c r="CK122" s="661"/>
      <c r="CL122" s="661"/>
      <c r="CM122" s="661"/>
      <c r="CN122" s="661"/>
      <c r="CO122" s="661"/>
      <c r="CP122" s="661"/>
      <c r="CQ122" s="661"/>
      <c r="CR122" s="661"/>
      <c r="CS122" s="661"/>
      <c r="CT122" s="661"/>
      <c r="CU122" s="661"/>
      <c r="CV122" s="661"/>
      <c r="CW122" s="661"/>
      <c r="CX122" s="661"/>
      <c r="CY122" s="661"/>
      <c r="CZ122" s="661"/>
      <c r="DA122" s="661"/>
      <c r="DB122" s="661"/>
      <c r="DC122" s="661"/>
      <c r="DD122" s="661"/>
      <c r="DE122" s="661"/>
      <c r="DF122" s="661"/>
      <c r="DG122" s="661"/>
      <c r="DH122" s="105"/>
      <c r="DI122" s="105"/>
      <c r="DJ122" s="105">
        <f>DI112-DH112</f>
        <v>-0.57900000000000773</v>
      </c>
      <c r="DK122" s="105">
        <f>DJ112-DI112</f>
        <v>2.1299999999999955</v>
      </c>
      <c r="DL122" s="105"/>
      <c r="DM122" s="105"/>
      <c r="DN122" s="105">
        <f>DK112-DJ112</f>
        <v>127.495</v>
      </c>
      <c r="DO122" s="105">
        <f>DN112-DK112</f>
        <v>18.610000000000014</v>
      </c>
      <c r="DP122" s="105">
        <f>DO112-DN112</f>
        <v>18.21899999999988</v>
      </c>
      <c r="DQ122" s="105">
        <f>DP112-DO112</f>
        <v>-5.2399999999998954</v>
      </c>
      <c r="DR122" s="661"/>
      <c r="DS122" s="661"/>
      <c r="DT122" s="105">
        <f>DQ112-DP112</f>
        <v>12.745000000000005</v>
      </c>
      <c r="DU122" s="105">
        <f>DT112-DQ112</f>
        <v>66.173000000000059</v>
      </c>
      <c r="DV122" s="105">
        <f>DU112-DT112</f>
        <v>-3.7260000000001128</v>
      </c>
      <c r="DW122" s="105">
        <f>DV112-DU112</f>
        <v>14.801000000000045</v>
      </c>
      <c r="DX122" s="661"/>
      <c r="DY122" s="661"/>
      <c r="DZ122" s="105">
        <f>DW112-DV112</f>
        <v>21.23700000000008</v>
      </c>
      <c r="EA122" s="105">
        <f>DZ112-DW112</f>
        <v>9.1209999999999809</v>
      </c>
      <c r="EB122" s="105">
        <f>EA112-DZ112</f>
        <v>586.33999999999992</v>
      </c>
      <c r="EC122" s="105">
        <f>EB112-EA112</f>
        <v>32.93100000000004</v>
      </c>
      <c r="ED122" s="105"/>
      <c r="EE122" s="661"/>
      <c r="EF122" s="105">
        <f>EC112-EB112</f>
        <v>1.5550000000000637</v>
      </c>
      <c r="EG122" s="105">
        <f>EF112-EC112</f>
        <v>11.076999999999771</v>
      </c>
      <c r="EH122" s="105">
        <f>EG112-EF112</f>
        <v>-17.311999999999671</v>
      </c>
      <c r="EI122" s="105">
        <f>EH112-EG112</f>
        <v>-8.4390000000003056</v>
      </c>
      <c r="EJ122" s="105"/>
      <c r="EK122" s="661"/>
      <c r="EL122" s="105">
        <f>EI112-EH112</f>
        <v>-10.063000000000102</v>
      </c>
      <c r="EM122" s="105">
        <f>EL112-EI112</f>
        <v>-4.0869999999997617</v>
      </c>
      <c r="EN122" s="105">
        <f>EM112-EL112</f>
        <v>-10.441000000000031</v>
      </c>
      <c r="EO122" s="105">
        <f>EN112-EM112</f>
        <v>-5.5709999999999127</v>
      </c>
      <c r="EP122" s="105"/>
      <c r="EQ122" s="661"/>
      <c r="ER122" s="105">
        <f>EO112-EN112</f>
        <v>-12.850000000000136</v>
      </c>
      <c r="ES122" s="105">
        <f>ER112-EO112</f>
        <v>8.75</v>
      </c>
      <c r="ET122" s="105">
        <f>ES112-ER112</f>
        <v>-12.215999999999894</v>
      </c>
      <c r="EU122" s="105">
        <f>ET112-ES112</f>
        <v>-7.8820000000000618</v>
      </c>
      <c r="EV122" s="661"/>
      <c r="EW122" s="661"/>
      <c r="EX122" s="105">
        <f>EU112-ET112</f>
        <v>-5.8360000000000127</v>
      </c>
      <c r="EY122" s="105">
        <f>EX112-EU112</f>
        <v>14.140999999999849</v>
      </c>
      <c r="EZ122" s="105">
        <f>EY112-EX112</f>
        <v>-41.807999999999765</v>
      </c>
      <c r="FA122" s="105">
        <f>EZ112-EY112</f>
        <v>-10.759000000000015</v>
      </c>
      <c r="FB122" s="936"/>
      <c r="FC122" s="661"/>
      <c r="FD122" s="871">
        <f>FA112-EZ112</f>
        <v>1.8350469280021571</v>
      </c>
      <c r="FE122" s="105">
        <f>FD112-FA112</f>
        <v>-0.86899100865116452</v>
      </c>
      <c r="FF122" s="105">
        <f>FE112-FD112</f>
        <v>3.2639445014249304</v>
      </c>
      <c r="FG122" s="105">
        <f>FF112-FE112</f>
        <v>2.6480305126035546</v>
      </c>
      <c r="FH122" s="661"/>
      <c r="FI122" s="661"/>
      <c r="FJ122" s="105">
        <f>FG112-FF112</f>
        <v>1.7168403095249687</v>
      </c>
      <c r="FK122" s="105">
        <f>FJ112-FG112</f>
        <v>-4.5817969124932461</v>
      </c>
      <c r="FL122" s="105">
        <f>FK112-FJ112</f>
        <v>3.9703735771502124</v>
      </c>
      <c r="FM122" s="105">
        <f>FL112-FK112</f>
        <v>3.7312177827091091</v>
      </c>
      <c r="FN122" s="661"/>
      <c r="FO122" s="661"/>
      <c r="FP122" s="105">
        <f>FM112-FL112</f>
        <v>2.9809410780906092</v>
      </c>
      <c r="FQ122" s="105">
        <f>FP112-FM112</f>
        <v>-4.405631505432666</v>
      </c>
      <c r="FR122" s="105">
        <f>FQ112-FP112</f>
        <v>4.7366067172920339</v>
      </c>
      <c r="FS122" s="105">
        <f>FR112-FQ112</f>
        <v>4.4120963999089327</v>
      </c>
      <c r="FT122" s="661"/>
      <c r="FU122" s="661"/>
      <c r="FV122" s="105">
        <f>FS112-FR112</f>
        <v>3.7167686750083249</v>
      </c>
      <c r="FW122" s="105">
        <f>FV112-FS112</f>
        <v>-5.8798013767025168</v>
      </c>
      <c r="FX122" s="105">
        <f>FW112-FV112</f>
        <v>5.3122936469540036</v>
      </c>
      <c r="FY122" s="105">
        <f>FX112-FW112</f>
        <v>4.9157500874898687</v>
      </c>
      <c r="FZ122" s="661"/>
      <c r="GA122" s="661"/>
      <c r="GB122" s="105">
        <f>FY112-FX112</f>
        <v>4.1305132940713065</v>
      </c>
      <c r="GC122" s="105">
        <f>GB112-FY112</f>
        <v>-6.8827341136700397</v>
      </c>
      <c r="GD122" s="105">
        <f>GC112-GB112</f>
        <v>5.3623602360919449</v>
      </c>
      <c r="GE122" s="105">
        <f>GD112-GC112</f>
        <v>4.9394469642891181</v>
      </c>
      <c r="GF122" s="661"/>
      <c r="GG122" s="661"/>
      <c r="GH122" s="105">
        <f>GE112-GD112</f>
        <v>4.1077046864993463</v>
      </c>
      <c r="GI122" s="105">
        <f>GH112-GE112</f>
        <v>-7.5338029874635595</v>
      </c>
      <c r="GJ122" s="105">
        <f>GI112-GH112</f>
        <v>5.809133852591458</v>
      </c>
      <c r="GK122" s="105">
        <f>GJ112-GI112</f>
        <v>5.3158284429821379</v>
      </c>
      <c r="GL122" s="661"/>
      <c r="GM122" s="661"/>
      <c r="GN122" s="105">
        <f>GK112-GJ112</f>
        <v>4.4002164484338664</v>
      </c>
      <c r="GO122" s="105">
        <f>GN112-GK112</f>
        <v>-8.7333389657480893</v>
      </c>
      <c r="GP122" s="105">
        <f>GO112-GN112</f>
        <v>5.6980041697520392</v>
      </c>
      <c r="GQ122" s="105">
        <f>GP112-GO112</f>
        <v>5.1895682777064849</v>
      </c>
      <c r="GR122" s="661"/>
      <c r="GS122" s="661"/>
      <c r="GT122" s="105">
        <f>GQ112-GP112</f>
        <v>4.2413100972053144</v>
      </c>
      <c r="GU122" s="105">
        <f>GT112-GQ112</f>
        <v>-9.3031837406820159</v>
      </c>
      <c r="GV122" s="105">
        <f>GU112-GT112</f>
        <v>6.1576984304599591</v>
      </c>
      <c r="GW122" s="105">
        <f>GV112-GU112</f>
        <v>5.5780275613972208</v>
      </c>
      <c r="GX122" s="661"/>
      <c r="GY122" s="661"/>
      <c r="GZ122" s="105">
        <f>GW112-GV112</f>
        <v>4.548196766352703</v>
      </c>
      <c r="HA122" s="105">
        <f>GZ112-GW112</f>
        <v>-9.9769811365806618</v>
      </c>
      <c r="HB122" s="105">
        <f>HA112-GZ112</f>
        <v>6.5157725515841776</v>
      </c>
      <c r="HC122" s="105">
        <f>HB112-HA112</f>
        <v>5.875089929703563</v>
      </c>
      <c r="HD122" s="661"/>
      <c r="HF122" s="105">
        <f>HC112-HB112</f>
        <v>4.7749138242529625</v>
      </c>
      <c r="HG122" s="105">
        <f>HF112-HC112</f>
        <v>-10.699133856358685</v>
      </c>
      <c r="HH122" s="105">
        <f>HG112-HF112</f>
        <v>6.8106504867062085</v>
      </c>
      <c r="HI122" s="105">
        <f>HH112-HG112</f>
        <v>6.1155521901312113</v>
      </c>
    </row>
    <row r="123" spans="1:217">
      <c r="C123" s="661" t="s">
        <v>625</v>
      </c>
      <c r="DH123" s="102"/>
      <c r="DI123" s="102"/>
      <c r="DJ123" s="105">
        <f>DJ121*(IS!DJ49-IS!DI49)</f>
        <v>5.7306616880861769</v>
      </c>
      <c r="DK123" s="105">
        <f>DK121*(IS!DK49-IS!DJ49)</f>
        <v>28.506531572409251</v>
      </c>
      <c r="DL123" s="105"/>
      <c r="DM123" s="105"/>
      <c r="DN123" s="105">
        <f>DN121*(IS!DN49-IS!DK49)</f>
        <v>84.527304330539792</v>
      </c>
      <c r="DO123" s="105">
        <f>DO121*(IS!DO49-IS!DN49)</f>
        <v>26.63679026279825</v>
      </c>
      <c r="DP123" s="105">
        <f>DP121*(IS!DP49-IS!DO49)</f>
        <v>12.997131592020802</v>
      </c>
      <c r="DQ123" s="105">
        <f>DQ121*(IS!DQ49-IS!DP49)</f>
        <v>9.3398427218624764</v>
      </c>
      <c r="DT123" s="105">
        <f>DT121*(IS!DT49-IS!DQ49)</f>
        <v>-3.6930090163161102</v>
      </c>
      <c r="DU123" s="105">
        <f>DU121*(IS!DU49-IS!DT49)</f>
        <v>-116.85425250353539</v>
      </c>
      <c r="DV123" s="105">
        <f>DV121*(IS!DV49-IS!DU49)</f>
        <v>162.43509803577689</v>
      </c>
      <c r="DW123" s="105">
        <f>DW121*(IS!DW49-IS!DV49)</f>
        <v>2.3898727350651088</v>
      </c>
      <c r="DZ123" s="105">
        <f>DZ121*(IS!DZ49-IS!DW49)</f>
        <v>-51.241021422450736</v>
      </c>
      <c r="EA123" s="105">
        <f>EA121*(IS!EA49-IS!DZ49)</f>
        <v>29.238595042883915</v>
      </c>
      <c r="EB123" s="105">
        <f>EB121*(IS!EB49-IS!EA49)</f>
        <v>-3.6748458216581539</v>
      </c>
      <c r="EC123" s="105">
        <f>EC121*(IS!EC49-IS!EB49)</f>
        <v>41.71317125314156</v>
      </c>
      <c r="ED123" s="105"/>
      <c r="EF123" s="105">
        <f>EF121*(IS!EF49-IS!EC49)</f>
        <v>-87.384637037100305</v>
      </c>
      <c r="EG123" s="105">
        <f>EG121*(IS!EG49-IS!EF49)</f>
        <v>76.253283932454949</v>
      </c>
      <c r="EH123" s="105">
        <f>EH121*(IS!EH49-IS!EG49)</f>
        <v>34.266523582488311</v>
      </c>
      <c r="EI123" s="105">
        <f>EI121*(IS!EI49-IS!EH49)</f>
        <v>84.490905699145671</v>
      </c>
      <c r="EJ123" s="105"/>
      <c r="EL123" s="105">
        <f>EL121*(IS!EL49-IS!EI49)</f>
        <v>-12.672194796676981</v>
      </c>
      <c r="EM123" s="105">
        <f>EM121*(IS!EM49-IS!EL49)</f>
        <v>77.01754647181744</v>
      </c>
      <c r="EN123" s="105">
        <f>EN121*(IS!EN49-IS!EM49)</f>
        <v>38.333693473024773</v>
      </c>
      <c r="EO123" s="105">
        <f>EO121*(IS!EO49-IS!EN49)</f>
        <v>26.62006964873472</v>
      </c>
      <c r="EP123" s="105"/>
      <c r="ER123" s="105">
        <f>ER121*(IS!ER49-IS!EO49)</f>
        <v>5.0112195596519378</v>
      </c>
      <c r="ES123" s="105">
        <f>ES121*(IS!ES49-IS!ER49)</f>
        <v>57.595384287121121</v>
      </c>
      <c r="ET123" s="105">
        <f>ET121*(IS!ET49-IS!ES49)</f>
        <v>22.457843538468889</v>
      </c>
      <c r="EU123" s="105">
        <f>EU121*(IS!EU49-IS!ET49)</f>
        <v>27.354378139534802</v>
      </c>
      <c r="EX123" s="105">
        <f>EX121*(IS!EX49-IS!EU49)</f>
        <v>-26.447388847561541</v>
      </c>
      <c r="EY123" s="105">
        <f>EY121*(IS!EY49-IS!EX49)</f>
        <v>83.215276843324403</v>
      </c>
      <c r="EZ123" s="105">
        <f>EZ121*(IS!EZ49-IS!EY49)</f>
        <v>37.644257650548113</v>
      </c>
      <c r="FA123" s="105">
        <f>FA121*(IS!FA49-IS!EZ49)</f>
        <v>13.506558968291474</v>
      </c>
      <c r="FD123" s="871">
        <f>FD121*(IS!FD49-IS!FA49)</f>
        <v>-32.582803339147979</v>
      </c>
      <c r="FE123" s="105">
        <f>FE121*(IS!FE49-IS!FD49)</f>
        <v>63.258062469398546</v>
      </c>
      <c r="FF123" s="105">
        <f>FF121*(IS!FF49-IS!FE49)</f>
        <v>50.268911576602868</v>
      </c>
      <c r="FG123" s="105">
        <f>FG121*(IS!FG49-IS!FF49)</f>
        <v>28.4283648253808</v>
      </c>
      <c r="FJ123" s="105">
        <f>FJ121*(IS!FJ49-IS!FG49)</f>
        <v>-45.540190118386732</v>
      </c>
      <c r="FK123" s="105">
        <f>FK121*(IS!FK49-IS!FJ49)</f>
        <v>63.683769569071558</v>
      </c>
      <c r="FL123" s="105">
        <f>FL121*(IS!FL49-IS!FK49)</f>
        <v>50.450604916430827</v>
      </c>
      <c r="FM123" s="105">
        <f>FM121*(IS!FM49-IS!FL49)</f>
        <v>28.614816448753729</v>
      </c>
      <c r="FP123" s="105">
        <f>FP121*(IS!FP49-IS!FM49)</f>
        <v>-45.942329645292695</v>
      </c>
      <c r="FQ123" s="105">
        <f>FQ121*(IS!FQ49-IS!FP49)</f>
        <v>64.290987599033755</v>
      </c>
      <c r="FR123" s="105">
        <f>FR121*(IS!FR49-IS!FQ49)</f>
        <v>50.784257269541101</v>
      </c>
      <c r="FS123" s="105">
        <f>FS121*(IS!FS49-IS!FR49)</f>
        <v>28.875025004238537</v>
      </c>
      <c r="FV123" s="105">
        <f>FV121*(IS!FV49-IS!FS49)</f>
        <v>-51.678584852266759</v>
      </c>
      <c r="FW123" s="105">
        <f>FW121*(IS!FW49-IS!FV49)</f>
        <v>64.702004838296446</v>
      </c>
      <c r="FX123" s="105">
        <f>FX121*(IS!FX49-IS!FW49)</f>
        <v>51.134163926905899</v>
      </c>
      <c r="FY123" s="105">
        <f>FY121*(IS!FY49-IS!FX49)</f>
        <v>29.0863778689918</v>
      </c>
      <c r="GB123" s="105">
        <f>GB121*(IS!GB49-IS!FY49)</f>
        <v>-57.434081090816896</v>
      </c>
      <c r="GC123" s="105">
        <f>GC121*(IS!GC49-IS!GB49)</f>
        <v>65.141861274817444</v>
      </c>
      <c r="GD123" s="105">
        <f>GD121*(IS!GD49-IS!GC49)</f>
        <v>51.482429287188047</v>
      </c>
      <c r="GE123" s="105">
        <f>GE121*(IS!GE49-IS!GD49)</f>
        <v>29.284223439543418</v>
      </c>
      <c r="GH123" s="105">
        <f>GH121*(IS!GH49-IS!GE49)</f>
        <v>-65.459495692535782</v>
      </c>
      <c r="GI123" s="105">
        <f>GI121*(IS!GI49-IS!GH49)</f>
        <v>65.546408687122906</v>
      </c>
      <c r="GJ123" s="105">
        <f>GJ121*(IS!GJ49-IS!GI49)</f>
        <v>51.821281858729712</v>
      </c>
      <c r="GK123" s="105">
        <f>GK121*(IS!GK49-IS!GJ49)</f>
        <v>29.485981001188357</v>
      </c>
      <c r="GN123" s="105">
        <f>GN121*(IS!GN49-IS!GK49)</f>
        <v>-71.481319091418086</v>
      </c>
      <c r="GO123" s="105">
        <f>GO121*(IS!GO49-IS!GN49)</f>
        <v>65.946021475750612</v>
      </c>
      <c r="GP123" s="105">
        <f>GP121*(IS!GP49-IS!GO49)</f>
        <v>52.130436000188944</v>
      </c>
      <c r="GQ123" s="105">
        <f>GQ121*(IS!GQ49-IS!GP49)</f>
        <v>29.657747879620619</v>
      </c>
      <c r="GT123" s="105">
        <f>GT121*(IS!GT49-IS!GQ49)</f>
        <v>-77.525078901754981</v>
      </c>
      <c r="GU123" s="105">
        <f>GU121*(IS!GU49-IS!GT49)</f>
        <v>66.28878924130008</v>
      </c>
      <c r="GV123" s="105">
        <f>GV121*(IS!GV49-IS!GU49)</f>
        <v>52.421296592684939</v>
      </c>
      <c r="GW123" s="105">
        <f>GW121*(IS!GW49-IS!GV49)</f>
        <v>29.832643835378363</v>
      </c>
      <c r="GZ123" s="105">
        <f>GZ121*(IS!GZ49-IS!GW49)</f>
        <v>-83.728404367448576</v>
      </c>
      <c r="HA123" s="105">
        <f>HA121*(IS!HA49-IS!GZ49)</f>
        <v>66.659871983445825</v>
      </c>
      <c r="HB123" s="105">
        <f>HB121*(IS!HB49-IS!HA49)</f>
        <v>52.729724467915815</v>
      </c>
      <c r="HC123" s="105">
        <f>HC121*(IS!HC49-IS!HB49)</f>
        <v>30.015093077844607</v>
      </c>
      <c r="HF123" s="105">
        <f>HF121*(IS!HF49-IS!HC49)</f>
        <v>-90.072289150565609</v>
      </c>
      <c r="HG123" s="105">
        <f>HG121*(IS!HG49-IS!HF49)</f>
        <v>67.04035107402261</v>
      </c>
      <c r="HH123" s="105">
        <f>HH121*(IS!HH49-IS!HG49)</f>
        <v>53.042618157286057</v>
      </c>
      <c r="HI123" s="105">
        <f>HI121*(IS!HI49-IS!HH49)</f>
        <v>30.198588064386698</v>
      </c>
    </row>
    <row r="124" spans="1:217">
      <c r="C124" s="661" t="s">
        <v>626</v>
      </c>
      <c r="DH124" s="102"/>
      <c r="DI124" s="102"/>
      <c r="DJ124" s="105">
        <f>IS!DI49*(BS!DJ121-BS!DI121)</f>
        <v>-6.3096616880861918</v>
      </c>
      <c r="DK124" s="105">
        <f>IS!DJ49*(BS!DK121-BS!DJ121)</f>
        <v>-26.376531572409235</v>
      </c>
      <c r="DL124" s="105"/>
      <c r="DM124" s="105"/>
      <c r="DN124" s="105">
        <f>IS!DK49*(BS!DN121-BS!DK121)</f>
        <v>42.967695669460227</v>
      </c>
      <c r="DO124" s="105">
        <f>IS!DN49*(BS!DO121-BS!DN121)</f>
        <v>-8.0267902627982526</v>
      </c>
      <c r="DP124" s="105">
        <f>IS!DO49*(BS!DP121-BS!DO121)</f>
        <v>5.2218684079791169</v>
      </c>
      <c r="DQ124" s="105">
        <f>IS!DP49*(BS!DQ121-BS!DP121)</f>
        <v>-14.57984272186239</v>
      </c>
      <c r="DT124" s="105">
        <f>IS!DQ49*(BS!DT121-BS!DQ121)</f>
        <v>16.438009016316151</v>
      </c>
      <c r="DU124" s="105">
        <f>IS!DT49*(BS!DU121-BS!DT121)</f>
        <v>183.02725250353535</v>
      </c>
      <c r="DV124" s="105">
        <f>IS!DU49*(BS!DV121-BS!DU121)</f>
        <v>-166.16109803577697</v>
      </c>
      <c r="DW124" s="105">
        <f>IS!DV49*(BS!DW121-BS!DV121)</f>
        <v>12.411127264934988</v>
      </c>
      <c r="DZ124" s="105">
        <f>IS!DW49*(BS!DZ121-BS!DW121)</f>
        <v>72.478021422450823</v>
      </c>
      <c r="EA124" s="105">
        <f>IS!DZ49*(BS!EA121-BS!DZ121)</f>
        <v>-20.117595042883963</v>
      </c>
      <c r="EB124" s="105">
        <f>IS!EA49*(BS!EB121-BS!EA121)</f>
        <v>590.01484582165813</v>
      </c>
      <c r="EC124" s="105">
        <f>IS!EB49*(BS!EC121-BS!EB121)</f>
        <v>-8.782171253141744</v>
      </c>
      <c r="ED124" s="105"/>
      <c r="EF124" s="105">
        <f>IS!EC49*(BS!EF121-BS!EC121)</f>
        <v>88.939637037100638</v>
      </c>
      <c r="EG124" s="105">
        <f>IS!EF49*(BS!EG121-BS!EF121)</f>
        <v>-65.176283932455291</v>
      </c>
      <c r="EH124" s="105">
        <f>IS!EG49*(BS!EH121-BS!EG121)</f>
        <v>-51.578523582488067</v>
      </c>
      <c r="EI124" s="105">
        <f>IS!EH49*(BS!EI121-BS!EH121)</f>
        <v>-92.929905699145863</v>
      </c>
      <c r="EJ124" s="105"/>
      <c r="EL124" s="105">
        <f>IS!EI49*(BS!EL121-BS!EI121)</f>
        <v>2.6091947966767157</v>
      </c>
      <c r="EM124" s="105">
        <f>IS!EL49*(BS!EM121-BS!EL121)</f>
        <v>-81.104546471817073</v>
      </c>
      <c r="EN124" s="105">
        <f>IS!EM49*(BS!EN121-BS!EM121)</f>
        <v>-48.77469347302479</v>
      </c>
      <c r="EO124" s="105">
        <f>IS!EN49*(BS!EO121-BS!EN121)</f>
        <v>-32.191069648734562</v>
      </c>
      <c r="EP124" s="105"/>
      <c r="ER124" s="105">
        <f>IS!EO49*(BS!ER121-BS!EO121)</f>
        <v>-17.861219559652245</v>
      </c>
      <c r="ES124" s="105">
        <f>IS!ER49*(BS!ES121-BS!ER121)</f>
        <v>-48.845384287121192</v>
      </c>
      <c r="ET124" s="105">
        <f>IS!ES49*(BS!ET121-BS!ES121)</f>
        <v>-34.673843538468674</v>
      </c>
      <c r="EU124" s="105">
        <f>IS!ET49*(BS!EU121-BS!ET121)</f>
        <v>-35.236378139534921</v>
      </c>
      <c r="EX124" s="105">
        <f>IS!EU49*(BS!EX121-BS!EU121)</f>
        <v>20.611388847561571</v>
      </c>
      <c r="EY124" s="105">
        <f>IS!EX49*(BS!EY121-BS!EX121)</f>
        <v>-69.074276843324597</v>
      </c>
      <c r="EZ124" s="105">
        <f>IS!EY49*(BS!EZ121-BS!EY121)</f>
        <v>-79.452257650547736</v>
      </c>
      <c r="FA124" s="105">
        <f>IS!EZ49*(BS!FA121-BS!EZ121)</f>
        <v>-24.265558968291703</v>
      </c>
      <c r="FD124" s="871">
        <f>IS!FA49*(BS!FD121-BS!FA121)</f>
        <v>34.417850267150264</v>
      </c>
      <c r="FE124" s="105">
        <f>IS!FD49*(BS!FE121-BS!FD121)</f>
        <v>-64.127053478049604</v>
      </c>
      <c r="FF124" s="105">
        <f>IS!FE49*(BS!FF121-BS!FE121)</f>
        <v>-47.004967075178151</v>
      </c>
      <c r="FG124" s="105">
        <f>IS!FF49*(BS!FG121-BS!FF121)</f>
        <v>-25.780334312777111</v>
      </c>
      <c r="FJ124" s="105">
        <f>IS!FG49*(BS!FJ121-BS!FG121)</f>
        <v>47.25703042791158</v>
      </c>
      <c r="FK124" s="105">
        <f>IS!FJ49*(BS!FK121-BS!FJ121)</f>
        <v>-68.265566481564576</v>
      </c>
      <c r="FL124" s="105">
        <f>IS!FK49*(BS!FL121-BS!FK121)</f>
        <v>-46.480231339280799</v>
      </c>
      <c r="FM124" s="105">
        <f>IS!FL49*(BS!FM121-BS!FL121)</f>
        <v>-24.883598666044424</v>
      </c>
      <c r="FP124" s="105">
        <f>IS!FM49*(BS!FP121-BS!FM121)</f>
        <v>48.923270723383254</v>
      </c>
      <c r="FQ124" s="105">
        <f>IS!FP49*(BS!FQ121-BS!FP121)</f>
        <v>-68.696619104466521</v>
      </c>
      <c r="FR124" s="105">
        <f>IS!FQ49*(BS!FR121-BS!FQ121)</f>
        <v>-46.047650552249188</v>
      </c>
      <c r="FS124" s="105">
        <f>IS!FR49*(BS!FS121-BS!FR121)</f>
        <v>-24.462928604329569</v>
      </c>
      <c r="FV124" s="105">
        <f>IS!FS49*(BS!FV121-BS!FS121)</f>
        <v>55.395353527275084</v>
      </c>
      <c r="FW124" s="105">
        <f>IS!FV49*(BS!FW121-BS!FV121)</f>
        <v>-70.581806214998792</v>
      </c>
      <c r="FX124" s="105">
        <f>IS!FW49*(BS!FX121-BS!FW121)</f>
        <v>-45.821870279952023</v>
      </c>
      <c r="FY124" s="105">
        <f>IS!FX49*(BS!FY121-BS!FX121)</f>
        <v>-24.170627781501874</v>
      </c>
      <c r="GB124" s="105">
        <f>IS!FY49*(BS!GB121-BS!FY121)</f>
        <v>61.564594384888203</v>
      </c>
      <c r="GC124" s="105">
        <f>IS!GB49*(BS!GC121-BS!GB121)</f>
        <v>-72.024595388487555</v>
      </c>
      <c r="GD124" s="105">
        <f>IS!GC49*(BS!GD121-BS!GC121)</f>
        <v>-46.12006905109596</v>
      </c>
      <c r="GE124" s="105">
        <f>IS!GD49*(BS!GE121-BS!GD121)</f>
        <v>-24.344776475254502</v>
      </c>
      <c r="GH124" s="105">
        <f>IS!GE49*(BS!GH121-BS!GE121)</f>
        <v>69.567200379035413</v>
      </c>
      <c r="GI124" s="105">
        <f>IS!GH49*(BS!GI121-BS!GH121)</f>
        <v>-73.08021167458655</v>
      </c>
      <c r="GJ124" s="105">
        <f>IS!GI49*(BS!GJ121-BS!GI121)</f>
        <v>-46.012148006138396</v>
      </c>
      <c r="GK124" s="105">
        <f>IS!GJ49*(BS!GK121-BS!GJ121)</f>
        <v>-24.170152558205974</v>
      </c>
      <c r="GN124" s="105">
        <f>IS!GK49*(BS!GN121-BS!GK121)</f>
        <v>75.881535539851825</v>
      </c>
      <c r="GO124" s="105">
        <f>IS!GN49*(BS!GO121-BS!GN121)</f>
        <v>-74.67936044149873</v>
      </c>
      <c r="GP124" s="105">
        <f>IS!GO49*(BS!GP121-BS!GO121)</f>
        <v>-46.432431830436961</v>
      </c>
      <c r="GQ124" s="105">
        <f>IS!GP49*(BS!GQ121-BS!GP121)</f>
        <v>-24.468179601913956</v>
      </c>
      <c r="GT124" s="105">
        <f>IS!GQ49*(BS!GT121-BS!GQ121)</f>
        <v>81.766388998960053</v>
      </c>
      <c r="GU124" s="105">
        <f>IS!GT49*(BS!GU121-BS!GT121)</f>
        <v>-75.591972981981996</v>
      </c>
      <c r="GV124" s="105">
        <f>IS!GU49*(BS!GV121-BS!GU121)</f>
        <v>-46.263598162225023</v>
      </c>
      <c r="GW124" s="105">
        <f>IS!GV49*(BS!GW121-BS!GV121)</f>
        <v>-24.254616273981025</v>
      </c>
      <c r="GZ124" s="105">
        <f>IS!GW49*(BS!GZ121-BS!GW121)</f>
        <v>88.276601133801236</v>
      </c>
      <c r="HA124" s="105">
        <f>IS!GZ49*(BS!HA121-BS!GZ121)</f>
        <v>-76.636853120026473</v>
      </c>
      <c r="HB124" s="105">
        <f>IS!HA49*(BS!HB121-BS!HA121)</f>
        <v>-46.213951916331652</v>
      </c>
      <c r="HC124" s="105">
        <f>IS!HB49*(BS!HC121-BS!HB121)</f>
        <v>-24.140003148141044</v>
      </c>
      <c r="HF124" s="105">
        <f>IS!HC49*(BS!HF121-BS!HC121)</f>
        <v>94.847202974818529</v>
      </c>
      <c r="HG124" s="105">
        <f>IS!HF49*(BS!HG121-BS!HF121)</f>
        <v>-77.739484930381394</v>
      </c>
      <c r="HH124" s="105">
        <f>IS!HG49*(BS!HH121-BS!HG121)</f>
        <v>-46.231967670579749</v>
      </c>
      <c r="HI124" s="105">
        <f>IS!HH49*(BS!HI121-BS!HH121)</f>
        <v>-24.083035874255611</v>
      </c>
    </row>
    <row r="125" spans="1:217">
      <c r="DH125" s="102"/>
      <c r="DI125" s="102"/>
      <c r="DJ125" s="102"/>
      <c r="DK125" s="102"/>
      <c r="DN125" s="102"/>
      <c r="DO125" s="102"/>
      <c r="DP125" s="102"/>
      <c r="DQ125" s="102"/>
      <c r="FD125" s="640"/>
    </row>
    <row r="126" spans="1:217">
      <c r="DH126" s="102"/>
      <c r="DI126" s="102"/>
      <c r="DJ126" s="102"/>
      <c r="DK126" s="102"/>
      <c r="DN126" s="102"/>
      <c r="DO126" s="102"/>
      <c r="DP126" s="102"/>
      <c r="DQ126" s="102"/>
    </row>
  </sheetData>
  <mergeCells count="21">
    <mergeCell ref="HF6:HJ6"/>
    <mergeCell ref="EF6:EJ6"/>
    <mergeCell ref="DZ6:ED6"/>
    <mergeCell ref="DT6:DX6"/>
    <mergeCell ref="DN6:DR6"/>
    <mergeCell ref="DH6:DL6"/>
    <mergeCell ref="GT6:GX6"/>
    <mergeCell ref="GZ6:HD6"/>
    <mergeCell ref="ER6:EV6"/>
    <mergeCell ref="FV6:FZ6"/>
    <mergeCell ref="GB6:GF6"/>
    <mergeCell ref="FD6:FH6"/>
    <mergeCell ref="FJ6:FN6"/>
    <mergeCell ref="FP6:FT6"/>
    <mergeCell ref="GH6:GL6"/>
    <mergeCell ref="GN6:GR6"/>
    <mergeCell ref="EL5:EP5"/>
    <mergeCell ref="EL6:EP6"/>
    <mergeCell ref="EX6:FB6"/>
    <mergeCell ref="ER5:EV5"/>
    <mergeCell ref="EX5:FB5"/>
  </mergeCells>
  <printOptions horizontalCentered="1" verticalCentered="1"/>
  <pageMargins left="0.5" right="0.5" top="0.5" bottom="0.5" header="0.5" footer="0.5"/>
  <pageSetup scale="87" orientation="landscape" r:id="rId1"/>
  <headerFooter alignWithMargins="0">
    <oddFooter>&amp;L_x000D_&amp;1#&amp;"Calibri"&amp;10&amp;K000000 Sensitivity: Public</oddFooter>
  </headerFooter>
  <ignoredErrors>
    <ignoredError sqref="FA55:HD55" formulaRange="1"/>
    <ignoredError sqref="ES58:EY58 FA45 FA58:HD58"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Q672"/>
  <sheetViews>
    <sheetView zoomScaleNormal="100" workbookViewId="0">
      <pane xSplit="111" ySplit="7" topLeftCell="DJ8" activePane="bottomRight" state="frozen"/>
      <selection pane="topRight" activeCell="DH1" sqref="DH1"/>
      <selection pane="bottomLeft" activeCell="A8" sqref="A8"/>
      <selection pane="bottomRight" activeCell="HI73" sqref="HI73"/>
    </sheetView>
  </sheetViews>
  <sheetFormatPr defaultColWidth="8" defaultRowHeight="12.75" outlineLevelRow="1" outlineLevelCol="1"/>
  <cols>
    <col min="1" max="2" width="1.69140625" style="31" customWidth="1"/>
    <col min="3" max="3" width="29.15234375" style="31" customWidth="1"/>
    <col min="4" max="8" width="8" style="31" hidden="1" customWidth="1"/>
    <col min="9" max="9" width="1.69140625" style="31" hidden="1" customWidth="1"/>
    <col min="10" max="14" width="8" style="31" hidden="1" customWidth="1"/>
    <col min="15" max="15" width="1.69140625" style="31" hidden="1" customWidth="1"/>
    <col min="16" max="20" width="8" style="31" hidden="1" customWidth="1"/>
    <col min="21" max="21" width="1.69140625" style="31" hidden="1" customWidth="1"/>
    <col min="22" max="26" width="8" style="31" hidden="1" customWidth="1"/>
    <col min="27" max="27" width="1.69140625" style="31" hidden="1" customWidth="1"/>
    <col min="28" max="32" width="8" style="31" hidden="1" customWidth="1"/>
    <col min="33" max="33" width="1.69140625" style="31" hidden="1" customWidth="1"/>
    <col min="34" max="38" width="8" style="31" hidden="1" customWidth="1"/>
    <col min="39" max="39" width="1.69140625" style="31" hidden="1" customWidth="1"/>
    <col min="40" max="43" width="8" style="31" hidden="1" customWidth="1"/>
    <col min="44" max="44" width="8.3046875" style="31" hidden="1" customWidth="1"/>
    <col min="45" max="45" width="1.69140625" style="31" hidden="1" customWidth="1"/>
    <col min="46" max="50" width="8" style="31" hidden="1" customWidth="1"/>
    <col min="51" max="51" width="1.69140625" style="31" hidden="1" customWidth="1"/>
    <col min="52" max="56" width="8" style="31" hidden="1" customWidth="1"/>
    <col min="57" max="57" width="1.69140625" style="31" hidden="1" customWidth="1"/>
    <col min="58" max="62" width="8.15234375" style="31" hidden="1" customWidth="1"/>
    <col min="63" max="63" width="1.69140625" style="31" hidden="1" customWidth="1"/>
    <col min="64" max="68" width="8.53515625" style="31" hidden="1" customWidth="1"/>
    <col min="69" max="69" width="1.69140625" style="31" hidden="1" customWidth="1"/>
    <col min="70" max="70" width="8" style="31" hidden="1" customWidth="1" collapsed="1"/>
    <col min="71" max="74" width="8" style="31" hidden="1" customWidth="1"/>
    <col min="75" max="75" width="1.69140625" style="31" hidden="1" customWidth="1"/>
    <col min="76" max="80" width="8" style="31" hidden="1" customWidth="1"/>
    <col min="81" max="81" width="1.69140625" style="31" hidden="1" customWidth="1"/>
    <col min="82" max="86" width="8" style="31" hidden="1" customWidth="1"/>
    <col min="87" max="87" width="1.69140625" style="31" hidden="1" customWidth="1"/>
    <col min="88" max="88" width="8" style="31" hidden="1" customWidth="1" collapsed="1"/>
    <col min="89" max="92" width="8" style="31" hidden="1" customWidth="1"/>
    <col min="93" max="93" width="1.69140625" style="31" hidden="1" customWidth="1"/>
    <col min="94" max="94" width="8" style="31" hidden="1" customWidth="1" collapsed="1"/>
    <col min="95" max="97" width="8" style="31" hidden="1" customWidth="1"/>
    <col min="98" max="98" width="8.3828125" style="31" hidden="1" customWidth="1"/>
    <col min="99" max="99" width="1.69140625" style="31" hidden="1" customWidth="1"/>
    <col min="100" max="100" width="8" style="31" hidden="1" customWidth="1" collapsed="1"/>
    <col min="101" max="104" width="8" style="31" hidden="1" customWidth="1"/>
    <col min="105" max="105" width="1.69140625" style="31" hidden="1" customWidth="1"/>
    <col min="106" max="109" width="8" style="31" hidden="1" customWidth="1"/>
    <col min="110" max="110" width="8.3828125" style="31" hidden="1" customWidth="1"/>
    <col min="111" max="111" width="1.69140625" style="31" hidden="1" customWidth="1"/>
    <col min="112" max="114" width="6.69140625" style="31" hidden="1" customWidth="1" outlineLevel="1"/>
    <col min="115" max="115" width="8.53515625" style="31" hidden="1" customWidth="1" outlineLevel="1"/>
    <col min="116" max="116" width="6.69140625" style="31" hidden="1" customWidth="1" outlineLevel="1"/>
    <col min="117" max="117" width="1.69140625" style="391" hidden="1" customWidth="1" outlineLevel="1" collapsed="1"/>
    <col min="118" max="122" width="6.69140625" style="31" hidden="1" customWidth="1" outlineLevel="1"/>
    <col min="123" max="123" width="1.69140625" style="391" hidden="1" customWidth="1" outlineLevel="1" collapsed="1"/>
    <col min="124" max="124" width="7.84375" style="31" hidden="1" customWidth="1" outlineLevel="1"/>
    <col min="125" max="128" width="6.69140625" style="31" hidden="1" customWidth="1" outlineLevel="1"/>
    <col min="129" max="129" width="1.69140625" style="391" hidden="1" customWidth="1" outlineLevel="1" collapsed="1"/>
    <col min="130" max="130" width="6.69140625" style="31" hidden="1" customWidth="1" outlineLevel="1"/>
    <col min="131" max="131" width="7.69140625" style="31" hidden="1" customWidth="1" outlineLevel="1"/>
    <col min="132" max="134" width="6.69140625" style="31" hidden="1" customWidth="1" outlineLevel="1"/>
    <col min="135" max="135" width="1.69140625" style="391" hidden="1" customWidth="1" outlineLevel="1"/>
    <col min="136" max="140" width="6.69140625" style="31" hidden="1" customWidth="1" outlineLevel="1"/>
    <col min="141" max="141" width="1.69140625" style="391" hidden="1" customWidth="1" outlineLevel="1"/>
    <col min="142" max="142" width="6.69140625" style="31" hidden="1" customWidth="1" outlineLevel="1" collapsed="1"/>
    <col min="143" max="146" width="6.69140625" style="31" hidden="1" customWidth="1" outlineLevel="1"/>
    <col min="147" max="147" width="1.69140625" style="391" hidden="1" customWidth="1" outlineLevel="1"/>
    <col min="148" max="148" width="6.69140625" style="31" customWidth="1" collapsed="1"/>
    <col min="149" max="152" width="6.69140625" style="31" customWidth="1"/>
    <col min="153" max="153" width="1.69140625" style="391" customWidth="1"/>
    <col min="154" max="156" width="6.69140625" style="31" customWidth="1"/>
    <col min="157" max="157" width="7.3828125" style="31" bestFit="1" customWidth="1"/>
    <col min="158" max="158" width="6.69140625" style="31" customWidth="1"/>
    <col min="159" max="159" width="1.69140625" style="391" customWidth="1" collapsed="1"/>
    <col min="160" max="161" width="6.69140625" style="31" customWidth="1" outlineLevel="1"/>
    <col min="162" max="162" width="7.3828125" style="31" bestFit="1" customWidth="1" outlineLevel="1"/>
    <col min="163" max="163" width="6.69140625" style="31" customWidth="1" outlineLevel="1"/>
    <col min="164" max="164" width="6.69140625" style="31" customWidth="1"/>
    <col min="165" max="165" width="1.69140625" style="391" customWidth="1"/>
    <col min="166" max="169" width="6.69140625" style="31" hidden="1" customWidth="1" outlineLevel="1"/>
    <col min="170" max="170" width="6.69140625" style="31" customWidth="1" collapsed="1"/>
    <col min="171" max="171" width="1.69140625" style="391" customWidth="1" collapsed="1"/>
    <col min="172" max="175" width="6.69140625" style="31" hidden="1" customWidth="1" outlineLevel="1"/>
    <col min="176" max="176" width="6.69140625" style="31" customWidth="1" collapsed="1"/>
    <col min="177" max="177" width="1.69140625" style="391" customWidth="1" collapsed="1"/>
    <col min="178" max="181" width="6.69140625" style="31" hidden="1" customWidth="1" outlineLevel="1"/>
    <col min="182" max="182" width="7.15234375" style="31" bestFit="1" customWidth="1" collapsed="1"/>
    <col min="183" max="183" width="1.69140625" style="391" customWidth="1" collapsed="1"/>
    <col min="184" max="187" width="6.69140625" style="31" hidden="1" customWidth="1" outlineLevel="1"/>
    <col min="188" max="188" width="6.69140625" style="31" customWidth="1" collapsed="1"/>
    <col min="189" max="189" width="1.69140625" style="391" customWidth="1" collapsed="1"/>
    <col min="190" max="193" width="6.69140625" style="31" hidden="1" customWidth="1" outlineLevel="1"/>
    <col min="194" max="194" width="6.69140625" style="31" customWidth="1" collapsed="1"/>
    <col min="195" max="195" width="1.69140625" style="391" customWidth="1" collapsed="1"/>
    <col min="196" max="199" width="6.69140625" style="31" hidden="1" customWidth="1" outlineLevel="1"/>
    <col min="200" max="200" width="6.69140625" style="31" customWidth="1" collapsed="1"/>
    <col min="201" max="201" width="1.69140625" style="391" customWidth="1" collapsed="1"/>
    <col min="202" max="205" width="6.69140625" style="31" hidden="1" customWidth="1" outlineLevel="1"/>
    <col min="206" max="206" width="6.69140625" style="31" customWidth="1" collapsed="1"/>
    <col min="207" max="207" width="1.69140625" style="391" customWidth="1" collapsed="1"/>
    <col min="208" max="211" width="6.69140625" style="31" customWidth="1" outlineLevel="1"/>
    <col min="212" max="212" width="6.69140625" style="31" customWidth="1"/>
    <col min="213" max="213" width="1.69140625" style="391" customWidth="1" collapsed="1"/>
    <col min="214" max="215" width="7.3828125" customWidth="1" outlineLevel="1"/>
    <col min="216" max="217" width="7.3828125" style="492" customWidth="1" outlineLevel="1"/>
    <col min="218" max="218" width="7.3828125" style="492" customWidth="1"/>
    <col min="219" max="223" width="8" style="492" customWidth="1"/>
  </cols>
  <sheetData>
    <row r="1" spans="1:225" ht="12.75" hidden="1" customHeight="1" outlineLevel="1">
      <c r="A1" s="8"/>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0"/>
      <c r="DI1" s="10"/>
      <c r="DJ1" s="10"/>
      <c r="DK1" s="10"/>
      <c r="DL1" s="10"/>
      <c r="DM1" s="500"/>
      <c r="DN1" s="10"/>
      <c r="DO1" s="10"/>
      <c r="DP1" s="10"/>
      <c r="DQ1" s="10"/>
      <c r="DR1" s="10"/>
      <c r="DS1" s="500"/>
      <c r="DT1" s="10"/>
      <c r="DU1" s="10"/>
      <c r="DV1" s="10"/>
      <c r="DW1" s="10"/>
      <c r="DX1" s="10"/>
      <c r="DY1" s="500"/>
      <c r="DZ1" s="10"/>
      <c r="EA1" s="10"/>
      <c r="EB1" s="10"/>
      <c r="EC1" s="10"/>
      <c r="ED1" s="10"/>
      <c r="EE1" s="500"/>
      <c r="EF1" s="10"/>
      <c r="EG1" s="10"/>
      <c r="EH1" s="10"/>
      <c r="EI1" s="10"/>
      <c r="EJ1" s="10"/>
      <c r="EK1" s="500"/>
      <c r="EL1" s="8"/>
      <c r="EM1" s="8"/>
      <c r="EN1" s="8"/>
      <c r="EO1" s="8"/>
      <c r="EP1" s="69"/>
      <c r="EQ1" s="500"/>
      <c r="ER1" s="8"/>
      <c r="ES1" s="8"/>
      <c r="ET1" s="8"/>
      <c r="EU1" s="8"/>
      <c r="EV1" s="8"/>
      <c r="EW1" s="500"/>
      <c r="EX1" s="8"/>
      <c r="EY1" s="8"/>
      <c r="EZ1" s="8"/>
      <c r="FA1" s="8"/>
      <c r="FB1" s="8"/>
      <c r="FC1" s="500"/>
      <c r="FD1" s="8"/>
      <c r="FE1" s="8"/>
      <c r="FF1" s="8"/>
      <c r="FG1" s="8"/>
      <c r="FH1" s="8"/>
      <c r="FI1" s="500"/>
      <c r="FJ1" s="8"/>
      <c r="FK1" s="8"/>
      <c r="FL1" s="8"/>
      <c r="FM1" s="8"/>
      <c r="FN1" s="8"/>
      <c r="FO1" s="500"/>
      <c r="FP1" s="8"/>
      <c r="FQ1" s="8"/>
      <c r="FR1" s="8"/>
      <c r="FS1" s="8"/>
      <c r="FT1" s="8"/>
      <c r="FU1" s="500"/>
      <c r="FV1" s="8"/>
      <c r="FW1" s="8"/>
      <c r="FX1" s="8"/>
      <c r="FY1" s="8"/>
      <c r="FZ1" s="8"/>
      <c r="GA1" s="500"/>
      <c r="GB1" s="8"/>
      <c r="GC1" s="8"/>
      <c r="GD1" s="8"/>
      <c r="GE1" s="8"/>
      <c r="GF1" s="8"/>
      <c r="GG1" s="500"/>
      <c r="GH1" s="8"/>
      <c r="GI1" s="8"/>
      <c r="GJ1" s="8"/>
      <c r="GK1" s="8"/>
      <c r="GL1" s="8"/>
      <c r="GM1" s="500"/>
      <c r="GN1" s="8"/>
      <c r="GO1" s="8"/>
      <c r="GP1" s="8"/>
      <c r="GQ1" s="8"/>
      <c r="GR1" s="8"/>
      <c r="GS1" s="500"/>
      <c r="GT1" s="8"/>
      <c r="GU1" s="8"/>
      <c r="GV1" s="8"/>
      <c r="GW1" s="8"/>
      <c r="GX1" s="8"/>
      <c r="GY1" s="500"/>
      <c r="GZ1" s="8"/>
      <c r="HA1" s="8"/>
      <c r="HB1" s="8"/>
      <c r="HC1" s="8"/>
      <c r="HD1" s="8"/>
      <c r="HE1" s="500"/>
      <c r="HH1"/>
      <c r="HI1"/>
      <c r="HJ1"/>
      <c r="HK1"/>
      <c r="HL1"/>
      <c r="HM1"/>
      <c r="HN1"/>
      <c r="HO1"/>
    </row>
    <row r="2" spans="1:225" hidden="1" outlineLevel="1">
      <c r="A2" s="8"/>
      <c r="B2" s="9" t="str">
        <f>Intro!C5</f>
        <v>NeoGenomics</v>
      </c>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823"/>
      <c r="DN2" s="10"/>
      <c r="DO2" s="10"/>
      <c r="DP2" s="10"/>
      <c r="DQ2" s="10"/>
      <c r="DR2" s="10"/>
      <c r="DS2" s="823"/>
      <c r="DT2" s="10"/>
      <c r="DU2" s="10"/>
      <c r="DV2" s="10"/>
      <c r="DW2" s="10"/>
      <c r="DX2" s="10"/>
      <c r="DY2" s="823"/>
      <c r="DZ2" s="10"/>
      <c r="EA2" s="10"/>
      <c r="EB2" s="10"/>
      <c r="EC2" s="10"/>
      <c r="ED2" s="10"/>
      <c r="EE2" s="823"/>
      <c r="EF2" s="10"/>
      <c r="EG2" s="10"/>
      <c r="EH2" s="10"/>
      <c r="EI2" s="10"/>
      <c r="EJ2" s="10"/>
      <c r="EK2" s="823"/>
      <c r="EL2" s="10"/>
      <c r="EM2" s="10"/>
      <c r="EN2" s="10"/>
      <c r="EO2" s="10"/>
      <c r="EP2" s="10"/>
      <c r="EQ2" s="823"/>
      <c r="ER2" s="10"/>
      <c r="ES2" s="10"/>
      <c r="ET2" s="10"/>
      <c r="EU2" s="10"/>
      <c r="EV2" s="10"/>
      <c r="EW2" s="823"/>
      <c r="EX2" s="10"/>
      <c r="EY2" s="10"/>
      <c r="EZ2" s="10"/>
      <c r="FA2" s="10"/>
      <c r="FB2" s="10"/>
      <c r="FC2" s="823"/>
      <c r="FD2" s="10"/>
      <c r="FE2" s="10"/>
      <c r="FF2" s="10"/>
      <c r="FG2" s="10"/>
      <c r="FH2" s="10"/>
      <c r="FI2" s="501"/>
      <c r="FJ2" s="8"/>
      <c r="FK2" s="8"/>
      <c r="FL2" s="8"/>
      <c r="FM2" s="8"/>
      <c r="FN2" s="8"/>
      <c r="FO2" s="501"/>
      <c r="FP2" s="8"/>
      <c r="FQ2" s="8"/>
      <c r="FR2" s="8"/>
      <c r="FS2" s="8"/>
      <c r="FT2" s="8"/>
      <c r="FU2" s="501"/>
      <c r="FV2" s="8"/>
      <c r="FW2" s="8"/>
      <c r="FX2" s="8"/>
      <c r="FY2" s="8"/>
      <c r="FZ2" s="8"/>
      <c r="GA2" s="501"/>
      <c r="GB2" s="8"/>
      <c r="GC2" s="8"/>
      <c r="GD2" s="8"/>
      <c r="GE2" s="8"/>
      <c r="GF2" s="8"/>
      <c r="GG2" s="501"/>
      <c r="GH2" s="8"/>
      <c r="GI2" s="8"/>
      <c r="GJ2" s="8"/>
      <c r="GK2" s="8"/>
      <c r="GL2" s="8"/>
      <c r="GM2" s="501"/>
      <c r="GN2" s="8"/>
      <c r="GO2" s="8"/>
      <c r="GP2" s="8"/>
      <c r="GQ2" s="8"/>
      <c r="GR2" s="8"/>
      <c r="GS2" s="501"/>
      <c r="GT2" s="8"/>
      <c r="GU2" s="8"/>
      <c r="GV2" s="8"/>
      <c r="GW2" s="8"/>
      <c r="GX2" s="8"/>
      <c r="GY2" s="501"/>
      <c r="GZ2" s="8"/>
      <c r="HA2" s="8"/>
      <c r="HB2" s="8"/>
      <c r="HC2" s="8"/>
      <c r="HD2" s="8"/>
      <c r="HE2" s="501"/>
      <c r="HH2"/>
      <c r="HI2"/>
      <c r="HJ2"/>
      <c r="HK2"/>
      <c r="HL2"/>
      <c r="HM2"/>
      <c r="HN2"/>
      <c r="HO2"/>
    </row>
    <row r="3" spans="1:225" hidden="1" outlineLevel="1">
      <c r="A3" s="8"/>
      <c r="B3" s="9" t="s">
        <v>81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823"/>
      <c r="DN3" s="10"/>
      <c r="DO3" s="10"/>
      <c r="DP3" s="10"/>
      <c r="DQ3" s="10"/>
      <c r="DR3" s="10"/>
      <c r="DS3" s="823"/>
      <c r="DT3" s="10"/>
      <c r="DU3" s="10"/>
      <c r="DV3" s="10"/>
      <c r="DW3" s="10"/>
      <c r="DX3" s="10"/>
      <c r="DY3" s="823"/>
      <c r="DZ3" s="10"/>
      <c r="EA3" s="10"/>
      <c r="EB3" s="10"/>
      <c r="EC3" s="10"/>
      <c r="ED3" s="10"/>
      <c r="EE3" s="823"/>
      <c r="EF3" s="10"/>
      <c r="EG3" s="10"/>
      <c r="EH3" s="10"/>
      <c r="EI3" s="10"/>
      <c r="EJ3" s="10"/>
      <c r="EK3" s="823"/>
      <c r="EL3" s="10"/>
      <c r="EM3" s="10"/>
      <c r="EN3" s="10"/>
      <c r="EO3" s="10"/>
      <c r="EP3" s="10"/>
      <c r="EQ3" s="823"/>
      <c r="ER3" s="10"/>
      <c r="ES3" s="10"/>
      <c r="ET3" s="10"/>
      <c r="EU3" s="10"/>
      <c r="EV3" s="10"/>
      <c r="EW3" s="823"/>
      <c r="EX3" s="10"/>
      <c r="EY3" s="10"/>
      <c r="EZ3" s="10"/>
      <c r="FA3" s="10"/>
      <c r="FB3" s="10"/>
      <c r="FC3" s="823"/>
      <c r="FD3" s="10"/>
      <c r="FE3" s="10"/>
      <c r="FF3" s="10"/>
      <c r="FG3" s="10"/>
      <c r="FH3" s="10"/>
      <c r="FI3" s="501"/>
      <c r="FJ3" s="8"/>
      <c r="FK3" s="8"/>
      <c r="FL3" s="8"/>
      <c r="FM3" s="8"/>
      <c r="FN3" s="8"/>
      <c r="FO3" s="501"/>
      <c r="FP3" s="8"/>
      <c r="FQ3" s="8"/>
      <c r="FR3" s="8"/>
      <c r="FS3" s="8"/>
      <c r="FT3" s="8"/>
      <c r="FU3" s="501"/>
      <c r="FV3" s="8"/>
      <c r="FW3" s="8"/>
      <c r="FX3" s="8"/>
      <c r="FY3" s="8"/>
      <c r="FZ3" s="8"/>
      <c r="GA3" s="501"/>
      <c r="GB3" s="8"/>
      <c r="GC3" s="8"/>
      <c r="GD3" s="8"/>
      <c r="GE3" s="8"/>
      <c r="GF3" s="8"/>
      <c r="GG3" s="501"/>
      <c r="GH3" s="8"/>
      <c r="GI3" s="8"/>
      <c r="GJ3" s="8"/>
      <c r="GK3" s="8"/>
      <c r="GL3" s="8"/>
      <c r="GM3" s="501"/>
      <c r="GN3" s="8"/>
      <c r="GO3" s="8"/>
      <c r="GP3" s="8"/>
      <c r="GQ3" s="8"/>
      <c r="GR3" s="8"/>
      <c r="GS3" s="501"/>
      <c r="GT3" s="8"/>
      <c r="GU3" s="8"/>
      <c r="GV3" s="8"/>
      <c r="GW3" s="8"/>
      <c r="GX3" s="8"/>
      <c r="GY3" s="501"/>
      <c r="GZ3" s="8"/>
      <c r="HA3" s="8"/>
      <c r="HB3" s="8"/>
      <c r="HC3" s="8"/>
      <c r="HD3" s="8"/>
      <c r="HE3" s="501"/>
      <c r="HH3"/>
      <c r="HI3"/>
      <c r="HJ3"/>
      <c r="HK3"/>
      <c r="HL3"/>
      <c r="HM3"/>
      <c r="HN3"/>
      <c r="HO3"/>
    </row>
    <row r="4" spans="1:225" hidden="1" outlineLevel="1">
      <c r="A4" s="8"/>
      <c r="B4" s="10" t="str">
        <f>IS!EY4</f>
        <v>Dollars in millions, except per share amounts</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824"/>
      <c r="DN4" s="10"/>
      <c r="DO4" s="10"/>
      <c r="DP4" s="10"/>
      <c r="DQ4" s="10"/>
      <c r="DR4" s="10"/>
      <c r="DS4" s="824"/>
      <c r="DT4" s="10"/>
      <c r="DU4" s="10"/>
      <c r="DV4" s="10"/>
      <c r="DW4" s="10"/>
      <c r="DX4" s="10"/>
      <c r="DY4" s="824"/>
      <c r="DZ4" s="10"/>
      <c r="EA4" s="10"/>
      <c r="EB4" s="10"/>
      <c r="EC4" s="10"/>
      <c r="ED4" s="10"/>
      <c r="EE4" s="824"/>
      <c r="EF4" s="10"/>
      <c r="EG4" s="10"/>
      <c r="EH4" s="10"/>
      <c r="EI4" s="10"/>
      <c r="EJ4" s="10"/>
      <c r="EK4" s="824"/>
      <c r="EL4" s="10"/>
      <c r="EM4" s="10"/>
      <c r="EN4" s="10"/>
      <c r="EO4" s="10"/>
      <c r="EP4" s="10"/>
      <c r="EQ4" s="824"/>
      <c r="ER4" s="10"/>
      <c r="ES4" s="10"/>
      <c r="ET4" s="10"/>
      <c r="EU4" s="10"/>
      <c r="EV4" s="10"/>
      <c r="EW4" s="824"/>
      <c r="EX4" s="10"/>
      <c r="EY4" s="10"/>
      <c r="EZ4" s="10"/>
      <c r="FA4" s="10"/>
      <c r="FB4" s="10"/>
      <c r="FC4" s="824"/>
      <c r="FD4" s="10"/>
      <c r="FE4" s="10"/>
      <c r="FF4" s="10"/>
      <c r="FG4" s="10"/>
      <c r="FH4" s="10"/>
      <c r="FI4" s="392"/>
      <c r="FJ4" s="8"/>
      <c r="FK4" s="8"/>
      <c r="FL4" s="8"/>
      <c r="FM4" s="8"/>
      <c r="FN4" s="8"/>
      <c r="FO4" s="392"/>
      <c r="FP4" s="8"/>
      <c r="FQ4" s="8"/>
      <c r="FR4" s="8"/>
      <c r="FS4" s="8"/>
      <c r="FT4" s="8"/>
      <c r="FU4" s="392"/>
      <c r="FV4" s="8"/>
      <c r="FW4" s="8"/>
      <c r="FX4" s="8"/>
      <c r="FY4" s="8"/>
      <c r="FZ4" s="8"/>
      <c r="GA4" s="392"/>
      <c r="GB4" s="8"/>
      <c r="GC4" s="8"/>
      <c r="GD4" s="8"/>
      <c r="GE4" s="8"/>
      <c r="GF4" s="8"/>
      <c r="GG4" s="392"/>
      <c r="GH4" s="8"/>
      <c r="GI4" s="8"/>
      <c r="GJ4" s="8"/>
      <c r="GK4" s="8"/>
      <c r="GL4" s="8"/>
      <c r="GM4" s="392"/>
      <c r="GN4" s="8"/>
      <c r="GO4" s="8"/>
      <c r="GP4" s="8"/>
      <c r="GQ4" s="8"/>
      <c r="GR4" s="8"/>
      <c r="GS4" s="392"/>
      <c r="GT4" s="8"/>
      <c r="GU4" s="8"/>
      <c r="GV4" s="8"/>
      <c r="GW4" s="8"/>
      <c r="GX4" s="8"/>
      <c r="GY4" s="392"/>
      <c r="GZ4" s="8"/>
      <c r="HA4" s="8"/>
      <c r="HB4" s="8"/>
      <c r="HC4" s="8"/>
      <c r="HD4" s="8"/>
      <c r="HE4" s="392"/>
      <c r="HH4"/>
      <c r="HI4"/>
      <c r="HJ4"/>
      <c r="HK4"/>
      <c r="HL4"/>
      <c r="HM4"/>
      <c r="HN4"/>
      <c r="HO4"/>
    </row>
    <row r="5" spans="1:225" collapsed="1">
      <c r="A5" s="8"/>
      <c r="C5" s="8"/>
      <c r="D5" s="11" t="s">
        <v>13</v>
      </c>
      <c r="E5" s="11"/>
      <c r="F5" s="11"/>
      <c r="G5" s="11"/>
      <c r="H5" s="11"/>
      <c r="I5" s="8"/>
      <c r="J5" s="11" t="s">
        <v>13</v>
      </c>
      <c r="K5" s="11"/>
      <c r="L5" s="11"/>
      <c r="M5" s="11"/>
      <c r="N5" s="11"/>
      <c r="O5" s="8"/>
      <c r="P5" s="11" t="s">
        <v>13</v>
      </c>
      <c r="Q5" s="11"/>
      <c r="R5" s="11"/>
      <c r="S5" s="11"/>
      <c r="T5" s="11"/>
      <c r="U5" s="10" t="s">
        <v>14</v>
      </c>
      <c r="V5" s="11" t="s">
        <v>13</v>
      </c>
      <c r="W5" s="11"/>
      <c r="X5" s="11"/>
      <c r="Y5" s="11"/>
      <c r="Z5" s="11"/>
      <c r="AA5" s="10" t="s">
        <v>14</v>
      </c>
      <c r="AB5" s="11" t="s">
        <v>13</v>
      </c>
      <c r="AC5" s="11"/>
      <c r="AD5" s="11"/>
      <c r="AE5" s="11"/>
      <c r="AF5" s="11"/>
      <c r="AG5" s="10" t="s">
        <v>14</v>
      </c>
      <c r="AH5" s="11" t="s">
        <v>13</v>
      </c>
      <c r="AI5" s="11"/>
      <c r="AJ5" s="11"/>
      <c r="AK5" s="11"/>
      <c r="AL5" s="11"/>
      <c r="AM5" s="12"/>
      <c r="AN5" s="11" t="s">
        <v>13</v>
      </c>
      <c r="AO5" s="11"/>
      <c r="AP5" s="11"/>
      <c r="AQ5" s="11"/>
      <c r="AR5" s="11"/>
      <c r="AS5" s="12"/>
      <c r="AT5" s="11" t="s">
        <v>13</v>
      </c>
      <c r="AU5" s="11"/>
      <c r="AV5" s="11"/>
      <c r="AW5" s="11"/>
      <c r="AX5" s="11"/>
      <c r="AY5" s="12"/>
      <c r="AZ5" s="11" t="s">
        <v>13</v>
      </c>
      <c r="BA5" s="11"/>
      <c r="BB5" s="11"/>
      <c r="BC5" s="11"/>
      <c r="BD5" s="11"/>
      <c r="BE5" s="12"/>
      <c r="BF5" s="11" t="s">
        <v>13</v>
      </c>
      <c r="BG5" s="11"/>
      <c r="BH5" s="11"/>
      <c r="BI5" s="11"/>
      <c r="BJ5" s="11"/>
      <c r="BK5" s="12"/>
      <c r="BL5" s="11" t="s">
        <v>13</v>
      </c>
      <c r="BM5" s="11"/>
      <c r="BN5" s="11"/>
      <c r="BO5" s="11"/>
      <c r="BP5" s="11"/>
      <c r="BQ5" s="12"/>
      <c r="BR5" s="11" t="s">
        <v>13</v>
      </c>
      <c r="BS5" s="11"/>
      <c r="BT5" s="11"/>
      <c r="BU5" s="11"/>
      <c r="BV5" s="11"/>
      <c r="BW5" s="12"/>
      <c r="BX5" s="11" t="s">
        <v>13</v>
      </c>
      <c r="BY5" s="11"/>
      <c r="BZ5" s="11"/>
      <c r="CA5" s="11"/>
      <c r="CB5" s="11"/>
      <c r="CC5" s="12"/>
      <c r="CD5" s="11" t="s">
        <v>13</v>
      </c>
      <c r="CE5" s="11"/>
      <c r="CF5" s="11"/>
      <c r="CG5" s="11"/>
      <c r="CH5" s="11"/>
      <c r="CI5" s="12"/>
      <c r="CJ5" s="11" t="s">
        <v>13</v>
      </c>
      <c r="CK5" s="11"/>
      <c r="CL5" s="11"/>
      <c r="CM5" s="11"/>
      <c r="CN5" s="11"/>
      <c r="CO5" s="12"/>
      <c r="CP5" s="11" t="s">
        <v>13</v>
      </c>
      <c r="CQ5" s="11"/>
      <c r="CR5" s="11"/>
      <c r="CS5" s="11"/>
      <c r="CT5" s="11"/>
      <c r="CU5" s="12"/>
      <c r="CV5" s="11" t="s">
        <v>13</v>
      </c>
      <c r="CW5" s="11"/>
      <c r="CX5" s="11"/>
      <c r="CY5" s="11"/>
      <c r="CZ5" s="11"/>
      <c r="DA5" s="12"/>
      <c r="DB5" s="11" t="s">
        <v>13</v>
      </c>
      <c r="DC5" s="11"/>
      <c r="DD5" s="11"/>
      <c r="DE5" s="11"/>
      <c r="DF5" s="11"/>
      <c r="DG5" s="12"/>
      <c r="DH5" s="11" t="s">
        <v>13</v>
      </c>
      <c r="DI5" s="11"/>
      <c r="DJ5" s="11"/>
      <c r="DK5" s="11"/>
      <c r="DL5" s="11"/>
      <c r="DN5" s="11" t="s">
        <v>13</v>
      </c>
      <c r="DO5" s="11"/>
      <c r="DP5" s="11"/>
      <c r="DQ5" s="11"/>
      <c r="DR5" s="11"/>
      <c r="DT5" s="11" t="s">
        <v>13</v>
      </c>
      <c r="DU5" s="11"/>
      <c r="DV5" s="11"/>
      <c r="DW5" s="11"/>
      <c r="DX5" s="11"/>
      <c r="DZ5" s="11" t="s">
        <v>13</v>
      </c>
      <c r="EA5" s="11"/>
      <c r="EB5" s="11"/>
      <c r="EC5" s="11"/>
      <c r="ED5" s="11"/>
      <c r="EF5" s="11" t="s">
        <v>13</v>
      </c>
      <c r="EG5" s="11"/>
      <c r="EH5" s="11"/>
      <c r="EI5" s="11"/>
      <c r="EJ5" s="11"/>
      <c r="EL5" s="937" t="s">
        <v>13</v>
      </c>
      <c r="EM5" s="937"/>
      <c r="EN5" s="937"/>
      <c r="EO5" s="937"/>
      <c r="EP5" s="937"/>
      <c r="EQ5" s="832"/>
      <c r="ER5" s="937" t="s">
        <v>13</v>
      </c>
      <c r="ES5" s="937"/>
      <c r="ET5" s="937"/>
      <c r="EU5" s="937"/>
      <c r="EV5" s="937"/>
      <c r="EW5" s="23"/>
      <c r="EX5" s="937" t="s">
        <v>13</v>
      </c>
      <c r="EY5" s="937"/>
      <c r="EZ5" s="937"/>
      <c r="FA5" s="937"/>
      <c r="FB5" s="937"/>
      <c r="FD5" s="10" t="s">
        <v>15</v>
      </c>
      <c r="FE5" s="10"/>
      <c r="FF5" s="10"/>
      <c r="FG5" s="10"/>
      <c r="FH5" s="10"/>
      <c r="FJ5" s="10" t="s">
        <v>15</v>
      </c>
      <c r="FK5" s="10"/>
      <c r="FL5" s="10"/>
      <c r="FM5" s="10"/>
      <c r="FN5" s="10"/>
      <c r="FP5" s="10" t="s">
        <v>15</v>
      </c>
      <c r="FQ5" s="10"/>
      <c r="FR5" s="10"/>
      <c r="FS5" s="10"/>
      <c r="FT5" s="10"/>
      <c r="FV5" s="10" t="s">
        <v>15</v>
      </c>
      <c r="FW5" s="10"/>
      <c r="FX5" s="10"/>
      <c r="FY5" s="10"/>
      <c r="FZ5" s="10"/>
      <c r="GB5" s="10" t="s">
        <v>15</v>
      </c>
      <c r="GC5" s="10"/>
      <c r="GD5" s="10"/>
      <c r="GE5" s="10"/>
      <c r="GF5" s="10"/>
      <c r="GH5" s="10" t="s">
        <v>15</v>
      </c>
      <c r="GI5" s="10"/>
      <c r="GJ5" s="10"/>
      <c r="GK5" s="10"/>
      <c r="GL5" s="10"/>
      <c r="GN5" s="10" t="s">
        <v>15</v>
      </c>
      <c r="GO5" s="10"/>
      <c r="GP5" s="10"/>
      <c r="GQ5" s="10"/>
      <c r="GR5" s="10"/>
      <c r="GT5" s="10" t="s">
        <v>15</v>
      </c>
      <c r="GU5" s="10"/>
      <c r="GV5" s="10"/>
      <c r="GW5" s="10"/>
      <c r="GX5" s="10"/>
      <c r="GZ5" s="10" t="s">
        <v>15</v>
      </c>
      <c r="HA5" s="10"/>
      <c r="HB5" s="10"/>
      <c r="HC5" s="10"/>
      <c r="HD5" s="10"/>
      <c r="HF5" s="10" t="s">
        <v>15</v>
      </c>
      <c r="HG5" s="10"/>
      <c r="HH5" s="10"/>
      <c r="HI5" s="10"/>
      <c r="HJ5" s="10"/>
      <c r="HK5" s="483"/>
      <c r="HL5" s="483"/>
      <c r="HM5" s="483"/>
      <c r="HN5" s="483"/>
      <c r="HO5" s="483"/>
    </row>
    <row r="6" spans="1:225">
      <c r="A6" s="13"/>
      <c r="B6" s="13"/>
      <c r="C6" s="13"/>
      <c r="D6" s="449">
        <v>2000</v>
      </c>
      <c r="E6" s="449"/>
      <c r="F6" s="449"/>
      <c r="G6" s="449"/>
      <c r="H6" s="449"/>
      <c r="I6" s="13"/>
      <c r="J6" s="449">
        <v>2001</v>
      </c>
      <c r="K6" s="449"/>
      <c r="L6" s="449"/>
      <c r="M6" s="449"/>
      <c r="N6" s="449"/>
      <c r="O6" s="13"/>
      <c r="P6" s="14">
        <v>2002</v>
      </c>
      <c r="Q6" s="14"/>
      <c r="R6" s="14"/>
      <c r="S6" s="14"/>
      <c r="T6" s="14"/>
      <c r="U6" s="13"/>
      <c r="V6" s="14">
        <v>2003</v>
      </c>
      <c r="W6" s="14"/>
      <c r="X6" s="14"/>
      <c r="Y6" s="14"/>
      <c r="Z6" s="14"/>
      <c r="AA6" s="13"/>
      <c r="AB6" s="14">
        <v>2004</v>
      </c>
      <c r="AC6" s="14"/>
      <c r="AD6" s="14"/>
      <c r="AE6" s="14"/>
      <c r="AF6" s="14"/>
      <c r="AG6" s="13"/>
      <c r="AH6" s="14">
        <v>2005</v>
      </c>
      <c r="AI6" s="14"/>
      <c r="AJ6" s="14"/>
      <c r="AK6" s="14"/>
      <c r="AL6" s="14"/>
      <c r="AM6" s="13"/>
      <c r="AN6" s="14">
        <v>2006</v>
      </c>
      <c r="AO6" s="14"/>
      <c r="AP6" s="14"/>
      <c r="AQ6" s="14"/>
      <c r="AR6" s="14"/>
      <c r="AS6" s="13"/>
      <c r="AT6" s="14">
        <v>2007</v>
      </c>
      <c r="AU6" s="14"/>
      <c r="AV6" s="14"/>
      <c r="AW6" s="14"/>
      <c r="AX6" s="14"/>
      <c r="AY6" s="13"/>
      <c r="AZ6" s="14">
        <v>2008</v>
      </c>
      <c r="BA6" s="14"/>
      <c r="BB6" s="14"/>
      <c r="BC6" s="14"/>
      <c r="BD6" s="14"/>
      <c r="BE6" s="13"/>
      <c r="BF6" s="14">
        <v>2009</v>
      </c>
      <c r="BG6" s="14"/>
      <c r="BH6" s="14"/>
      <c r="BI6" s="14"/>
      <c r="BJ6" s="14"/>
      <c r="BK6" s="13"/>
      <c r="BL6" s="14">
        <v>2010</v>
      </c>
      <c r="BM6" s="14"/>
      <c r="BN6" s="14"/>
      <c r="BO6" s="14"/>
      <c r="BP6" s="14"/>
      <c r="BQ6" s="13"/>
      <c r="BR6" s="14">
        <v>2011</v>
      </c>
      <c r="BS6" s="14"/>
      <c r="BT6" s="14"/>
      <c r="BU6" s="14"/>
      <c r="BV6" s="14"/>
      <c r="BW6" s="13"/>
      <c r="BX6" s="14">
        <v>2012</v>
      </c>
      <c r="BY6" s="14"/>
      <c r="BZ6" s="14"/>
      <c r="CA6" s="14"/>
      <c r="CB6" s="14"/>
      <c r="CC6" s="13"/>
      <c r="CD6" s="14">
        <v>2013</v>
      </c>
      <c r="CE6" s="14"/>
      <c r="CF6" s="14"/>
      <c r="CG6" s="14"/>
      <c r="CH6" s="14"/>
      <c r="CI6" s="13"/>
      <c r="CJ6" s="14">
        <v>2014</v>
      </c>
      <c r="CK6" s="14"/>
      <c r="CL6" s="14"/>
      <c r="CM6" s="14"/>
      <c r="CN6" s="14"/>
      <c r="CO6" s="13"/>
      <c r="CP6" s="14">
        <v>2015</v>
      </c>
      <c r="CQ6" s="14"/>
      <c r="CR6" s="14"/>
      <c r="CS6" s="14"/>
      <c r="CT6" s="14"/>
      <c r="CU6" s="13"/>
      <c r="CV6" s="14">
        <v>2016</v>
      </c>
      <c r="CW6" s="14"/>
      <c r="CX6" s="14"/>
      <c r="CY6" s="14"/>
      <c r="CZ6" s="14"/>
      <c r="DA6" s="13"/>
      <c r="DB6" s="14">
        <v>2017</v>
      </c>
      <c r="DC6" s="14"/>
      <c r="DD6" s="14"/>
      <c r="DE6" s="14"/>
      <c r="DF6" s="14"/>
      <c r="DG6" s="13"/>
      <c r="DH6" s="940">
        <f>IS!DH6</f>
        <v>2018</v>
      </c>
      <c r="DI6" s="940"/>
      <c r="DJ6" s="940"/>
      <c r="DK6" s="940"/>
      <c r="DL6" s="940"/>
      <c r="DM6" s="427"/>
      <c r="DN6" s="940">
        <f>IS!DN6</f>
        <v>2019</v>
      </c>
      <c r="DO6" s="940"/>
      <c r="DP6" s="940"/>
      <c r="DQ6" s="940"/>
      <c r="DR6" s="940"/>
      <c r="DS6" s="427"/>
      <c r="DT6" s="940">
        <f>IS!DT6</f>
        <v>2020</v>
      </c>
      <c r="DU6" s="940"/>
      <c r="DV6" s="940"/>
      <c r="DW6" s="940"/>
      <c r="DX6" s="940"/>
      <c r="DY6" s="427"/>
      <c r="DZ6" s="940">
        <f>IS!DZ6</f>
        <v>2021</v>
      </c>
      <c r="EA6" s="940"/>
      <c r="EB6" s="940"/>
      <c r="EC6" s="940"/>
      <c r="ED6" s="940"/>
      <c r="EE6" s="427"/>
      <c r="EF6" s="940">
        <f>IS!EF6</f>
        <v>2022</v>
      </c>
      <c r="EG6" s="940"/>
      <c r="EH6" s="940"/>
      <c r="EI6" s="940"/>
      <c r="EJ6" s="940"/>
      <c r="EK6" s="427"/>
      <c r="EL6" s="939">
        <f>IS!EL6</f>
        <v>2023</v>
      </c>
      <c r="EM6" s="939"/>
      <c r="EN6" s="939"/>
      <c r="EO6" s="939"/>
      <c r="EP6" s="939"/>
      <c r="EQ6" s="427"/>
      <c r="ER6" s="940">
        <f>EL6+1</f>
        <v>2024</v>
      </c>
      <c r="ES6" s="940"/>
      <c r="ET6" s="940"/>
      <c r="EU6" s="940"/>
      <c r="EV6" s="940"/>
      <c r="EW6" s="427"/>
      <c r="EX6" s="940">
        <f>ER6+1</f>
        <v>2025</v>
      </c>
      <c r="EY6" s="940"/>
      <c r="EZ6" s="940"/>
      <c r="FA6" s="940"/>
      <c r="FB6" s="940"/>
      <c r="FC6" s="427"/>
      <c r="FD6" s="940">
        <f>EX6+1</f>
        <v>2026</v>
      </c>
      <c r="FE6" s="939"/>
      <c r="FF6" s="939"/>
      <c r="FG6" s="939"/>
      <c r="FH6" s="939"/>
      <c r="FI6" s="427"/>
      <c r="FJ6" s="939">
        <f>FD6+1</f>
        <v>2027</v>
      </c>
      <c r="FK6" s="939"/>
      <c r="FL6" s="939"/>
      <c r="FM6" s="939"/>
      <c r="FN6" s="939"/>
      <c r="FO6" s="427"/>
      <c r="FP6" s="939">
        <f>FJ6+1</f>
        <v>2028</v>
      </c>
      <c r="FQ6" s="939"/>
      <c r="FR6" s="939"/>
      <c r="FS6" s="939"/>
      <c r="FT6" s="939"/>
      <c r="FU6" s="427"/>
      <c r="FV6" s="939">
        <f>FP6+1</f>
        <v>2029</v>
      </c>
      <c r="FW6" s="939"/>
      <c r="FX6" s="939"/>
      <c r="FY6" s="939"/>
      <c r="FZ6" s="939"/>
      <c r="GA6" s="427"/>
      <c r="GB6" s="939">
        <f>FV6+1</f>
        <v>2030</v>
      </c>
      <c r="GC6" s="939"/>
      <c r="GD6" s="939"/>
      <c r="GE6" s="939"/>
      <c r="GF6" s="939"/>
      <c r="GG6" s="427"/>
      <c r="GH6" s="939">
        <f>GB6+1</f>
        <v>2031</v>
      </c>
      <c r="GI6" s="939"/>
      <c r="GJ6" s="939"/>
      <c r="GK6" s="939"/>
      <c r="GL6" s="939"/>
      <c r="GM6" s="427"/>
      <c r="GN6" s="939">
        <f>GH6+1</f>
        <v>2032</v>
      </c>
      <c r="GO6" s="939"/>
      <c r="GP6" s="939"/>
      <c r="GQ6" s="939"/>
      <c r="GR6" s="939"/>
      <c r="GS6" s="427"/>
      <c r="GT6" s="939">
        <f>GN6+1</f>
        <v>2033</v>
      </c>
      <c r="GU6" s="939"/>
      <c r="GV6" s="939"/>
      <c r="GW6" s="939"/>
      <c r="GX6" s="939"/>
      <c r="GY6" s="427"/>
      <c r="GZ6" s="939">
        <f>GT6+1</f>
        <v>2034</v>
      </c>
      <c r="HA6" s="939"/>
      <c r="HB6" s="939"/>
      <c r="HC6" s="939"/>
      <c r="HD6" s="939"/>
      <c r="HE6" s="511"/>
      <c r="HF6" s="939">
        <f>GZ6+1</f>
        <v>2035</v>
      </c>
      <c r="HG6" s="939"/>
      <c r="HH6" s="939"/>
      <c r="HI6" s="939"/>
      <c r="HJ6" s="939"/>
      <c r="HK6" s="483"/>
      <c r="HL6" s="483"/>
      <c r="HM6" s="483"/>
      <c r="HN6" s="483"/>
      <c r="HO6" s="483"/>
    </row>
    <row r="7" spans="1:225">
      <c r="A7" s="16"/>
      <c r="B7" s="16"/>
      <c r="C7" s="16"/>
      <c r="D7" s="16">
        <f>IS!D7</f>
        <v>36616</v>
      </c>
      <c r="E7" s="16">
        <f>IS!E7</f>
        <v>36707</v>
      </c>
      <c r="F7" s="16">
        <f>IS!F7</f>
        <v>36799</v>
      </c>
      <c r="G7" s="16">
        <f>IS!G7</f>
        <v>36891</v>
      </c>
      <c r="H7" s="16" t="s">
        <v>16</v>
      </c>
      <c r="I7" s="16"/>
      <c r="J7" s="16">
        <f>IS!J7</f>
        <v>36981</v>
      </c>
      <c r="K7" s="16">
        <f>IS!K7</f>
        <v>37072</v>
      </c>
      <c r="L7" s="16">
        <f>IS!L7</f>
        <v>37164</v>
      </c>
      <c r="M7" s="16">
        <f>IS!M7</f>
        <v>37256</v>
      </c>
      <c r="N7" s="16" t="s">
        <v>16</v>
      </c>
      <c r="O7" s="16"/>
      <c r="P7" s="16">
        <f>IS!P7</f>
        <v>37346</v>
      </c>
      <c r="Q7" s="16">
        <f>IS!Q7</f>
        <v>37437</v>
      </c>
      <c r="R7" s="16">
        <f>IS!R7</f>
        <v>37529</v>
      </c>
      <c r="S7" s="16">
        <f>IS!S7</f>
        <v>37621</v>
      </c>
      <c r="T7" s="16" t="s">
        <v>17</v>
      </c>
      <c r="U7" s="16"/>
      <c r="V7" s="16">
        <f>IS!V7</f>
        <v>37711</v>
      </c>
      <c r="W7" s="16">
        <f>IS!W7</f>
        <v>37802</v>
      </c>
      <c r="X7" s="16">
        <f>IS!X7</f>
        <v>37894</v>
      </c>
      <c r="Y7" s="16">
        <f>IS!Y7</f>
        <v>37986</v>
      </c>
      <c r="Z7" s="16" t="s">
        <v>17</v>
      </c>
      <c r="AA7" s="16"/>
      <c r="AB7" s="16">
        <f>IS!AB7</f>
        <v>38077</v>
      </c>
      <c r="AC7" s="16">
        <f>IS!AC7</f>
        <v>38168</v>
      </c>
      <c r="AD7" s="16">
        <f>IS!AD7</f>
        <v>38260</v>
      </c>
      <c r="AE7" s="16">
        <f>IS!AE7</f>
        <v>38352</v>
      </c>
      <c r="AF7" s="16" t="s">
        <v>17</v>
      </c>
      <c r="AG7" s="16"/>
      <c r="AH7" s="16">
        <f>IS!AH7</f>
        <v>38442</v>
      </c>
      <c r="AI7" s="16">
        <f>IS!AI7</f>
        <v>38533</v>
      </c>
      <c r="AJ7" s="16">
        <f>IS!AJ7</f>
        <v>38625</v>
      </c>
      <c r="AK7" s="16">
        <f>IS!AK7</f>
        <v>38717</v>
      </c>
      <c r="AL7" s="16" t="s">
        <v>17</v>
      </c>
      <c r="AM7" s="16"/>
      <c r="AN7" s="16">
        <f>IS!AN7</f>
        <v>38807</v>
      </c>
      <c r="AO7" s="16">
        <f>IS!AO7</f>
        <v>38898</v>
      </c>
      <c r="AP7" s="16">
        <f>IS!AP7</f>
        <v>38990</v>
      </c>
      <c r="AQ7" s="16">
        <f>IS!AQ7</f>
        <v>39082</v>
      </c>
      <c r="AR7" s="16" t="s">
        <v>17</v>
      </c>
      <c r="AS7" s="16"/>
      <c r="AT7" s="16">
        <f>IS!AT7</f>
        <v>39172</v>
      </c>
      <c r="AU7" s="16">
        <f>IS!AU7</f>
        <v>39263</v>
      </c>
      <c r="AV7" s="16">
        <f>IS!AV7</f>
        <v>39355</v>
      </c>
      <c r="AW7" s="16">
        <f>IS!AW7</f>
        <v>39447</v>
      </c>
      <c r="AX7" s="16" t="s">
        <v>17</v>
      </c>
      <c r="AY7" s="16"/>
      <c r="AZ7" s="16">
        <f>IS!AZ7</f>
        <v>39537</v>
      </c>
      <c r="BA7" s="16">
        <f>IS!BA7</f>
        <v>39628</v>
      </c>
      <c r="BB7" s="16">
        <f>IS!BB7</f>
        <v>39720</v>
      </c>
      <c r="BC7" s="16">
        <f>IS!BC7</f>
        <v>39812</v>
      </c>
      <c r="BD7" s="16" t="s">
        <v>17</v>
      </c>
      <c r="BE7" s="16"/>
      <c r="BF7" s="16">
        <f>IS!BF7</f>
        <v>39902</v>
      </c>
      <c r="BG7" s="16">
        <f>IS!BG7</f>
        <v>39993</v>
      </c>
      <c r="BH7" s="16">
        <f>IS!BH7</f>
        <v>40085</v>
      </c>
      <c r="BI7" s="16">
        <f>IS!BI7</f>
        <v>40177</v>
      </c>
      <c r="BJ7" s="16" t="s">
        <v>17</v>
      </c>
      <c r="BK7" s="16"/>
      <c r="BL7" s="16">
        <f>IS!BL7</f>
        <v>40267</v>
      </c>
      <c r="BM7" s="16">
        <f>IS!BM7</f>
        <v>40358</v>
      </c>
      <c r="BN7" s="16">
        <f>IS!BN7</f>
        <v>40450</v>
      </c>
      <c r="BO7" s="16">
        <f>IS!BO7</f>
        <v>40542</v>
      </c>
      <c r="BP7" s="16" t="s">
        <v>17</v>
      </c>
      <c r="BQ7" s="16"/>
      <c r="BR7" s="16">
        <f>IS!BR7</f>
        <v>40632</v>
      </c>
      <c r="BS7" s="16">
        <f>IS!BS7</f>
        <v>40723</v>
      </c>
      <c r="BT7" s="16">
        <f>IS!BT7</f>
        <v>40815</v>
      </c>
      <c r="BU7" s="16">
        <f>IS!BU7</f>
        <v>40907</v>
      </c>
      <c r="BV7" s="16" t="s">
        <v>17</v>
      </c>
      <c r="BW7" s="16"/>
      <c r="BX7" s="16">
        <f>IS!BX7</f>
        <v>40997</v>
      </c>
      <c r="BY7" s="16">
        <f>IS!BY7</f>
        <v>41088</v>
      </c>
      <c r="BZ7" s="16">
        <f>IS!BZ7</f>
        <v>41180</v>
      </c>
      <c r="CA7" s="16">
        <f>IS!CA7</f>
        <v>41272</v>
      </c>
      <c r="CB7" s="16" t="s">
        <v>17</v>
      </c>
      <c r="CC7" s="16"/>
      <c r="CD7" s="16">
        <f>IS!CD7</f>
        <v>41362</v>
      </c>
      <c r="CE7" s="16">
        <f>IS!CE7</f>
        <v>41453</v>
      </c>
      <c r="CF7" s="16">
        <f>IS!CF7</f>
        <v>41545</v>
      </c>
      <c r="CG7" s="16">
        <f>IS!CG7</f>
        <v>41637</v>
      </c>
      <c r="CH7" s="16" t="s">
        <v>17</v>
      </c>
      <c r="CI7" s="16"/>
      <c r="CJ7" s="16">
        <f>IS!CJ7</f>
        <v>41727</v>
      </c>
      <c r="CK7" s="16">
        <f>IS!CK7</f>
        <v>41818</v>
      </c>
      <c r="CL7" s="16">
        <f>IS!CL7</f>
        <v>41910</v>
      </c>
      <c r="CM7" s="16">
        <f>IS!CM7</f>
        <v>42002</v>
      </c>
      <c r="CN7" s="16" t="s">
        <v>17</v>
      </c>
      <c r="CO7" s="16"/>
      <c r="CP7" s="16">
        <f>IS!CP7</f>
        <v>42092</v>
      </c>
      <c r="CQ7" s="16">
        <f>IS!CQ7</f>
        <v>42183</v>
      </c>
      <c r="CR7" s="16">
        <f>IS!CR7</f>
        <v>42275</v>
      </c>
      <c r="CS7" s="16">
        <f>IS!CS7</f>
        <v>42367</v>
      </c>
      <c r="CT7" s="16" t="s">
        <v>17</v>
      </c>
      <c r="CU7" s="16"/>
      <c r="CV7" s="16">
        <f>IS!CV7</f>
        <v>42457</v>
      </c>
      <c r="CW7" s="16">
        <f>IS!CW7</f>
        <v>42548</v>
      </c>
      <c r="CX7" s="16">
        <f>IS!CX7</f>
        <v>42640</v>
      </c>
      <c r="CY7" s="16">
        <f>IS!CY7</f>
        <v>42732</v>
      </c>
      <c r="CZ7" s="16" t="s">
        <v>17</v>
      </c>
      <c r="DA7" s="16"/>
      <c r="DB7" s="16">
        <f>IS!DB7</f>
        <v>42822</v>
      </c>
      <c r="DC7" s="16">
        <f>IS!DC7</f>
        <v>42913</v>
      </c>
      <c r="DD7" s="16">
        <f>IS!DD7</f>
        <v>43005</v>
      </c>
      <c r="DE7" s="16">
        <f>IS!DE7</f>
        <v>43097</v>
      </c>
      <c r="DF7" s="16" t="s">
        <v>17</v>
      </c>
      <c r="DG7" s="16"/>
      <c r="DH7" s="16">
        <f>IS!DH7</f>
        <v>43190</v>
      </c>
      <c r="DI7" s="16">
        <f>IS!DI7</f>
        <v>43281</v>
      </c>
      <c r="DJ7" s="16">
        <f>IS!DJ7</f>
        <v>43373</v>
      </c>
      <c r="DK7" s="16">
        <f>IS!DK7</f>
        <v>43465</v>
      </c>
      <c r="DL7" s="16" t="s">
        <v>17</v>
      </c>
      <c r="DN7" s="16">
        <f>IS!DN7</f>
        <v>43555</v>
      </c>
      <c r="DO7" s="16">
        <f>IS!DO7</f>
        <v>43646</v>
      </c>
      <c r="DP7" s="16">
        <f>IS!DP7</f>
        <v>43738</v>
      </c>
      <c r="DQ7" s="16">
        <f>IS!DQ7</f>
        <v>43830</v>
      </c>
      <c r="DR7" s="16" t="s">
        <v>17</v>
      </c>
      <c r="DT7" s="16">
        <f>IS!DT7</f>
        <v>43920</v>
      </c>
      <c r="DU7" s="16">
        <f>IS!DU7</f>
        <v>44011</v>
      </c>
      <c r="DV7" s="16">
        <f>IS!DV7</f>
        <v>44103</v>
      </c>
      <c r="DW7" s="16">
        <f>IS!DW7</f>
        <v>44195</v>
      </c>
      <c r="DX7" s="16" t="s">
        <v>17</v>
      </c>
      <c r="DZ7" s="16">
        <f>IS!DZ7</f>
        <v>44285</v>
      </c>
      <c r="EA7" s="16">
        <f>IS!EA7</f>
        <v>44376</v>
      </c>
      <c r="EB7" s="16">
        <f>IS!EB7</f>
        <v>44468</v>
      </c>
      <c r="EC7" s="16">
        <f>IS!EC7</f>
        <v>44560</v>
      </c>
      <c r="ED7" s="16" t="s">
        <v>17</v>
      </c>
      <c r="EF7" s="16">
        <f>IS!EF7</f>
        <v>44650</v>
      </c>
      <c r="EG7" s="16">
        <f>IS!EG7</f>
        <v>44741</v>
      </c>
      <c r="EH7" s="16">
        <f>IS!EH7</f>
        <v>44833</v>
      </c>
      <c r="EI7" s="16">
        <f>IS!EI7</f>
        <v>44925</v>
      </c>
      <c r="EJ7" s="16" t="s">
        <v>17</v>
      </c>
      <c r="EL7" s="16">
        <f>IS!EL7</f>
        <v>45015</v>
      </c>
      <c r="EM7" s="16">
        <f>IS!EM7</f>
        <v>45106</v>
      </c>
      <c r="EN7" s="16">
        <f>IS!EN7</f>
        <v>45198</v>
      </c>
      <c r="EO7" s="16">
        <f>IS!EO7</f>
        <v>45290</v>
      </c>
      <c r="EP7" s="16" t="s">
        <v>17</v>
      </c>
      <c r="ER7" s="16">
        <f>IS!ER7</f>
        <v>45382</v>
      </c>
      <c r="ES7" s="16">
        <f>IS!ES7</f>
        <v>45473</v>
      </c>
      <c r="ET7" s="16">
        <f>IS!ET7</f>
        <v>45565</v>
      </c>
      <c r="EU7" s="16">
        <f>IS!EU7</f>
        <v>45657</v>
      </c>
      <c r="EV7" s="16" t="s">
        <v>17</v>
      </c>
      <c r="EX7" s="16">
        <f>IS!EX7</f>
        <v>45747</v>
      </c>
      <c r="EY7" s="16">
        <f>IS!EY7</f>
        <v>45838</v>
      </c>
      <c r="EZ7" s="16">
        <f>IS!EZ7</f>
        <v>45930</v>
      </c>
      <c r="FA7" s="546">
        <f>IS!FA7</f>
        <v>46022</v>
      </c>
      <c r="FB7" s="16" t="s">
        <v>17</v>
      </c>
      <c r="FD7" s="546">
        <f>IS!FD7</f>
        <v>46112</v>
      </c>
      <c r="FE7" s="16">
        <f>IS!FE7</f>
        <v>46203</v>
      </c>
      <c r="FF7" s="16">
        <f>IS!FF7</f>
        <v>46295</v>
      </c>
      <c r="FG7" s="16">
        <f>IS!FG7</f>
        <v>46387</v>
      </c>
      <c r="FH7" s="16" t="s">
        <v>17</v>
      </c>
      <c r="FJ7" s="16">
        <f>IS!FJ7</f>
        <v>46477</v>
      </c>
      <c r="FK7" s="16">
        <f>IS!FK7</f>
        <v>46568</v>
      </c>
      <c r="FL7" s="16">
        <f>IS!FL7</f>
        <v>46660</v>
      </c>
      <c r="FM7" s="16">
        <f>IS!FM7</f>
        <v>46752</v>
      </c>
      <c r="FN7" s="16" t="s">
        <v>17</v>
      </c>
      <c r="FP7" s="16">
        <f>IS!FP7</f>
        <v>46843</v>
      </c>
      <c r="FQ7" s="16">
        <f>IS!FQ7</f>
        <v>46934</v>
      </c>
      <c r="FR7" s="16">
        <f>IS!FR7</f>
        <v>47026</v>
      </c>
      <c r="FS7" s="16">
        <f>IS!FS7</f>
        <v>47118</v>
      </c>
      <c r="FT7" s="16" t="s">
        <v>17</v>
      </c>
      <c r="FV7" s="16">
        <f>IS!FV7</f>
        <v>47208</v>
      </c>
      <c r="FW7" s="16">
        <f>IS!FW7</f>
        <v>47299</v>
      </c>
      <c r="FX7" s="16">
        <f>IS!FX7</f>
        <v>47391</v>
      </c>
      <c r="FY7" s="16">
        <f>IS!FY7</f>
        <v>47483</v>
      </c>
      <c r="FZ7" s="16" t="s">
        <v>17</v>
      </c>
      <c r="GB7" s="16">
        <f>IS!GB7</f>
        <v>47573</v>
      </c>
      <c r="GC7" s="16">
        <f>IS!GC7</f>
        <v>47664</v>
      </c>
      <c r="GD7" s="16">
        <f>IS!GD7</f>
        <v>47756</v>
      </c>
      <c r="GE7" s="16">
        <f>IS!GE7</f>
        <v>47848</v>
      </c>
      <c r="GF7" s="16" t="s">
        <v>17</v>
      </c>
      <c r="GH7" s="16">
        <f>IS!GH7</f>
        <v>47938</v>
      </c>
      <c r="GI7" s="16">
        <f>IS!GI7</f>
        <v>48029</v>
      </c>
      <c r="GJ7" s="16">
        <f>IS!GJ7</f>
        <v>48121</v>
      </c>
      <c r="GK7" s="16">
        <f>IS!GK7</f>
        <v>48213</v>
      </c>
      <c r="GL7" s="16" t="s">
        <v>17</v>
      </c>
      <c r="GN7" s="16">
        <f>IS!GN7</f>
        <v>48304</v>
      </c>
      <c r="GO7" s="16">
        <f>IS!GO7</f>
        <v>48395</v>
      </c>
      <c r="GP7" s="16">
        <f>IS!GP7</f>
        <v>48487</v>
      </c>
      <c r="GQ7" s="16">
        <f>IS!GQ7</f>
        <v>48579</v>
      </c>
      <c r="GR7" s="16" t="s">
        <v>17</v>
      </c>
      <c r="GT7" s="16">
        <f>IS!GT7</f>
        <v>48669</v>
      </c>
      <c r="GU7" s="16">
        <f>IS!GU7</f>
        <v>48760</v>
      </c>
      <c r="GV7" s="16">
        <f>IS!GV7</f>
        <v>48852</v>
      </c>
      <c r="GW7" s="16">
        <f>IS!GW7</f>
        <v>48944</v>
      </c>
      <c r="GX7" s="16" t="s">
        <v>17</v>
      </c>
      <c r="GZ7" s="16">
        <f>IS!GZ7</f>
        <v>49034</v>
      </c>
      <c r="HA7" s="16">
        <f>IS!HA7</f>
        <v>49125</v>
      </c>
      <c r="HB7" s="16">
        <f>IS!HB7</f>
        <v>49217</v>
      </c>
      <c r="HC7" s="16">
        <f>IS!HC7</f>
        <v>49309</v>
      </c>
      <c r="HD7" s="16" t="s">
        <v>17</v>
      </c>
      <c r="HF7" s="16">
        <f>IS!HF7</f>
        <v>49399</v>
      </c>
      <c r="HG7" s="16">
        <f>IS!HG7</f>
        <v>49490</v>
      </c>
      <c r="HH7" s="16">
        <f>IS!HH7</f>
        <v>49582</v>
      </c>
      <c r="HI7" s="16">
        <f>IS!HI7</f>
        <v>49674</v>
      </c>
      <c r="HJ7" s="16" t="s">
        <v>17</v>
      </c>
      <c r="HK7" s="484"/>
      <c r="HL7" s="484"/>
      <c r="HM7" s="484"/>
      <c r="HN7" s="484"/>
      <c r="HO7" s="484"/>
    </row>
    <row r="8" spans="1:225">
      <c r="A8" s="29" t="s">
        <v>82</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431"/>
      <c r="DN8" s="30"/>
      <c r="DO8" s="30"/>
      <c r="DP8" s="30"/>
      <c r="DQ8" s="30"/>
      <c r="DR8" s="30"/>
      <c r="DS8" s="431"/>
      <c r="DT8" s="30"/>
      <c r="DU8" s="30"/>
      <c r="DV8" s="30"/>
      <c r="DW8" s="30"/>
      <c r="DX8" s="30"/>
      <c r="DY8" s="431"/>
      <c r="DZ8" s="30"/>
      <c r="EA8" s="30"/>
      <c r="EB8" s="30"/>
      <c r="EC8" s="30"/>
      <c r="ED8" s="30"/>
      <c r="EE8" s="431"/>
      <c r="EF8" s="30"/>
      <c r="EG8" s="30"/>
      <c r="EH8" s="30"/>
      <c r="EI8" s="30"/>
      <c r="EJ8" s="30"/>
      <c r="EK8" s="431"/>
      <c r="EL8" s="30"/>
      <c r="EM8" s="30"/>
      <c r="EN8" s="30"/>
      <c r="EO8" s="30"/>
      <c r="EP8" s="30"/>
      <c r="EQ8" s="431"/>
      <c r="ER8" s="30"/>
      <c r="ES8" s="30"/>
      <c r="ET8" s="30"/>
      <c r="EU8" s="30"/>
      <c r="EV8" s="30"/>
      <c r="EW8" s="431"/>
      <c r="EX8" s="30"/>
      <c r="EY8" s="30"/>
      <c r="EZ8" s="30"/>
      <c r="FA8" s="108"/>
      <c r="FB8" s="30"/>
      <c r="FC8" s="431"/>
      <c r="FD8" s="108"/>
      <c r="FE8" s="30"/>
      <c r="FF8" s="30"/>
      <c r="FG8" s="30"/>
      <c r="FH8" s="30"/>
      <c r="FI8" s="431"/>
      <c r="FJ8" s="30"/>
      <c r="FK8" s="30"/>
      <c r="FL8" s="30"/>
      <c r="FM8" s="30"/>
      <c r="FN8" s="30"/>
      <c r="FO8" s="431"/>
      <c r="FP8" s="30"/>
      <c r="FQ8" s="30"/>
      <c r="FR8" s="30"/>
      <c r="FS8" s="30"/>
      <c r="FT8" s="30"/>
      <c r="FU8" s="431"/>
      <c r="FV8" s="30"/>
      <c r="FW8" s="30"/>
      <c r="FX8" s="30"/>
      <c r="FY8" s="30"/>
      <c r="FZ8" s="30"/>
      <c r="GA8" s="431"/>
      <c r="GB8" s="30"/>
      <c r="GC8" s="30"/>
      <c r="GD8" s="30"/>
      <c r="GE8" s="30"/>
      <c r="GF8" s="30"/>
      <c r="GG8" s="431"/>
      <c r="GH8" s="30"/>
      <c r="GI8" s="30"/>
      <c r="GJ8" s="30"/>
      <c r="GK8" s="30"/>
      <c r="GL8" s="30"/>
      <c r="GM8" s="431"/>
      <c r="GN8" s="30"/>
      <c r="GO8" s="30"/>
      <c r="GP8" s="30"/>
      <c r="GQ8" s="30"/>
      <c r="GR8" s="30"/>
      <c r="GS8" s="431"/>
      <c r="GT8" s="30"/>
      <c r="GU8" s="30"/>
      <c r="GV8" s="30"/>
      <c r="GW8" s="30"/>
      <c r="GX8" s="30"/>
      <c r="GY8" s="431"/>
      <c r="GZ8" s="30"/>
      <c r="HA8" s="30"/>
      <c r="HB8" s="30"/>
      <c r="HC8" s="30"/>
      <c r="HD8" s="30"/>
      <c r="HE8" s="431"/>
      <c r="HH8" s="517"/>
      <c r="HI8" s="517"/>
      <c r="HJ8" s="517"/>
      <c r="HK8" s="517"/>
      <c r="HL8" s="517"/>
      <c r="HM8" s="517"/>
      <c r="HN8" s="517"/>
      <c r="HO8" s="517"/>
    </row>
    <row r="9" spans="1:225">
      <c r="A9" s="30" t="s">
        <v>83</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118"/>
      <c r="BT9" s="118"/>
      <c r="BU9" s="30"/>
      <c r="BV9" s="30"/>
      <c r="BW9" s="30"/>
      <c r="BX9" s="118"/>
      <c r="BY9" s="30"/>
      <c r="BZ9" s="30"/>
      <c r="CA9" s="30"/>
      <c r="CB9" s="30"/>
      <c r="CC9" s="30"/>
      <c r="CD9" s="118"/>
      <c r="CE9" s="118"/>
      <c r="CF9" s="118"/>
      <c r="CG9" s="30"/>
      <c r="CH9" s="30"/>
      <c r="CI9" s="30"/>
      <c r="CJ9" s="30"/>
      <c r="CK9" s="118"/>
      <c r="CL9" s="118"/>
      <c r="CM9" s="30"/>
      <c r="CN9" s="30"/>
      <c r="CO9" s="30"/>
      <c r="CP9" s="30"/>
      <c r="CQ9" s="30"/>
      <c r="CR9" s="30"/>
      <c r="CS9" s="30"/>
      <c r="CT9" s="30"/>
      <c r="CU9" s="30"/>
      <c r="CV9" s="30"/>
      <c r="CW9" s="30"/>
      <c r="CX9" s="30"/>
      <c r="CY9" s="30"/>
      <c r="CZ9" s="30"/>
      <c r="DA9" s="30"/>
      <c r="DB9" s="30"/>
      <c r="DC9" s="30"/>
      <c r="DD9" s="30"/>
      <c r="DE9" s="30"/>
      <c r="DF9" s="30"/>
      <c r="DG9" s="30"/>
      <c r="DH9" s="485">
        <f>0.644</f>
        <v>0.64400000000000002</v>
      </c>
      <c r="DI9" s="485">
        <f>0.264-0.644</f>
        <v>-0.38</v>
      </c>
      <c r="DJ9" s="485">
        <f>2.287-0.264</f>
        <v>2.0229999999999997</v>
      </c>
      <c r="DK9" s="485">
        <f>2.64-2.287</f>
        <v>0.3530000000000002</v>
      </c>
      <c r="DL9" s="485">
        <f>SUM(DH9:DK9)</f>
        <v>2.64</v>
      </c>
      <c r="DM9" s="485"/>
      <c r="DN9" s="485">
        <f>-2.424</f>
        <v>-2.4239999999999999</v>
      </c>
      <c r="DO9" s="485">
        <f>-0.433--2.424</f>
        <v>1.9909999999999999</v>
      </c>
      <c r="DP9" s="485">
        <f>1.71--0.433</f>
        <v>2.1429999999999998</v>
      </c>
      <c r="DQ9" s="485">
        <f>8.006-1.71</f>
        <v>6.2960000000000003</v>
      </c>
      <c r="DR9" s="485">
        <f>SUM(DN9:DQ9)</f>
        <v>8.0060000000000002</v>
      </c>
      <c r="DS9" s="485"/>
      <c r="DT9" s="485">
        <f>-6.978</f>
        <v>-6.9779999999999998</v>
      </c>
      <c r="DU9" s="485">
        <f>-13.802--6.978</f>
        <v>-6.8239999999999998</v>
      </c>
      <c r="DV9" s="485">
        <f>-11.245--13.802</f>
        <v>2.5570000000000004</v>
      </c>
      <c r="DW9" s="485">
        <f>4.172--11.245</f>
        <v>15.416999999999998</v>
      </c>
      <c r="DX9" s="485">
        <f>SUM(DT9:DW9)</f>
        <v>4.1719999999999988</v>
      </c>
      <c r="DY9" s="485"/>
      <c r="DZ9" s="485">
        <f>-22.114</f>
        <v>-22.114000000000001</v>
      </c>
      <c r="EA9" s="485">
        <f>53.759--22.114</f>
        <v>75.873000000000005</v>
      </c>
      <c r="EB9" s="485">
        <f>33.412-53.759</f>
        <v>-20.347000000000001</v>
      </c>
      <c r="EC9" s="485">
        <f>-8.347-33.412</f>
        <v>-41.759</v>
      </c>
      <c r="ED9" s="485">
        <f>SUM(DZ9:EC9)</f>
        <v>-8.3470000000000013</v>
      </c>
      <c r="EE9" s="485"/>
      <c r="EF9" s="485">
        <f>-49.408</f>
        <v>-49.408000000000001</v>
      </c>
      <c r="EG9" s="485">
        <f>-84.711--49.408</f>
        <v>-35.302999999999997</v>
      </c>
      <c r="EH9" s="485">
        <f>-121.563--84.711</f>
        <v>-36.852000000000004</v>
      </c>
      <c r="EI9" s="485">
        <f>-144.25--121.563</f>
        <v>-22.686999999999998</v>
      </c>
      <c r="EJ9" s="485">
        <f>SUM(EF9:EI9)</f>
        <v>-144.25</v>
      </c>
      <c r="EK9" s="485"/>
      <c r="EL9" s="485">
        <f>-30.795</f>
        <v>-30.795000000000002</v>
      </c>
      <c r="EM9" s="485">
        <f>-55.126--30.795</f>
        <v>-24.330999999999996</v>
      </c>
      <c r="EN9" s="485">
        <f>-73.642--55.126</f>
        <v>-18.515999999999998</v>
      </c>
      <c r="EO9" s="485">
        <f>-87.968--73.642</f>
        <v>-14.326000000000008</v>
      </c>
      <c r="EP9" s="485">
        <f>SUM(EL9:EO9)</f>
        <v>-87.968000000000004</v>
      </c>
      <c r="EQ9" s="485"/>
      <c r="ER9" s="485">
        <v>-27.061</v>
      </c>
      <c r="ES9" s="485">
        <f>-45.073-ER9</f>
        <v>-18.012</v>
      </c>
      <c r="ET9" s="485">
        <f>-63.402-ES9-ER9</f>
        <v>-18.329000000000001</v>
      </c>
      <c r="EU9" s="485">
        <f>-78.726-ET9-ES9-ER9</f>
        <v>-15.323999999999998</v>
      </c>
      <c r="EV9" s="485">
        <f>SUM(ER9:EU9)</f>
        <v>-78.725999999999999</v>
      </c>
      <c r="EW9" s="485"/>
      <c r="EX9" s="485">
        <v>-25.922999999999998</v>
      </c>
      <c r="EY9" s="485">
        <f>-71.015-EX9</f>
        <v>-45.091999999999999</v>
      </c>
      <c r="EZ9" s="485">
        <f>-98.144-EY9-EX9</f>
        <v>-27.129000000000008</v>
      </c>
      <c r="FA9" s="557">
        <f>IS!FA62</f>
        <v>8.0659999999999865</v>
      </c>
      <c r="FB9" s="485">
        <f>SUM(EX9:FA9)</f>
        <v>-90.078000000000017</v>
      </c>
      <c r="FC9" s="485"/>
      <c r="FD9" s="557">
        <f>IS!FD62</f>
        <v>-8.4858344775494254E-2</v>
      </c>
      <c r="FE9" s="485">
        <f>IS!FE62</f>
        <v>2.731014078219232</v>
      </c>
      <c r="FF9" s="485">
        <f>IS!FF62</f>
        <v>7.5421427123295608</v>
      </c>
      <c r="FG9" s="485">
        <f>IS!FG62</f>
        <v>9.746747382248401</v>
      </c>
      <c r="FH9" s="485">
        <f>SUM(FD9:FG9)</f>
        <v>19.9350458280217</v>
      </c>
      <c r="FI9" s="485"/>
      <c r="FJ9" s="485">
        <f>IS!FJ62</f>
        <v>9.2965497542727018</v>
      </c>
      <c r="FK9" s="485">
        <f>IS!FK62</f>
        <v>9.9089142612323116</v>
      </c>
      <c r="FL9" s="485">
        <f>IS!FL62</f>
        <v>10.374509219026589</v>
      </c>
      <c r="FM9" s="485">
        <f>IS!FM62</f>
        <v>8.5134497374186182</v>
      </c>
      <c r="FN9" s="485">
        <f>SUM(FJ9:FM9)</f>
        <v>38.093422971950218</v>
      </c>
      <c r="FO9" s="485"/>
      <c r="FP9" s="485">
        <f>IS!FP62</f>
        <v>13.063745230595927</v>
      </c>
      <c r="FQ9" s="485">
        <f>IS!FQ62</f>
        <v>14.032818066145236</v>
      </c>
      <c r="FR9" s="485">
        <f>IS!FR62</f>
        <v>14.79405852449559</v>
      </c>
      <c r="FS9" s="485">
        <f>IS!FS62</f>
        <v>15.275042385848613</v>
      </c>
      <c r="FT9" s="485">
        <f>SUM(FP9:FS9)</f>
        <v>57.165664207085364</v>
      </c>
      <c r="FU9" s="485"/>
      <c r="FV9" s="485">
        <f>IS!FV62</f>
        <v>13.952021187959977</v>
      </c>
      <c r="FW9" s="485">
        <f>IS!FW62</f>
        <v>15.241747123155312</v>
      </c>
      <c r="FX9" s="485">
        <f>IS!FX62</f>
        <v>16.124533420840656</v>
      </c>
      <c r="FY9" s="485">
        <f>IS!FY62</f>
        <v>16.670519948264353</v>
      </c>
      <c r="FZ9" s="485">
        <f>SUM(FV9:FY9)</f>
        <v>61.988821680220298</v>
      </c>
      <c r="GA9" s="485"/>
      <c r="GB9" s="485">
        <f>IS!GB62</f>
        <v>20.08214187853638</v>
      </c>
      <c r="GC9" s="485">
        <f>IS!GC62</f>
        <v>21.594538098116299</v>
      </c>
      <c r="GD9" s="485">
        <f>IS!GD62</f>
        <v>22.805729606740485</v>
      </c>
      <c r="GE9" s="485">
        <f>IS!GE62</f>
        <v>23.56065177746007</v>
      </c>
      <c r="GF9" s="485">
        <f>SUM(GB9:GE9)</f>
        <v>88.04306136085323</v>
      </c>
      <c r="GG9" s="485"/>
      <c r="GH9" s="485">
        <f>IS!GH62</f>
        <v>26.888996134273405</v>
      </c>
      <c r="GI9" s="485">
        <f>IS!GI62</f>
        <v>28.841472222870038</v>
      </c>
      <c r="GJ9" s="485">
        <f>IS!GJ62</f>
        <v>30.419481474506114</v>
      </c>
      <c r="GK9" s="485">
        <f>IS!GK62</f>
        <v>33.132421459846896</v>
      </c>
      <c r="GL9" s="485">
        <f>SUM(GH9:GK9)</f>
        <v>119.28237129149646</v>
      </c>
      <c r="GM9" s="485"/>
      <c r="GN9" s="485">
        <f>IS!GN62</f>
        <v>35.980331572610545</v>
      </c>
      <c r="GO9" s="485">
        <f>IS!GO62</f>
        <v>38.434885880489865</v>
      </c>
      <c r="GP9" s="485">
        <f>IS!GP62</f>
        <v>40.434249646849082</v>
      </c>
      <c r="GQ9" s="485">
        <f>IS!GQ62</f>
        <v>41.694210824188453</v>
      </c>
      <c r="GR9" s="485">
        <f>SUM(GN9:GQ9)</f>
        <v>156.54367792413794</v>
      </c>
      <c r="GS9" s="485"/>
      <c r="GT9" s="485">
        <f>IS!GT62</f>
        <v>43.97534371903356</v>
      </c>
      <c r="GU9" s="485">
        <f>IS!GU62</f>
        <v>46.924779305923742</v>
      </c>
      <c r="GV9" s="485">
        <f>IS!GV62</f>
        <v>49.338056760015249</v>
      </c>
      <c r="GW9" s="485">
        <f>IS!GW62</f>
        <v>50.861800110784436</v>
      </c>
      <c r="GX9" s="485">
        <f>SUM(GT9:GW9)</f>
        <v>191.09997989575697</v>
      </c>
      <c r="GY9" s="485"/>
      <c r="GZ9" s="485">
        <f>IS!GZ62</f>
        <v>53.052461772902689</v>
      </c>
      <c r="HA9" s="485">
        <f>IS!HA62</f>
        <v>56.558800991927498</v>
      </c>
      <c r="HB9" s="485">
        <f>IS!HB62</f>
        <v>59.438745688342536</v>
      </c>
      <c r="HC9" s="485">
        <f>IS!HC62</f>
        <v>61.260332721084282</v>
      </c>
      <c r="HD9" s="485">
        <f>SUM(GZ9:HC9)</f>
        <v>230.31034117425702</v>
      </c>
      <c r="HE9" s="485"/>
      <c r="HF9" s="485">
        <f>IS!HF62</f>
        <v>62.956128439100894</v>
      </c>
      <c r="HG9" s="485">
        <f>IS!HG62</f>
        <v>67.06166327772975</v>
      </c>
      <c r="HH9" s="485">
        <f>IS!HH62</f>
        <v>70.444415147210492</v>
      </c>
      <c r="HI9" s="485">
        <f>IS!HI62</f>
        <v>72.587380229148479</v>
      </c>
      <c r="HJ9" s="485">
        <f>SUM(HF9:HI9)</f>
        <v>273.04958709318959</v>
      </c>
      <c r="HK9" s="485"/>
      <c r="HL9" s="485"/>
      <c r="HM9" s="485"/>
      <c r="HN9" s="485"/>
      <c r="HO9" s="485"/>
      <c r="HP9" s="485"/>
      <c r="HQ9" s="485"/>
    </row>
    <row r="10" spans="1:225">
      <c r="A10" s="30"/>
      <c r="B10" s="30" t="s">
        <v>547</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118"/>
      <c r="BT10" s="118"/>
      <c r="BU10" s="30"/>
      <c r="BV10" s="30"/>
      <c r="BW10" s="30"/>
      <c r="BX10" s="118"/>
      <c r="BY10" s="30"/>
      <c r="BZ10" s="30"/>
      <c r="CA10" s="30"/>
      <c r="CB10" s="30"/>
      <c r="CC10" s="30"/>
      <c r="CD10" s="118"/>
      <c r="CE10" s="118"/>
      <c r="CF10" s="118"/>
      <c r="CG10" s="30"/>
      <c r="CH10" s="30"/>
      <c r="CI10" s="30"/>
      <c r="CJ10" s="30"/>
      <c r="CK10" s="118"/>
      <c r="CL10" s="118"/>
      <c r="CM10" s="30"/>
      <c r="CN10" s="30"/>
      <c r="CO10" s="30"/>
      <c r="CP10" s="30"/>
      <c r="CQ10" s="30"/>
      <c r="CR10" s="30"/>
      <c r="CS10" s="30"/>
      <c r="CT10" s="30"/>
      <c r="CU10" s="30"/>
      <c r="CV10" s="30"/>
      <c r="CW10" s="30"/>
      <c r="CX10" s="30"/>
      <c r="CY10" s="30"/>
      <c r="CZ10" s="30"/>
      <c r="DA10" s="30"/>
      <c r="DB10" s="30"/>
      <c r="DC10" s="30"/>
      <c r="DD10" s="30"/>
      <c r="DE10" s="30"/>
      <c r="DF10" s="30"/>
      <c r="DG10" s="30"/>
      <c r="DH10" s="485"/>
      <c r="DI10" s="485"/>
      <c r="DJ10" s="485"/>
      <c r="DK10" s="485"/>
      <c r="DL10" s="485"/>
      <c r="DM10" s="485"/>
      <c r="DN10" s="485"/>
      <c r="DO10" s="485"/>
      <c r="DP10" s="485"/>
      <c r="DQ10" s="485"/>
      <c r="DR10" s="485"/>
      <c r="DS10" s="485"/>
      <c r="DT10" s="485"/>
      <c r="DU10" s="485"/>
      <c r="DV10" s="485"/>
      <c r="DW10" s="485"/>
      <c r="DX10" s="485"/>
      <c r="DY10" s="485"/>
      <c r="DZ10" s="485"/>
      <c r="EA10" s="485"/>
      <c r="EB10" s="485"/>
      <c r="EC10" s="485"/>
      <c r="ED10" s="485"/>
      <c r="EE10" s="485"/>
      <c r="EF10" s="485"/>
      <c r="EG10" s="485"/>
      <c r="EH10" s="485"/>
      <c r="EI10" s="485"/>
      <c r="EJ10" s="485"/>
      <c r="EK10" s="485"/>
      <c r="EL10" s="485"/>
      <c r="EM10" s="485"/>
      <c r="EN10" s="485"/>
      <c r="EO10" s="485"/>
      <c r="EP10" s="485"/>
      <c r="EQ10" s="485"/>
      <c r="ER10" s="485"/>
      <c r="ES10" s="485"/>
      <c r="ET10" s="485"/>
      <c r="EU10" s="485"/>
      <c r="EV10" s="485"/>
      <c r="EW10" s="485"/>
      <c r="EX10" s="485"/>
      <c r="EY10" s="485"/>
      <c r="EZ10" s="485"/>
      <c r="FA10" s="557"/>
      <c r="FB10" s="485"/>
      <c r="FC10" s="485"/>
      <c r="FD10" s="557"/>
      <c r="FE10" s="485"/>
      <c r="FF10" s="485"/>
      <c r="FG10" s="485"/>
      <c r="FH10" s="485"/>
      <c r="FI10" s="485"/>
      <c r="FJ10" s="485"/>
      <c r="FK10" s="485"/>
      <c r="FL10" s="485"/>
      <c r="FM10" s="485"/>
      <c r="FN10" s="485"/>
      <c r="FO10" s="485"/>
      <c r="FP10" s="485"/>
      <c r="FQ10" s="485"/>
      <c r="FR10" s="485"/>
      <c r="FS10" s="485"/>
      <c r="FT10" s="485"/>
      <c r="FU10" s="485"/>
      <c r="FV10" s="485"/>
      <c r="FW10" s="485"/>
      <c r="FX10" s="485"/>
      <c r="FY10" s="485"/>
      <c r="FZ10" s="485"/>
      <c r="GA10" s="485"/>
      <c r="GB10" s="485"/>
      <c r="GC10" s="485"/>
      <c r="GD10" s="485"/>
      <c r="GE10" s="485"/>
      <c r="GF10" s="485"/>
      <c r="GG10" s="485"/>
      <c r="GH10" s="485"/>
      <c r="GI10" s="485"/>
      <c r="GJ10" s="485"/>
      <c r="GK10" s="485"/>
      <c r="GL10" s="485"/>
      <c r="GM10" s="485"/>
      <c r="GN10" s="485"/>
      <c r="GO10" s="485"/>
      <c r="GP10" s="485"/>
      <c r="GQ10" s="485"/>
      <c r="GR10" s="485"/>
      <c r="GS10" s="485"/>
      <c r="GT10" s="485"/>
      <c r="GU10" s="485"/>
      <c r="GV10" s="485"/>
      <c r="GW10" s="485"/>
      <c r="GX10" s="485"/>
      <c r="GY10" s="485"/>
      <c r="GZ10" s="485"/>
      <c r="HA10" s="485"/>
      <c r="HB10" s="485"/>
      <c r="HC10" s="485"/>
      <c r="HD10" s="485"/>
      <c r="HE10" s="485"/>
      <c r="HF10" s="485"/>
      <c r="HG10" s="485"/>
      <c r="HH10" s="485"/>
      <c r="HI10" s="485"/>
      <c r="HJ10" s="485"/>
      <c r="HK10" s="485"/>
      <c r="HL10" s="485"/>
      <c r="HM10" s="485"/>
      <c r="HN10" s="485"/>
      <c r="HO10" s="485"/>
      <c r="HP10" s="485"/>
      <c r="HQ10" s="485"/>
    </row>
    <row r="11" spans="1:225">
      <c r="A11" s="30"/>
      <c r="B11" s="30" t="s">
        <v>84</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118"/>
      <c r="BT11" s="118"/>
      <c r="BU11" s="30"/>
      <c r="BV11" s="30"/>
      <c r="BW11" s="30"/>
      <c r="BX11" s="118"/>
      <c r="BY11" s="30"/>
      <c r="BZ11" s="30"/>
      <c r="CA11" s="30"/>
      <c r="CB11" s="30"/>
      <c r="CC11" s="30"/>
      <c r="CD11" s="118"/>
      <c r="CE11" s="118"/>
      <c r="CF11" s="118"/>
      <c r="CG11" s="30"/>
      <c r="CH11" s="30"/>
      <c r="CI11" s="30"/>
      <c r="CJ11" s="30"/>
      <c r="CK11" s="118"/>
      <c r="CL11" s="118"/>
      <c r="CM11" s="30"/>
      <c r="CN11" s="30"/>
      <c r="CO11" s="30"/>
      <c r="CP11" s="30"/>
      <c r="CQ11" s="30"/>
      <c r="CR11" s="30"/>
      <c r="CS11" s="30"/>
      <c r="CT11" s="30"/>
      <c r="CU11" s="30"/>
      <c r="CV11" s="30"/>
      <c r="CW11" s="30"/>
      <c r="CX11" s="30"/>
      <c r="CY11" s="30"/>
      <c r="CZ11" s="30"/>
      <c r="DA11" s="30"/>
      <c r="DB11" s="30"/>
      <c r="DC11" s="30"/>
      <c r="DD11" s="30"/>
      <c r="DE11" s="30"/>
      <c r="DF11" s="30"/>
      <c r="DG11" s="30"/>
      <c r="DH11" s="485">
        <f>3.633</f>
        <v>3.633</v>
      </c>
      <c r="DI11" s="485">
        <f>7.444-3.633</f>
        <v>3.8109999999999999</v>
      </c>
      <c r="DJ11" s="485">
        <f>11.477-7.444</f>
        <v>4.0330000000000004</v>
      </c>
      <c r="DK11" s="485">
        <f>15.804-11.477</f>
        <v>4.327</v>
      </c>
      <c r="DL11" s="485">
        <f t="shared" ref="DL11:DL26" si="0">SUM(DH11:DK11)</f>
        <v>15.804</v>
      </c>
      <c r="DM11" s="485"/>
      <c r="DN11" s="485">
        <f>5.271</f>
        <v>5.2709999999999999</v>
      </c>
      <c r="DO11" s="485">
        <f>10.352-5.271</f>
        <v>5.0810000000000004</v>
      </c>
      <c r="DP11" s="485">
        <f>15.2-10.352</f>
        <v>4.847999999999999</v>
      </c>
      <c r="DQ11" s="485">
        <f>20.346-15.2</f>
        <v>5.1460000000000008</v>
      </c>
      <c r="DR11" s="485">
        <f t="shared" ref="DR11:DR26" si="1">SUM(DN11:DQ11)</f>
        <v>20.346</v>
      </c>
      <c r="DS11" s="485"/>
      <c r="DT11" s="485">
        <f>6.24</f>
        <v>6.24</v>
      </c>
      <c r="DU11" s="485">
        <f>12.177-6.24</f>
        <v>5.9369999999999994</v>
      </c>
      <c r="DV11" s="485">
        <f>18.705-12.177</f>
        <v>6.5279999999999987</v>
      </c>
      <c r="DW11" s="485">
        <f>25.904-18.705</f>
        <v>7.1990000000000016</v>
      </c>
      <c r="DX11" s="485">
        <f t="shared" ref="DX11:DX26" si="2">SUM(DT11:DW11)</f>
        <v>25.904</v>
      </c>
      <c r="DY11" s="485"/>
      <c r="DZ11" s="485">
        <f>6.68</f>
        <v>6.68</v>
      </c>
      <c r="EA11" s="485">
        <f>13.629-6.68</f>
        <v>6.9489999999999998</v>
      </c>
      <c r="EB11" s="485">
        <f>21.807-13.629</f>
        <v>8.177999999999999</v>
      </c>
      <c r="EC11" s="485">
        <f>30.192-21.807</f>
        <v>8.3850000000000016</v>
      </c>
      <c r="ED11" s="485">
        <f t="shared" ref="ED11:ED26" si="3">SUM(DZ11:EC11)</f>
        <v>30.192</v>
      </c>
      <c r="EE11" s="485"/>
      <c r="EF11" s="485">
        <f>8.395</f>
        <v>8.3949999999999996</v>
      </c>
      <c r="EG11" s="485">
        <f>16.921-8.395</f>
        <v>8.5259999999999998</v>
      </c>
      <c r="EH11" s="485">
        <f>25.894-16.921</f>
        <v>8.972999999999999</v>
      </c>
      <c r="EI11" s="485">
        <f>35.372-25.894</f>
        <v>9.4780000000000015</v>
      </c>
      <c r="EJ11" s="485">
        <f t="shared" ref="EJ11:EJ26" si="4">SUM(EF11:EI11)</f>
        <v>35.372</v>
      </c>
      <c r="EK11" s="485"/>
      <c r="EL11" s="485">
        <f>9.048</f>
        <v>9.048</v>
      </c>
      <c r="EM11" s="485">
        <f>18.523-9.048</f>
        <v>9.4749999999999996</v>
      </c>
      <c r="EN11" s="485">
        <f>27.872-18.523</f>
        <v>9.3490000000000002</v>
      </c>
      <c r="EO11" s="485">
        <f>37.45-27.872</f>
        <v>9.578000000000003</v>
      </c>
      <c r="EP11" s="485">
        <f t="shared" ref="EP11:EP26" si="5">SUM(EL11:EO11)</f>
        <v>37.450000000000003</v>
      </c>
      <c r="EQ11" s="485"/>
      <c r="ER11" s="485">
        <v>9.9049999999999994</v>
      </c>
      <c r="ES11" s="485">
        <f>19.651-ER11</f>
        <v>9.7460000000000004</v>
      </c>
      <c r="ET11" s="485">
        <f>29.274-ES11-ER11</f>
        <v>9.6229999999999993</v>
      </c>
      <c r="EU11" s="485">
        <f>39.101-ET11-ES11-ER11</f>
        <v>9.827</v>
      </c>
      <c r="EV11" s="485">
        <f>SUM(ER11:EU11)</f>
        <v>39.100999999999999</v>
      </c>
      <c r="EW11" s="485"/>
      <c r="EX11" s="485">
        <v>9.3659999999999997</v>
      </c>
      <c r="EY11" s="485">
        <f>18.506-EX11</f>
        <v>9.14</v>
      </c>
      <c r="EZ11" s="485">
        <f>27.309-EY11-EX11</f>
        <v>8.8030000000000008</v>
      </c>
      <c r="FA11" s="557">
        <f>-'Other Accts'!FA54</f>
        <v>9.9332999999999991</v>
      </c>
      <c r="FB11" s="485">
        <f>SUM(EX11:FA11)</f>
        <v>37.2423</v>
      </c>
      <c r="FC11" s="485"/>
      <c r="FD11" s="557">
        <f>-'Other Accts'!FD54</f>
        <v>9.835094999999999</v>
      </c>
      <c r="FE11" s="485">
        <f>-'Other Accts'!FE54</f>
        <v>9.7467105000000007</v>
      </c>
      <c r="FF11" s="485">
        <f>-'Other Accts'!FF54</f>
        <v>9.6671644499999996</v>
      </c>
      <c r="FG11" s="485">
        <f>-'Other Accts'!FG54</f>
        <v>9.5955730050000003</v>
      </c>
      <c r="FH11" s="485">
        <f>SUM(FD11:FG11)</f>
        <v>38.844542955000001</v>
      </c>
      <c r="FI11" s="485"/>
      <c r="FJ11" s="485">
        <f>-'Other Accts'!FJ54</f>
        <v>9.6072263294999996</v>
      </c>
      <c r="FK11" s="485">
        <f>-'Other Accts'!FK54</f>
        <v>9.6177143215500003</v>
      </c>
      <c r="FL11" s="485">
        <f>-'Other Accts'!FL54</f>
        <v>9.6271535143950011</v>
      </c>
      <c r="FM11" s="485">
        <f>-'Other Accts'!FM54</f>
        <v>9.6356487879554997</v>
      </c>
      <c r="FN11" s="485">
        <f>SUM(FJ11:FM11)</f>
        <v>38.487742953400499</v>
      </c>
      <c r="FO11" s="485"/>
      <c r="FP11" s="485">
        <f>-'Other Accts'!FP54</f>
        <v>9.7258474372849513</v>
      </c>
      <c r="FQ11" s="485">
        <f>-'Other Accts'!FQ54</f>
        <v>9.8070262216814559</v>
      </c>
      <c r="FR11" s="485">
        <f>-'Other Accts'!FR54</f>
        <v>9.8800871276383102</v>
      </c>
      <c r="FS11" s="485">
        <f>-'Other Accts'!FS54</f>
        <v>9.9458419429994791</v>
      </c>
      <c r="FT11" s="485">
        <f>SUM(FP11:FS11)</f>
        <v>39.3588027296042</v>
      </c>
      <c r="FU11" s="485"/>
      <c r="FV11" s="485">
        <f>-'Other Accts'!FV54</f>
        <v>10.094591176715156</v>
      </c>
      <c r="FW11" s="485">
        <f>-'Other Accts'!FW54</f>
        <v>10.228465487059264</v>
      </c>
      <c r="FX11" s="485">
        <f>-'Other Accts'!FX54</f>
        <v>10.348952366368962</v>
      </c>
      <c r="FY11" s="485">
        <f>-'Other Accts'!FY54</f>
        <v>10.45739055774769</v>
      </c>
      <c r="FZ11" s="485">
        <f>SUM(FV11:FY11)</f>
        <v>41.129399587891072</v>
      </c>
      <c r="GA11" s="485"/>
      <c r="GB11" s="485">
        <f>-'Other Accts'!GB54</f>
        <v>11.096008616010288</v>
      </c>
      <c r="GC11" s="485">
        <f>-'Other Accts'!GC54</f>
        <v>11.232379353297709</v>
      </c>
      <c r="GD11" s="485">
        <f>-'Other Accts'!GD54</f>
        <v>11.354544805451024</v>
      </c>
      <c r="GE11" s="485">
        <f>-'Other Accts'!GE54</f>
        <v>11.463984689671701</v>
      </c>
      <c r="GF11" s="485">
        <f>SUM(GB11:GE11)</f>
        <v>45.146917464430729</v>
      </c>
      <c r="GG11" s="485"/>
      <c r="GH11" s="485">
        <f>-'Other Accts'!GH54</f>
        <v>11.67186200824308</v>
      </c>
      <c r="GI11" s="485">
        <f>-'Other Accts'!GI54</f>
        <v>11.858085439463274</v>
      </c>
      <c r="GJ11" s="485">
        <f>-'Other Accts'!GJ54</f>
        <v>12.024910596598032</v>
      </c>
      <c r="GK11" s="485">
        <f>-'Other Accts'!GK54</f>
        <v>12.174358133197918</v>
      </c>
      <c r="GL11" s="485">
        <f>SUM(GH11:GK11)</f>
        <v>47.729216177502309</v>
      </c>
      <c r="GM11" s="485"/>
      <c r="GN11" s="485">
        <f>-'Other Accts'!GN54</f>
        <v>12.967734074351672</v>
      </c>
      <c r="GO11" s="485">
        <f>-'Other Accts'!GO54</f>
        <v>13.145553581327933</v>
      </c>
      <c r="GP11" s="485">
        <f>-'Other Accts'!GP54</f>
        <v>13.304044881024165</v>
      </c>
      <c r="GQ11" s="485">
        <f>-'Other Accts'!GQ54</f>
        <v>13.445308865536024</v>
      </c>
      <c r="GR11" s="485">
        <f>SUM(GN11:GQ11)</f>
        <v>52.862641402239788</v>
      </c>
      <c r="GS11" s="485"/>
      <c r="GT11" s="485">
        <f>-'Other Accts'!GT54</f>
        <v>13.706143313772175</v>
      </c>
      <c r="GU11" s="485">
        <f>-'Other Accts'!GU54</f>
        <v>13.938626191547874</v>
      </c>
      <c r="GV11" s="485">
        <f>-'Other Accts'!GV54</f>
        <v>14.145839191304477</v>
      </c>
      <c r="GW11" s="485">
        <f>-'Other Accts'!GW54</f>
        <v>14.330529038913623</v>
      </c>
      <c r="GX11" s="485">
        <f>SUM(GT11:GW11)</f>
        <v>56.121137735538149</v>
      </c>
      <c r="GY11" s="485"/>
      <c r="GZ11" s="485">
        <f>-'Other Accts'!GZ54</f>
        <v>14.64153779353169</v>
      </c>
      <c r="HA11" s="485">
        <f>-'Other Accts'!HA54</f>
        <v>14.918741248734751</v>
      </c>
      <c r="HB11" s="485">
        <f>-'Other Accts'!HB54</f>
        <v>15.165813893589654</v>
      </c>
      <c r="HC11" s="485">
        <f>-'Other Accts'!HC54</f>
        <v>15.386030816177714</v>
      </c>
      <c r="HD11" s="485">
        <f>SUM(GZ11:HC11)</f>
        <v>60.11212375203381</v>
      </c>
      <c r="HE11" s="485"/>
      <c r="HF11" s="485">
        <f>-'Other Accts'!HF54</f>
        <v>15.741148487877835</v>
      </c>
      <c r="HG11" s="485">
        <f>-'Other Accts'!HG54</f>
        <v>16.057666412654029</v>
      </c>
      <c r="HH11" s="485">
        <f>-'Other Accts'!HH54</f>
        <v>16.339780215171942</v>
      </c>
      <c r="HI11" s="485">
        <f>-'Other Accts'!HI54</f>
        <v>16.591229473937908</v>
      </c>
      <c r="HJ11" s="485">
        <f>SUM(HF11:HI11)</f>
        <v>64.729824589641709</v>
      </c>
      <c r="HK11" s="485"/>
      <c r="HL11" s="485"/>
      <c r="HM11" s="485"/>
      <c r="HN11" s="485"/>
      <c r="HO11" s="485"/>
      <c r="HP11" s="485"/>
      <c r="HQ11" s="485"/>
    </row>
    <row r="12" spans="1:225">
      <c r="A12" s="30"/>
      <c r="B12" s="30" t="s">
        <v>85</v>
      </c>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118"/>
      <c r="BT12" s="118"/>
      <c r="BU12" s="30"/>
      <c r="BV12" s="30"/>
      <c r="BW12" s="30"/>
      <c r="BX12" s="118"/>
      <c r="BY12" s="30"/>
      <c r="BZ12" s="30"/>
      <c r="CA12" s="30"/>
      <c r="CB12" s="30"/>
      <c r="CC12" s="30"/>
      <c r="CD12" s="118"/>
      <c r="CE12" s="118"/>
      <c r="CF12" s="118"/>
      <c r="CG12" s="30"/>
      <c r="CH12" s="30"/>
      <c r="CI12" s="30"/>
      <c r="CJ12" s="30"/>
      <c r="CK12" s="118"/>
      <c r="CL12" s="118"/>
      <c r="CM12" s="30"/>
      <c r="CN12" s="30"/>
      <c r="CO12" s="30"/>
      <c r="CP12" s="30"/>
      <c r="CQ12" s="30"/>
      <c r="CR12" s="30"/>
      <c r="CS12" s="30"/>
      <c r="CT12" s="30"/>
      <c r="CU12" s="30"/>
      <c r="CV12" s="30"/>
      <c r="CW12" s="30"/>
      <c r="CX12" s="30"/>
      <c r="CY12" s="30"/>
      <c r="CZ12" s="30"/>
      <c r="DA12" s="30"/>
      <c r="DB12" s="30"/>
      <c r="DC12" s="30"/>
      <c r="DD12" s="30"/>
      <c r="DE12" s="30"/>
      <c r="DF12" s="30"/>
      <c r="DG12" s="30"/>
      <c r="DH12" s="485">
        <f>1.413</f>
        <v>1.413</v>
      </c>
      <c r="DI12" s="485">
        <f>2.834-1.413</f>
        <v>1.421</v>
      </c>
      <c r="DJ12" s="485">
        <f>4.255-2.834</f>
        <v>1.4209999999999998</v>
      </c>
      <c r="DK12" s="485">
        <f>5.928-4.255</f>
        <v>1.673</v>
      </c>
      <c r="DL12" s="485">
        <f t="shared" si="0"/>
        <v>5.9279999999999999</v>
      </c>
      <c r="DM12" s="485"/>
      <c r="DN12" s="485">
        <f>2.559</f>
        <v>2.5590000000000002</v>
      </c>
      <c r="DO12" s="485">
        <f>5.102-2.559</f>
        <v>2.5430000000000001</v>
      </c>
      <c r="DP12" s="485">
        <f>7.482-5.102</f>
        <v>2.38</v>
      </c>
      <c r="DQ12" s="485">
        <f>9.925-7.482</f>
        <v>2.4430000000000005</v>
      </c>
      <c r="DR12" s="485">
        <f t="shared" si="1"/>
        <v>9.9250000000000007</v>
      </c>
      <c r="DS12" s="485"/>
      <c r="DT12" s="485">
        <f>2.452</f>
        <v>2.452</v>
      </c>
      <c r="DU12" s="485">
        <f>4.919-2.452</f>
        <v>2.4669999999999996</v>
      </c>
      <c r="DV12" s="485">
        <f>7.387-4.919</f>
        <v>2.468</v>
      </c>
      <c r="DW12" s="485">
        <f>9.817-7.387</f>
        <v>2.4300000000000006</v>
      </c>
      <c r="DX12" s="485">
        <f t="shared" si="2"/>
        <v>9.8170000000000002</v>
      </c>
      <c r="DY12" s="485"/>
      <c r="DZ12" s="485">
        <f>2.458</f>
        <v>2.4580000000000002</v>
      </c>
      <c r="EA12" s="485">
        <f>6.209-2.458</f>
        <v>3.7509999999999994</v>
      </c>
      <c r="EB12" s="485">
        <f>14.683-6.209</f>
        <v>8.4740000000000002</v>
      </c>
      <c r="EC12" s="485">
        <f>23.16-14.683</f>
        <v>8.4770000000000003</v>
      </c>
      <c r="ED12" s="485">
        <f t="shared" si="3"/>
        <v>23.16</v>
      </c>
      <c r="EE12" s="485"/>
      <c r="EF12" s="485">
        <f>8.49</f>
        <v>8.49</v>
      </c>
      <c r="EG12" s="485">
        <f>16.979-8.49</f>
        <v>8.488999999999999</v>
      </c>
      <c r="EH12" s="485">
        <f>25.47-16.979</f>
        <v>8.4909999999999997</v>
      </c>
      <c r="EI12" s="485">
        <f>34.058-25.47</f>
        <v>8.588000000000001</v>
      </c>
      <c r="EJ12" s="485">
        <f t="shared" si="4"/>
        <v>34.058</v>
      </c>
      <c r="EK12" s="485"/>
      <c r="EL12" s="485">
        <f>8.783</f>
        <v>8.7829999999999995</v>
      </c>
      <c r="EM12" s="485">
        <f>17.566-8.783</f>
        <v>8.7829999999999995</v>
      </c>
      <c r="EN12" s="485">
        <f>26.35-17.566</f>
        <v>8.7840000000000025</v>
      </c>
      <c r="EO12" s="485">
        <f>35.133-26.35</f>
        <v>8.7830000000000013</v>
      </c>
      <c r="EP12" s="485">
        <f t="shared" si="5"/>
        <v>35.133000000000003</v>
      </c>
      <c r="EQ12" s="485"/>
      <c r="ER12" s="485">
        <v>8.3620000000000001</v>
      </c>
      <c r="ES12" s="485">
        <f>16.723-ER12</f>
        <v>8.3609999999999989</v>
      </c>
      <c r="ET12" s="485">
        <f>25.085-ES12-ER12</f>
        <v>8.3620000000000037</v>
      </c>
      <c r="EU12" s="485">
        <f>33.446-ET12-ER12-ES12</f>
        <v>8.3609999999999953</v>
      </c>
      <c r="EV12" s="485">
        <f>SUM(ER12:EU12)</f>
        <v>33.445999999999998</v>
      </c>
      <c r="EW12" s="485"/>
      <c r="EX12" s="485">
        <v>8.3620000000000001</v>
      </c>
      <c r="EY12" s="485">
        <f>16.486-EX12</f>
        <v>8.1240000000000006</v>
      </c>
      <c r="EZ12" s="485">
        <f>24.12-EY12-EX12</f>
        <v>7.6340000000000003</v>
      </c>
      <c r="FA12" s="557">
        <f>-'Other Accts'!FA61</f>
        <v>0</v>
      </c>
      <c r="FB12" s="485">
        <f>SUM(EX12:FA12)</f>
        <v>24.12</v>
      </c>
      <c r="FC12" s="485"/>
      <c r="FD12" s="557">
        <f>-'Other Accts'!FD61</f>
        <v>0</v>
      </c>
      <c r="FE12" s="485">
        <f>-'Other Accts'!FE61</f>
        <v>0</v>
      </c>
      <c r="FF12" s="485">
        <f>-'Other Accts'!FF61</f>
        <v>0</v>
      </c>
      <c r="FG12" s="485">
        <f>-'Other Accts'!FG61</f>
        <v>0</v>
      </c>
      <c r="FH12" s="485">
        <f>SUM(FD12:FG12)</f>
        <v>0</v>
      </c>
      <c r="FI12" s="485"/>
      <c r="FJ12" s="485">
        <f>-'Other Accts'!FJ61</f>
        <v>0</v>
      </c>
      <c r="FK12" s="485">
        <f>-'Other Accts'!FK61</f>
        <v>0</v>
      </c>
      <c r="FL12" s="485">
        <f>-'Other Accts'!FL61</f>
        <v>0</v>
      </c>
      <c r="FM12" s="485">
        <f>-'Other Accts'!FM61</f>
        <v>0</v>
      </c>
      <c r="FN12" s="485">
        <f>SUM(FJ12:FM12)</f>
        <v>0</v>
      </c>
      <c r="FO12" s="485"/>
      <c r="FP12" s="485">
        <f>-'Other Accts'!FP61</f>
        <v>0</v>
      </c>
      <c r="FQ12" s="485">
        <f>-'Other Accts'!FQ61</f>
        <v>0</v>
      </c>
      <c r="FR12" s="485">
        <f>-'Other Accts'!FR61</f>
        <v>0</v>
      </c>
      <c r="FS12" s="485">
        <f>-'Other Accts'!FS61</f>
        <v>0</v>
      </c>
      <c r="FT12" s="485">
        <f>SUM(FP12:FS12)</f>
        <v>0</v>
      </c>
      <c r="FU12" s="485"/>
      <c r="FV12" s="485">
        <f>-'Other Accts'!FV61</f>
        <v>0</v>
      </c>
      <c r="FW12" s="485">
        <f>-'Other Accts'!FW61</f>
        <v>0</v>
      </c>
      <c r="FX12" s="485">
        <f>-'Other Accts'!FX61</f>
        <v>0</v>
      </c>
      <c r="FY12" s="485">
        <f>-'Other Accts'!FY61</f>
        <v>0</v>
      </c>
      <c r="FZ12" s="485">
        <f>SUM(FV12:FY12)</f>
        <v>0</v>
      </c>
      <c r="GA12" s="485"/>
      <c r="GB12" s="485">
        <f>-'Other Accts'!GB61</f>
        <v>0</v>
      </c>
      <c r="GC12" s="485">
        <f>-'Other Accts'!GC61</f>
        <v>0</v>
      </c>
      <c r="GD12" s="485">
        <f>-'Other Accts'!GD61</f>
        <v>0</v>
      </c>
      <c r="GE12" s="485">
        <f>-'Other Accts'!GE61</f>
        <v>0</v>
      </c>
      <c r="GF12" s="485">
        <f>SUM(GB12:GE12)</f>
        <v>0</v>
      </c>
      <c r="GG12" s="485"/>
      <c r="GH12" s="485">
        <f>-'Other Accts'!GH61</f>
        <v>0</v>
      </c>
      <c r="GI12" s="485">
        <f>-'Other Accts'!GI61</f>
        <v>0</v>
      </c>
      <c r="GJ12" s="485">
        <f>-'Other Accts'!GJ61</f>
        <v>0</v>
      </c>
      <c r="GK12" s="485">
        <f>-'Other Accts'!GK61</f>
        <v>0</v>
      </c>
      <c r="GL12" s="485">
        <f>SUM(GH12:GK12)</f>
        <v>0</v>
      </c>
      <c r="GM12" s="485"/>
      <c r="GN12" s="485">
        <f>-'Other Accts'!GN61</f>
        <v>0</v>
      </c>
      <c r="GO12" s="485">
        <f>-'Other Accts'!GO61</f>
        <v>0</v>
      </c>
      <c r="GP12" s="485">
        <f>-'Other Accts'!GP61</f>
        <v>0</v>
      </c>
      <c r="GQ12" s="485">
        <f>-'Other Accts'!GQ61</f>
        <v>0</v>
      </c>
      <c r="GR12" s="485">
        <f>SUM(GN12:GQ12)</f>
        <v>0</v>
      </c>
      <c r="GS12" s="485"/>
      <c r="GT12" s="485">
        <f>-'Other Accts'!GT61</f>
        <v>0</v>
      </c>
      <c r="GU12" s="485">
        <f>-'Other Accts'!GU61</f>
        <v>0</v>
      </c>
      <c r="GV12" s="485">
        <f>-'Other Accts'!GV61</f>
        <v>0</v>
      </c>
      <c r="GW12" s="485">
        <f>-'Other Accts'!GW61</f>
        <v>0</v>
      </c>
      <c r="GX12" s="485">
        <f>SUM(GT12:GW12)</f>
        <v>0</v>
      </c>
      <c r="GY12" s="485"/>
      <c r="GZ12" s="485">
        <f>-'Other Accts'!GZ61</f>
        <v>0</v>
      </c>
      <c r="HA12" s="485">
        <f>-'Other Accts'!HA61</f>
        <v>0</v>
      </c>
      <c r="HB12" s="485">
        <f>-'Other Accts'!HB61</f>
        <v>0</v>
      </c>
      <c r="HC12" s="485">
        <f>-'Other Accts'!HC61</f>
        <v>0</v>
      </c>
      <c r="HD12" s="485">
        <f>SUM(GZ12:HC12)</f>
        <v>0</v>
      </c>
      <c r="HE12" s="485"/>
      <c r="HF12" s="485">
        <f>-'Other Accts'!HF61</f>
        <v>0</v>
      </c>
      <c r="HG12" s="485">
        <f>-'Other Accts'!HG61</f>
        <v>0</v>
      </c>
      <c r="HH12" s="485">
        <f>-'Other Accts'!HH61</f>
        <v>0</v>
      </c>
      <c r="HI12" s="485">
        <f>-'Other Accts'!HI61</f>
        <v>0</v>
      </c>
      <c r="HJ12" s="485">
        <f>SUM(HF12:HI12)</f>
        <v>0</v>
      </c>
      <c r="HK12" s="485"/>
      <c r="HL12" s="485"/>
      <c r="HM12" s="485"/>
      <c r="HN12" s="485"/>
      <c r="HO12" s="485"/>
      <c r="HP12" s="485"/>
      <c r="HQ12" s="485"/>
    </row>
    <row r="13" spans="1:225">
      <c r="A13" s="30"/>
      <c r="B13" s="30" t="s">
        <v>86</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c r="BE13" s="30"/>
      <c r="BF13" s="30"/>
      <c r="BG13" s="30"/>
      <c r="BH13" s="30"/>
      <c r="BI13" s="30"/>
      <c r="BJ13" s="30"/>
      <c r="BK13" s="30"/>
      <c r="BL13" s="30"/>
      <c r="BM13" s="30"/>
      <c r="BN13" s="30"/>
      <c r="BO13" s="30"/>
      <c r="BP13" s="30"/>
      <c r="BQ13" s="30"/>
      <c r="BR13" s="30"/>
      <c r="BS13" s="118"/>
      <c r="BT13" s="118"/>
      <c r="BU13" s="30"/>
      <c r="BV13" s="30"/>
      <c r="BW13" s="30"/>
      <c r="BX13" s="118"/>
      <c r="BY13" s="30"/>
      <c r="BZ13" s="30"/>
      <c r="CA13" s="30"/>
      <c r="CB13" s="30"/>
      <c r="CC13" s="30"/>
      <c r="CD13" s="118"/>
      <c r="CE13" s="118"/>
      <c r="CF13" s="118"/>
      <c r="CG13" s="30"/>
      <c r="CH13" s="30"/>
      <c r="CI13" s="30"/>
      <c r="CJ13" s="30"/>
      <c r="CK13" s="118"/>
      <c r="CL13" s="118"/>
      <c r="CM13" s="30"/>
      <c r="CN13" s="30"/>
      <c r="CO13" s="30"/>
      <c r="CP13" s="30"/>
      <c r="CQ13" s="30"/>
      <c r="CR13" s="30"/>
      <c r="CS13" s="30"/>
      <c r="CT13" s="30"/>
      <c r="CU13" s="30"/>
      <c r="CV13" s="30"/>
      <c r="CW13" s="30"/>
      <c r="CX13" s="30"/>
      <c r="CY13" s="30"/>
      <c r="CZ13" s="30"/>
      <c r="DA13" s="30"/>
      <c r="DB13" s="30"/>
      <c r="DC13" s="30"/>
      <c r="DD13" s="30"/>
      <c r="DE13" s="30"/>
      <c r="DF13" s="30"/>
      <c r="DG13" s="30"/>
      <c r="DH13" s="485">
        <f>1.624</f>
        <v>1.6240000000000001</v>
      </c>
      <c r="DI13" s="485">
        <f>3.957-1.624</f>
        <v>2.3329999999999997</v>
      </c>
      <c r="DJ13" s="485">
        <f>5.148-3.957</f>
        <v>1.1909999999999998</v>
      </c>
      <c r="DK13" s="485">
        <f>6.955-5.148</f>
        <v>1.8070000000000004</v>
      </c>
      <c r="DL13" s="485">
        <f t="shared" si="0"/>
        <v>6.9550000000000001</v>
      </c>
      <c r="DM13" s="485"/>
      <c r="DN13" s="485">
        <f>2.139</f>
        <v>2.1389999999999998</v>
      </c>
      <c r="DO13" s="485">
        <f>4.452-2.139</f>
        <v>2.3130000000000002</v>
      </c>
      <c r="DP13" s="485">
        <f>7.727-4.452</f>
        <v>3.2750000000000004</v>
      </c>
      <c r="DQ13" s="485">
        <f>10-7.727</f>
        <v>2.2729999999999997</v>
      </c>
      <c r="DR13" s="485">
        <f t="shared" si="1"/>
        <v>10</v>
      </c>
      <c r="DS13" s="485"/>
      <c r="DT13" s="485">
        <f>2.186</f>
        <v>2.1859999999999999</v>
      </c>
      <c r="DU13" s="485">
        <f>4.821-2.186</f>
        <v>2.6349999999999998</v>
      </c>
      <c r="DV13" s="485">
        <f>7.536-4.821</f>
        <v>2.7149999999999999</v>
      </c>
      <c r="DW13" s="485">
        <f>10.212-7.536</f>
        <v>2.6760000000000002</v>
      </c>
      <c r="DX13" s="485">
        <f t="shared" si="2"/>
        <v>10.212</v>
      </c>
      <c r="DY13" s="485"/>
      <c r="DZ13" s="485">
        <f>2.653</f>
        <v>2.653</v>
      </c>
      <c r="EA13" s="485">
        <f>7.159-2.653</f>
        <v>4.5060000000000002</v>
      </c>
      <c r="EB13" s="485">
        <f>12.396-7.159</f>
        <v>5.237000000000001</v>
      </c>
      <c r="EC13" s="485">
        <f>22.458-12.396</f>
        <v>10.061999999999998</v>
      </c>
      <c r="ED13" s="485">
        <f t="shared" si="3"/>
        <v>22.457999999999998</v>
      </c>
      <c r="EE13" s="485"/>
      <c r="EF13" s="485">
        <f>12.103</f>
        <v>12.103</v>
      </c>
      <c r="EG13" s="485">
        <f>15.729-12.103</f>
        <v>3.6259999999999994</v>
      </c>
      <c r="EH13" s="485">
        <f>20.009-15.729</f>
        <v>4.2800000000000011</v>
      </c>
      <c r="EI13" s="485">
        <f>24.672-20.009</f>
        <v>4.6630000000000003</v>
      </c>
      <c r="EJ13" s="485">
        <f t="shared" si="4"/>
        <v>24.672000000000001</v>
      </c>
      <c r="EK13" s="485"/>
      <c r="EL13" s="485">
        <f>4.758</f>
        <v>4.758</v>
      </c>
      <c r="EM13" s="485">
        <f>10.463-4.758</f>
        <v>5.7049999999999992</v>
      </c>
      <c r="EN13" s="485">
        <f>17.643-10.463</f>
        <v>7.1800000000000015</v>
      </c>
      <c r="EO13" s="485">
        <f>24.633-17.643</f>
        <v>6.9899999999999984</v>
      </c>
      <c r="EP13" s="485">
        <f t="shared" si="5"/>
        <v>24.632999999999999</v>
      </c>
      <c r="EQ13" s="485"/>
      <c r="ER13" s="485">
        <v>7.774</v>
      </c>
      <c r="ES13" s="485">
        <f>16.615-ER13</f>
        <v>8.8409999999999975</v>
      </c>
      <c r="ET13" s="485">
        <f>25.085-ES13-ER13</f>
        <v>8.4700000000000024</v>
      </c>
      <c r="EU13" s="485">
        <f>33.413-ET13-ES13-ER13</f>
        <v>8.3279999999999959</v>
      </c>
      <c r="EV13" s="485">
        <f>SUM(ER13:EU13)</f>
        <v>33.412999999999997</v>
      </c>
      <c r="EW13" s="485"/>
      <c r="EX13" s="485">
        <v>10.754</v>
      </c>
      <c r="EY13" s="485">
        <f>22.968-EX13</f>
        <v>12.214</v>
      </c>
      <c r="EZ13" s="485">
        <f>33.274-EY13-EX13</f>
        <v>10.306000000000003</v>
      </c>
      <c r="FA13" s="557">
        <v>0</v>
      </c>
      <c r="FB13" s="485">
        <f>SUM(EX13:FA13)</f>
        <v>33.274000000000001</v>
      </c>
      <c r="FC13" s="485"/>
      <c r="FD13" s="557">
        <v>0</v>
      </c>
      <c r="FE13" s="485">
        <v>0</v>
      </c>
      <c r="FF13" s="485">
        <v>0</v>
      </c>
      <c r="FG13" s="485">
        <v>0</v>
      </c>
      <c r="FH13" s="485">
        <f>SUM(FD13:FG13)</f>
        <v>0</v>
      </c>
      <c r="FI13" s="485"/>
      <c r="FJ13" s="485">
        <v>0</v>
      </c>
      <c r="FK13" s="485">
        <v>0</v>
      </c>
      <c r="FL13" s="485">
        <v>0</v>
      </c>
      <c r="FM13" s="485">
        <v>0</v>
      </c>
      <c r="FN13" s="485">
        <f>SUM(FJ13:FM13)</f>
        <v>0</v>
      </c>
      <c r="FO13" s="485"/>
      <c r="FP13" s="485">
        <v>0</v>
      </c>
      <c r="FQ13" s="485">
        <v>0</v>
      </c>
      <c r="FR13" s="485">
        <v>0</v>
      </c>
      <c r="FS13" s="485">
        <v>0</v>
      </c>
      <c r="FT13" s="485">
        <f>SUM(FP13:FS13)</f>
        <v>0</v>
      </c>
      <c r="FU13" s="485"/>
      <c r="FV13" s="485">
        <v>0</v>
      </c>
      <c r="FW13" s="485">
        <v>0</v>
      </c>
      <c r="FX13" s="485">
        <v>0</v>
      </c>
      <c r="FY13" s="485">
        <v>0</v>
      </c>
      <c r="FZ13" s="485">
        <f>SUM(FV13:FY13)</f>
        <v>0</v>
      </c>
      <c r="GA13" s="485"/>
      <c r="GB13" s="485">
        <v>0</v>
      </c>
      <c r="GC13" s="485">
        <v>0</v>
      </c>
      <c r="GD13" s="485">
        <v>0</v>
      </c>
      <c r="GE13" s="485">
        <v>0</v>
      </c>
      <c r="GF13" s="485">
        <f>SUM(GB13:GE13)</f>
        <v>0</v>
      </c>
      <c r="GG13" s="485"/>
      <c r="GH13" s="485">
        <v>0</v>
      </c>
      <c r="GI13" s="485">
        <v>0</v>
      </c>
      <c r="GJ13" s="485">
        <v>0</v>
      </c>
      <c r="GK13" s="485">
        <v>0</v>
      </c>
      <c r="GL13" s="485">
        <f>SUM(GH13:GK13)</f>
        <v>0</v>
      </c>
      <c r="GM13" s="485"/>
      <c r="GN13" s="485">
        <v>0</v>
      </c>
      <c r="GO13" s="485">
        <v>0</v>
      </c>
      <c r="GP13" s="485">
        <v>0</v>
      </c>
      <c r="GQ13" s="485">
        <v>0</v>
      </c>
      <c r="GR13" s="485">
        <f>SUM(GN13:GQ13)</f>
        <v>0</v>
      </c>
      <c r="GS13" s="485"/>
      <c r="GT13" s="485">
        <v>0</v>
      </c>
      <c r="GU13" s="485">
        <v>0</v>
      </c>
      <c r="GV13" s="485">
        <v>0</v>
      </c>
      <c r="GW13" s="485">
        <v>0</v>
      </c>
      <c r="GX13" s="485">
        <f>SUM(GT13:GW13)</f>
        <v>0</v>
      </c>
      <c r="GY13" s="485"/>
      <c r="GZ13" s="485">
        <v>0</v>
      </c>
      <c r="HA13" s="485">
        <v>0</v>
      </c>
      <c r="HB13" s="485">
        <v>0</v>
      </c>
      <c r="HC13" s="485">
        <v>0</v>
      </c>
      <c r="HD13" s="485">
        <f>SUM(GZ13:HC13)</f>
        <v>0</v>
      </c>
      <c r="HE13" s="485"/>
      <c r="HF13" s="485">
        <v>0</v>
      </c>
      <c r="HG13" s="485">
        <v>0</v>
      </c>
      <c r="HH13" s="485">
        <v>0</v>
      </c>
      <c r="HI13" s="485">
        <v>0</v>
      </c>
      <c r="HJ13" s="485">
        <f>SUM(HF13:HI13)</f>
        <v>0</v>
      </c>
      <c r="HK13" s="485"/>
      <c r="HL13" s="485"/>
      <c r="HM13" s="485"/>
      <c r="HN13" s="485"/>
      <c r="HO13" s="485"/>
      <c r="HP13" s="485"/>
      <c r="HQ13" s="485"/>
    </row>
    <row r="14" spans="1:225">
      <c r="A14" s="30"/>
      <c r="B14" s="30" t="s">
        <v>504</v>
      </c>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c r="BE14" s="30"/>
      <c r="BF14" s="30"/>
      <c r="BG14" s="30"/>
      <c r="BH14" s="30"/>
      <c r="BI14" s="30"/>
      <c r="BJ14" s="30"/>
      <c r="BK14" s="30"/>
      <c r="BL14" s="30"/>
      <c r="BM14" s="30"/>
      <c r="BN14" s="30"/>
      <c r="BO14" s="30"/>
      <c r="BP14" s="30"/>
      <c r="BQ14" s="30"/>
      <c r="BR14" s="30"/>
      <c r="BS14" s="118"/>
      <c r="BT14" s="118"/>
      <c r="BU14" s="30"/>
      <c r="BV14" s="30"/>
      <c r="BW14" s="30"/>
      <c r="BX14" s="118"/>
      <c r="BY14" s="30"/>
      <c r="BZ14" s="30"/>
      <c r="CA14" s="30"/>
      <c r="CB14" s="30"/>
      <c r="CC14" s="30"/>
      <c r="CD14" s="118"/>
      <c r="CE14" s="118"/>
      <c r="CF14" s="118"/>
      <c r="CG14" s="30"/>
      <c r="CH14" s="30"/>
      <c r="CI14" s="30"/>
      <c r="CJ14" s="30"/>
      <c r="CK14" s="118"/>
      <c r="CL14" s="118"/>
      <c r="CM14" s="30"/>
      <c r="CN14" s="30"/>
      <c r="CO14" s="30"/>
      <c r="CP14" s="30"/>
      <c r="CQ14" s="30"/>
      <c r="CR14" s="30"/>
      <c r="CS14" s="30"/>
      <c r="CT14" s="30"/>
      <c r="CU14" s="30"/>
      <c r="CV14" s="30"/>
      <c r="CW14" s="30"/>
      <c r="CX14" s="30"/>
      <c r="CY14" s="30"/>
      <c r="CZ14" s="30"/>
      <c r="DA14" s="30"/>
      <c r="DB14" s="30"/>
      <c r="DC14" s="30"/>
      <c r="DD14" s="30"/>
      <c r="DE14" s="30"/>
      <c r="DF14" s="30"/>
      <c r="DG14" s="30"/>
      <c r="DH14" s="485">
        <f>SUM(DH15:DH27)</f>
        <v>0.106</v>
      </c>
      <c r="DI14" s="485">
        <f>SUM(DI15:DI27)</f>
        <v>0.24199999999999999</v>
      </c>
      <c r="DJ14" s="485">
        <f>SUM(DJ15:DJ27)</f>
        <v>0.32200000000000006</v>
      </c>
      <c r="DK14" s="485">
        <f>SUM(DK15:DK27)</f>
        <v>0.27600000000000002</v>
      </c>
      <c r="DL14" s="485">
        <f>SUM(DL15:DL27)</f>
        <v>0.94600000000000006</v>
      </c>
      <c r="DM14" s="485"/>
      <c r="DN14" s="485">
        <f>SUM(DN15:DN27)</f>
        <v>1.4470000000000001</v>
      </c>
      <c r="DO14" s="485">
        <f>SUM(DO15:DO27)</f>
        <v>2.4430000000000001</v>
      </c>
      <c r="DP14" s="485">
        <f>SUM(DP15:DP27)</f>
        <v>1.1260000000000003</v>
      </c>
      <c r="DQ14" s="485">
        <f>SUM(DQ15:DQ27)</f>
        <v>2.4989999999999997</v>
      </c>
      <c r="DR14" s="485">
        <f>SUM(DR15:DR27)</f>
        <v>7.5149999999999988</v>
      </c>
      <c r="DS14" s="485"/>
      <c r="DT14" s="485">
        <f>SUM(DT15:DT27)</f>
        <v>2.1079999999999997</v>
      </c>
      <c r="DU14" s="485">
        <f>SUM(DU15:DU27)</f>
        <v>8.15</v>
      </c>
      <c r="DV14" s="485">
        <f>SUM(DV15:DV27)</f>
        <v>4.2269999999999994</v>
      </c>
      <c r="DW14" s="485">
        <f>SUM(DW15:DW27)</f>
        <v>-1.3770000000000007</v>
      </c>
      <c r="DX14" s="485">
        <f>SUM(DX15:DX27)</f>
        <v>13.108000000000001</v>
      </c>
      <c r="DY14" s="485"/>
      <c r="DZ14" s="485">
        <f>SUM(DZ15:DZ27)</f>
        <v>13.922000000000001</v>
      </c>
      <c r="EA14" s="485">
        <f>SUM(EA15:EA27)</f>
        <v>-93.887</v>
      </c>
      <c r="EB14" s="485">
        <f>SUM(EB15:EB27)</f>
        <v>-14.032999999999998</v>
      </c>
      <c r="EC14" s="485">
        <f>SUM(EC15:EC27)</f>
        <v>4.4119999999999999</v>
      </c>
      <c r="ED14" s="485">
        <f>SUM(ED15:ED27)</f>
        <v>-89.586000000000013</v>
      </c>
      <c r="EE14" s="485"/>
      <c r="EF14" s="485">
        <f>SUM(EF15:EF27)</f>
        <v>2.4369999999999998</v>
      </c>
      <c r="EG14" s="485">
        <f>SUM(EG15:EG27)</f>
        <v>3.5209999999999999</v>
      </c>
      <c r="EH14" s="485">
        <f>SUM(EH15:EH27)</f>
        <v>5.9879999999999995</v>
      </c>
      <c r="EI14" s="485">
        <f>SUM(EI15:EI27)</f>
        <v>3.9100000000000006</v>
      </c>
      <c r="EJ14" s="485">
        <f>SUM(EJ15:EJ27)</f>
        <v>15.856000000000002</v>
      </c>
      <c r="EK14" s="485"/>
      <c r="EL14" s="485">
        <f>SUM(EL15:EL27)</f>
        <v>3.9369999999999998</v>
      </c>
      <c r="EM14" s="485">
        <f>SUM(EM15:EM27)</f>
        <v>3.8089999999999993</v>
      </c>
      <c r="EN14" s="485">
        <f>SUM(EN15:EN27)</f>
        <v>3.4270000000000005</v>
      </c>
      <c r="EO14" s="485">
        <f>SUM(EO15:EO27)</f>
        <v>3.1189999999999989</v>
      </c>
      <c r="EP14" s="485">
        <f>SUM(EP15:EP27)</f>
        <v>14.292</v>
      </c>
      <c r="EQ14" s="485"/>
      <c r="ER14" s="485">
        <f>SUM(ER15:ER26)</f>
        <v>3.214</v>
      </c>
      <c r="ES14" s="485">
        <f>SUM(ES15:ES26)</f>
        <v>3.5230000000000006</v>
      </c>
      <c r="ET14" s="485">
        <f>SUM(ET15:ET26)</f>
        <v>3.004</v>
      </c>
      <c r="EU14" s="485">
        <f>SUM(EU15:EU26)</f>
        <v>2.6779999999999999</v>
      </c>
      <c r="EV14" s="485">
        <f>SUM(ER14:EU14)</f>
        <v>12.419</v>
      </c>
      <c r="EW14" s="485"/>
      <c r="EX14" s="485">
        <f>SUM(EX15:EX26)</f>
        <v>2.3559999999999999</v>
      </c>
      <c r="EY14" s="485">
        <f>SUM(EY15:EY26)</f>
        <v>21.931000000000001</v>
      </c>
      <c r="EZ14" s="485">
        <f>SUM(EZ15:EZ27)</f>
        <v>9.4959999999999987</v>
      </c>
      <c r="FA14" s="557">
        <f>SUM(FA15:FA27)</f>
        <v>0</v>
      </c>
      <c r="FB14" s="485">
        <f>SUM(FB15:FB27)</f>
        <v>33.783000000000001</v>
      </c>
      <c r="FC14" s="485"/>
      <c r="FD14" s="557">
        <f>SUM(FD15:FD27)</f>
        <v>0</v>
      </c>
      <c r="FE14" s="485">
        <f>SUM(FE15:FE27)</f>
        <v>0</v>
      </c>
      <c r="FF14" s="485">
        <f>SUM(FF15:FF27)</f>
        <v>0</v>
      </c>
      <c r="FG14" s="485">
        <f>SUM(FG15:FG27)</f>
        <v>0</v>
      </c>
      <c r="FH14" s="485">
        <f>SUM(FH15:FH27)</f>
        <v>0</v>
      </c>
      <c r="FI14" s="485"/>
      <c r="FJ14" s="485">
        <f>SUM(FJ15:FJ27)</f>
        <v>0</v>
      </c>
      <c r="FK14" s="485">
        <f>SUM(FK15:FK27)</f>
        <v>0</v>
      </c>
      <c r="FL14" s="485">
        <f>SUM(FL15:FL27)</f>
        <v>0</v>
      </c>
      <c r="FM14" s="485">
        <f>SUM(FM15:FM27)</f>
        <v>0</v>
      </c>
      <c r="FN14" s="485">
        <f>SUM(FN15:FN27)</f>
        <v>0</v>
      </c>
      <c r="FO14" s="485"/>
      <c r="FP14" s="485">
        <f>SUM(FP15:FP27)</f>
        <v>0</v>
      </c>
      <c r="FQ14" s="485">
        <f>SUM(FQ15:FQ27)</f>
        <v>0</v>
      </c>
      <c r="FR14" s="485">
        <f>SUM(FR15:FR27)</f>
        <v>0</v>
      </c>
      <c r="FS14" s="485">
        <f>SUM(FS15:FS27)</f>
        <v>0</v>
      </c>
      <c r="FT14" s="485">
        <f>SUM(FT15:FT27)</f>
        <v>0</v>
      </c>
      <c r="FU14" s="485"/>
      <c r="FV14" s="485">
        <f>SUM(FV15:FV27)</f>
        <v>0</v>
      </c>
      <c r="FW14" s="485">
        <f>SUM(FW15:FW27)</f>
        <v>0</v>
      </c>
      <c r="FX14" s="485">
        <f>SUM(FX15:FX27)</f>
        <v>0</v>
      </c>
      <c r="FY14" s="485">
        <f>SUM(FY15:FY27)</f>
        <v>0</v>
      </c>
      <c r="FZ14" s="485">
        <f>SUM(FZ15:FZ27)</f>
        <v>0</v>
      </c>
      <c r="GA14" s="485"/>
      <c r="GB14" s="485">
        <f>SUM(GB15:GB27)</f>
        <v>0</v>
      </c>
      <c r="GC14" s="485">
        <f>SUM(GC15:GC27)</f>
        <v>0</v>
      </c>
      <c r="GD14" s="485">
        <f>SUM(GD15:GD27)</f>
        <v>0</v>
      </c>
      <c r="GE14" s="485">
        <f>SUM(GE15:GE27)</f>
        <v>0</v>
      </c>
      <c r="GF14" s="485">
        <f>SUM(GF15:GF27)</f>
        <v>0</v>
      </c>
      <c r="GG14" s="485"/>
      <c r="GH14" s="485">
        <f>SUM(GH15:GH27)</f>
        <v>0</v>
      </c>
      <c r="GI14" s="485">
        <f>SUM(GI15:GI27)</f>
        <v>0</v>
      </c>
      <c r="GJ14" s="485">
        <f>SUM(GJ15:GJ27)</f>
        <v>0</v>
      </c>
      <c r="GK14" s="485">
        <f>SUM(GK15:GK27)</f>
        <v>0</v>
      </c>
      <c r="GL14" s="485">
        <f>SUM(GL15:GL27)</f>
        <v>0</v>
      </c>
      <c r="GM14" s="485"/>
      <c r="GN14" s="485">
        <f>SUM(GN15:GN27)</f>
        <v>0</v>
      </c>
      <c r="GO14" s="485">
        <f>SUM(GO15:GO27)</f>
        <v>0</v>
      </c>
      <c r="GP14" s="485">
        <f>SUM(GP15:GP27)</f>
        <v>0</v>
      </c>
      <c r="GQ14" s="485">
        <f>SUM(GQ15:GQ27)</f>
        <v>0</v>
      </c>
      <c r="GR14" s="485">
        <f>SUM(GR15:GR27)</f>
        <v>0</v>
      </c>
      <c r="GS14" s="485"/>
      <c r="GT14" s="485">
        <f>SUM(GT15:GT27)</f>
        <v>0</v>
      </c>
      <c r="GU14" s="485">
        <f>SUM(GU15:GU27)</f>
        <v>0</v>
      </c>
      <c r="GV14" s="485">
        <f>SUM(GV15:GV27)</f>
        <v>0</v>
      </c>
      <c r="GW14" s="485">
        <f>SUM(GW15:GW27)</f>
        <v>0</v>
      </c>
      <c r="GX14" s="485">
        <f>SUM(GX15:GX27)</f>
        <v>0</v>
      </c>
      <c r="GY14" s="485"/>
      <c r="GZ14" s="485">
        <f>SUM(GZ15:GZ27)</f>
        <v>0</v>
      </c>
      <c r="HA14" s="485">
        <f>SUM(HA15:HA27)</f>
        <v>0</v>
      </c>
      <c r="HB14" s="485">
        <f>SUM(HB15:HB27)</f>
        <v>0</v>
      </c>
      <c r="HC14" s="485">
        <f>SUM(HC15:HC27)</f>
        <v>0</v>
      </c>
      <c r="HD14" s="485">
        <f>SUM(HD15:HD27)</f>
        <v>0</v>
      </c>
      <c r="HE14" s="485"/>
      <c r="HF14" s="485">
        <f>SUM(HF15:HF27)</f>
        <v>0</v>
      </c>
      <c r="HG14" s="485">
        <f>SUM(HG15:HG27)</f>
        <v>0</v>
      </c>
      <c r="HH14" s="485">
        <f>SUM(HH15:HH27)</f>
        <v>0</v>
      </c>
      <c r="HI14" s="485">
        <f>SUM(HI15:HI27)</f>
        <v>0</v>
      </c>
      <c r="HJ14" s="485">
        <f>SUM(HJ15:HJ27)</f>
        <v>0</v>
      </c>
      <c r="HK14" s="485"/>
      <c r="HL14" s="485"/>
      <c r="HM14" s="485"/>
      <c r="HN14" s="485"/>
      <c r="HO14" s="485"/>
      <c r="HP14" s="485"/>
      <c r="HQ14" s="485"/>
    </row>
    <row r="15" spans="1:225" ht="12.95" customHeight="1" outlineLevel="1">
      <c r="A15" s="30"/>
      <c r="B15" s="30" t="s">
        <v>498</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118"/>
      <c r="BT15" s="118"/>
      <c r="BU15" s="30"/>
      <c r="BV15" s="30"/>
      <c r="BW15" s="30"/>
      <c r="BX15" s="118"/>
      <c r="BY15" s="30"/>
      <c r="BZ15" s="30"/>
      <c r="CA15" s="30"/>
      <c r="CB15" s="30"/>
      <c r="CC15" s="30"/>
      <c r="CD15" s="118"/>
      <c r="CE15" s="118"/>
      <c r="CF15" s="118"/>
      <c r="CG15" s="30"/>
      <c r="CH15" s="30"/>
      <c r="CI15" s="30"/>
      <c r="CJ15" s="30"/>
      <c r="CK15" s="118"/>
      <c r="CL15" s="118"/>
      <c r="CM15" s="30"/>
      <c r="CN15" s="30"/>
      <c r="CO15" s="30"/>
      <c r="CP15" s="30"/>
      <c r="CQ15" s="30"/>
      <c r="CR15" s="30"/>
      <c r="CS15" s="30"/>
      <c r="CT15" s="30"/>
      <c r="CU15" s="30"/>
      <c r="CV15" s="30"/>
      <c r="CW15" s="30"/>
      <c r="CX15" s="30"/>
      <c r="CY15" s="30"/>
      <c r="CZ15" s="30"/>
      <c r="DA15" s="30"/>
      <c r="DB15" s="30"/>
      <c r="DC15" s="30"/>
      <c r="DD15" s="30"/>
      <c r="DE15" s="30"/>
      <c r="DF15" s="30"/>
      <c r="DG15" s="30"/>
      <c r="DH15" s="485"/>
      <c r="DI15" s="485">
        <f>0.106</f>
        <v>0.106</v>
      </c>
      <c r="DJ15" s="485">
        <f>0.278-0.106</f>
        <v>0.17200000000000004</v>
      </c>
      <c r="DK15" s="485">
        <f>0.404-0.278</f>
        <v>0.126</v>
      </c>
      <c r="DL15" s="485">
        <f t="shared" si="0"/>
        <v>0.40400000000000003</v>
      </c>
      <c r="DM15" s="485"/>
      <c r="DN15" s="485">
        <f>0.156</f>
        <v>0.156</v>
      </c>
      <c r="DO15" s="485">
        <f>0.404-0.156</f>
        <v>0.24800000000000003</v>
      </c>
      <c r="DP15" s="485">
        <f>0.451-0.404</f>
        <v>4.6999999999999986E-2</v>
      </c>
      <c r="DQ15" s="485">
        <f>0-0.451</f>
        <v>-0.45100000000000001</v>
      </c>
      <c r="DR15" s="485">
        <f t="shared" si="1"/>
        <v>0</v>
      </c>
      <c r="DS15" s="485"/>
      <c r="DT15" s="485">
        <f>0</f>
        <v>0</v>
      </c>
      <c r="DU15" s="485">
        <f>0-0</f>
        <v>0</v>
      </c>
      <c r="DV15" s="485">
        <f>0-0</f>
        <v>0</v>
      </c>
      <c r="DW15" s="485">
        <f>0-0</f>
        <v>0</v>
      </c>
      <c r="DX15" s="485">
        <f t="shared" si="2"/>
        <v>0</v>
      </c>
      <c r="DY15" s="485"/>
      <c r="DZ15" s="485">
        <f>0</f>
        <v>0</v>
      </c>
      <c r="EA15" s="485">
        <f>0-0</f>
        <v>0</v>
      </c>
      <c r="EB15" s="485">
        <f>0.166-0</f>
        <v>0.16600000000000001</v>
      </c>
      <c r="EC15" s="485">
        <f>0.606-0.166</f>
        <v>0.43999999999999995</v>
      </c>
      <c r="ED15" s="485">
        <f t="shared" si="3"/>
        <v>0.60599999999999998</v>
      </c>
      <c r="EE15" s="485"/>
      <c r="EF15" s="485">
        <f>0</f>
        <v>0</v>
      </c>
      <c r="EG15" s="485">
        <f>0-0</f>
        <v>0</v>
      </c>
      <c r="EH15" s="485">
        <f>3.066-0</f>
        <v>3.0659999999999998</v>
      </c>
      <c r="EI15" s="485">
        <f>2.858-3.066</f>
        <v>-0.20799999999999974</v>
      </c>
      <c r="EJ15" s="485">
        <f t="shared" si="4"/>
        <v>2.8580000000000001</v>
      </c>
      <c r="EK15" s="485"/>
      <c r="EL15" s="485">
        <f>0</f>
        <v>0</v>
      </c>
      <c r="EM15" s="485">
        <f>0-0</f>
        <v>0</v>
      </c>
      <c r="EN15" s="485">
        <f>0.334-0</f>
        <v>0.33400000000000002</v>
      </c>
      <c r="EO15" s="485">
        <f>0.292-0.334</f>
        <v>-4.2000000000000037E-2</v>
      </c>
      <c r="EP15" s="485">
        <f t="shared" si="5"/>
        <v>0.29199999999999998</v>
      </c>
      <c r="EQ15" s="485"/>
      <c r="ER15" s="485">
        <v>0</v>
      </c>
      <c r="ES15" s="485">
        <v>0</v>
      </c>
      <c r="ET15" s="485">
        <f>0.063-ES15-ER15</f>
        <v>6.3E-2</v>
      </c>
      <c r="EU15" s="485">
        <f>-0.049-SUM(ER15:ET15)</f>
        <v>-0.112</v>
      </c>
      <c r="EV15" s="485">
        <f>SUM(ER15:EU15)</f>
        <v>-4.9000000000000002E-2</v>
      </c>
      <c r="EW15" s="485"/>
      <c r="EX15" s="485">
        <v>0</v>
      </c>
      <c r="EY15" s="485">
        <v>0</v>
      </c>
      <c r="EZ15" s="485">
        <f>0-EY15-EX15</f>
        <v>0</v>
      </c>
      <c r="FA15" s="557">
        <v>0</v>
      </c>
      <c r="FB15" s="485">
        <f>SUM(EX15:FA15)</f>
        <v>0</v>
      </c>
      <c r="FC15" s="485"/>
      <c r="FD15" s="557">
        <v>0</v>
      </c>
      <c r="FE15" s="485">
        <v>0</v>
      </c>
      <c r="FF15" s="485">
        <v>0</v>
      </c>
      <c r="FG15" s="485">
        <v>0</v>
      </c>
      <c r="FH15" s="485">
        <f>SUM(FD15:FG15)</f>
        <v>0</v>
      </c>
      <c r="FI15" s="485"/>
      <c r="FJ15" s="485">
        <v>0</v>
      </c>
      <c r="FK15" s="485">
        <v>0</v>
      </c>
      <c r="FL15" s="485">
        <v>0</v>
      </c>
      <c r="FM15" s="485">
        <v>0</v>
      </c>
      <c r="FN15" s="485">
        <f>SUM(FJ15:FM15)</f>
        <v>0</v>
      </c>
      <c r="FO15" s="485"/>
      <c r="FP15" s="485">
        <v>0</v>
      </c>
      <c r="FQ15" s="485">
        <v>0</v>
      </c>
      <c r="FR15" s="485">
        <v>0</v>
      </c>
      <c r="FS15" s="485">
        <v>0</v>
      </c>
      <c r="FT15" s="485">
        <f>SUM(FP15:FS15)</f>
        <v>0</v>
      </c>
      <c r="FU15" s="485"/>
      <c r="FV15" s="485">
        <v>0</v>
      </c>
      <c r="FW15" s="485">
        <v>0</v>
      </c>
      <c r="FX15" s="485">
        <v>0</v>
      </c>
      <c r="FY15" s="485">
        <v>0</v>
      </c>
      <c r="FZ15" s="485">
        <f>SUM(FV15:FY15)</f>
        <v>0</v>
      </c>
      <c r="GA15" s="485"/>
      <c r="GB15" s="485">
        <v>0</v>
      </c>
      <c r="GC15" s="485">
        <v>0</v>
      </c>
      <c r="GD15" s="485">
        <v>0</v>
      </c>
      <c r="GE15" s="485">
        <v>0</v>
      </c>
      <c r="GF15" s="485">
        <f>SUM(GB15:GE15)</f>
        <v>0</v>
      </c>
      <c r="GG15" s="485"/>
      <c r="GH15" s="485">
        <v>0</v>
      </c>
      <c r="GI15" s="485">
        <v>0</v>
      </c>
      <c r="GJ15" s="485">
        <v>0</v>
      </c>
      <c r="GK15" s="485">
        <v>0</v>
      </c>
      <c r="GL15" s="485">
        <f>SUM(GH15:GK15)</f>
        <v>0</v>
      </c>
      <c r="GM15" s="485"/>
      <c r="GN15" s="485">
        <v>0</v>
      </c>
      <c r="GO15" s="485">
        <v>0</v>
      </c>
      <c r="GP15" s="485">
        <v>0</v>
      </c>
      <c r="GQ15" s="485">
        <v>0</v>
      </c>
      <c r="GR15" s="485">
        <f>SUM(GN15:GQ15)</f>
        <v>0</v>
      </c>
      <c r="GS15" s="485"/>
      <c r="GT15" s="485">
        <v>0</v>
      </c>
      <c r="GU15" s="485">
        <v>0</v>
      </c>
      <c r="GV15" s="485">
        <v>0</v>
      </c>
      <c r="GW15" s="485">
        <v>0</v>
      </c>
      <c r="GX15" s="485">
        <f>SUM(GT15:GW15)</f>
        <v>0</v>
      </c>
      <c r="GY15" s="485"/>
      <c r="GZ15" s="485">
        <v>0</v>
      </c>
      <c r="HA15" s="485">
        <v>0</v>
      </c>
      <c r="HB15" s="485">
        <v>0</v>
      </c>
      <c r="HC15" s="485">
        <v>0</v>
      </c>
      <c r="HD15" s="485">
        <f>SUM(GZ15:HC15)</f>
        <v>0</v>
      </c>
      <c r="HE15" s="485"/>
      <c r="HF15" s="485">
        <v>0</v>
      </c>
      <c r="HG15" s="485">
        <v>0</v>
      </c>
      <c r="HH15" s="485">
        <v>0</v>
      </c>
      <c r="HI15" s="485">
        <v>0</v>
      </c>
      <c r="HJ15" s="485">
        <f>SUM(HF15:HI15)</f>
        <v>0</v>
      </c>
      <c r="HK15" s="485"/>
      <c r="HL15" s="485"/>
      <c r="HM15" s="485"/>
      <c r="HN15" s="485"/>
      <c r="HO15" s="485"/>
      <c r="HP15" s="485"/>
      <c r="HQ15" s="485"/>
    </row>
    <row r="16" spans="1:225" ht="12.95" customHeight="1" outlineLevel="1">
      <c r="A16" s="30"/>
      <c r="B16" s="30" t="s">
        <v>499</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118"/>
      <c r="BT16" s="118"/>
      <c r="BU16" s="30"/>
      <c r="BV16" s="30"/>
      <c r="BW16" s="30"/>
      <c r="BX16" s="118"/>
      <c r="BY16" s="30"/>
      <c r="BZ16" s="30"/>
      <c r="CA16" s="30"/>
      <c r="CB16" s="30"/>
      <c r="CC16" s="30"/>
      <c r="CD16" s="118"/>
      <c r="CE16" s="118"/>
      <c r="CF16" s="118"/>
      <c r="CG16" s="30"/>
      <c r="CH16" s="30"/>
      <c r="CI16" s="30"/>
      <c r="CJ16" s="30"/>
      <c r="CK16" s="118"/>
      <c r="CL16" s="118"/>
      <c r="CM16" s="30"/>
      <c r="CN16" s="30"/>
      <c r="CO16" s="30"/>
      <c r="CP16" s="30"/>
      <c r="CQ16" s="30"/>
      <c r="CR16" s="30"/>
      <c r="CS16" s="30"/>
      <c r="CT16" s="30"/>
      <c r="CU16" s="30"/>
      <c r="CV16" s="30"/>
      <c r="CW16" s="30"/>
      <c r="CX16" s="30"/>
      <c r="CY16" s="30"/>
      <c r="CZ16" s="30"/>
      <c r="DA16" s="30"/>
      <c r="DB16" s="30"/>
      <c r="DC16" s="30"/>
      <c r="DD16" s="30"/>
      <c r="DE16" s="30"/>
      <c r="DF16" s="30"/>
      <c r="DG16" s="30"/>
      <c r="DH16" s="485"/>
      <c r="DI16" s="485"/>
      <c r="DJ16" s="485"/>
      <c r="DK16" s="485"/>
      <c r="DL16" s="485">
        <f t="shared" si="0"/>
        <v>0</v>
      </c>
      <c r="DM16" s="485"/>
      <c r="DN16" s="485"/>
      <c r="DO16" s="485"/>
      <c r="DP16" s="485"/>
      <c r="DQ16" s="485"/>
      <c r="DR16" s="485">
        <f t="shared" si="1"/>
        <v>0</v>
      </c>
      <c r="DS16" s="485"/>
      <c r="DT16" s="485"/>
      <c r="DU16" s="485">
        <f>3.506</f>
        <v>3.5059999999999998</v>
      </c>
      <c r="DV16" s="485">
        <f>3.506-3.506</f>
        <v>0</v>
      </c>
      <c r="DW16" s="485">
        <f>3.506-3.5</f>
        <v>5.9999999999997833E-3</v>
      </c>
      <c r="DX16" s="485">
        <f t="shared" si="2"/>
        <v>3.5119999999999996</v>
      </c>
      <c r="DY16" s="485"/>
      <c r="DZ16" s="485">
        <f>0</f>
        <v>0</v>
      </c>
      <c r="EA16" s="485"/>
      <c r="EB16" s="485"/>
      <c r="EC16" s="485"/>
      <c r="ED16" s="485">
        <f t="shared" si="3"/>
        <v>0</v>
      </c>
      <c r="EE16" s="485"/>
      <c r="EF16" s="485">
        <f>0</f>
        <v>0</v>
      </c>
      <c r="EG16" s="485"/>
      <c r="EH16" s="485"/>
      <c r="EI16" s="485"/>
      <c r="EJ16" s="485">
        <f t="shared" si="4"/>
        <v>0</v>
      </c>
      <c r="EK16" s="485"/>
      <c r="EL16" s="485">
        <f>0</f>
        <v>0</v>
      </c>
      <c r="EM16" s="485"/>
      <c r="EN16" s="485"/>
      <c r="EO16" s="485"/>
      <c r="EP16" s="485">
        <f t="shared" si="5"/>
        <v>0</v>
      </c>
      <c r="EQ16" s="485"/>
      <c r="ER16" s="485">
        <v>0</v>
      </c>
      <c r="ES16" s="485">
        <v>0</v>
      </c>
      <c r="ET16" s="485">
        <v>0</v>
      </c>
      <c r="EU16" s="485">
        <v>0</v>
      </c>
      <c r="EV16" s="485">
        <f t="shared" ref="EV16:EV26" si="6">SUM(ER16:EU16)</f>
        <v>0</v>
      </c>
      <c r="EW16" s="485"/>
      <c r="EX16" s="485">
        <v>0</v>
      </c>
      <c r="EY16" s="485">
        <v>0</v>
      </c>
      <c r="EZ16" s="485">
        <f>0-EY16-EX16</f>
        <v>0</v>
      </c>
      <c r="FA16" s="557">
        <v>0</v>
      </c>
      <c r="FB16" s="485">
        <f t="shared" ref="FB16:FB25" si="7">SUM(EX16:FA16)</f>
        <v>0</v>
      </c>
      <c r="FC16" s="485"/>
      <c r="FD16" s="557">
        <v>0</v>
      </c>
      <c r="FE16" s="485">
        <v>0</v>
      </c>
      <c r="FF16" s="485">
        <v>0</v>
      </c>
      <c r="FG16" s="485">
        <v>0</v>
      </c>
      <c r="FH16" s="485">
        <f t="shared" ref="FH16:FH25" si="8">SUM(FD16:FG16)</f>
        <v>0</v>
      </c>
      <c r="FI16" s="485"/>
      <c r="FJ16" s="485">
        <v>0</v>
      </c>
      <c r="FK16" s="485">
        <v>0</v>
      </c>
      <c r="FL16" s="485">
        <v>0</v>
      </c>
      <c r="FM16" s="485">
        <v>0</v>
      </c>
      <c r="FN16" s="485">
        <f t="shared" ref="FN16:FN25" si="9">SUM(FJ16:FM16)</f>
        <v>0</v>
      </c>
      <c r="FO16" s="485"/>
      <c r="FP16" s="485">
        <v>0</v>
      </c>
      <c r="FQ16" s="485">
        <v>0</v>
      </c>
      <c r="FR16" s="485">
        <v>0</v>
      </c>
      <c r="FS16" s="485">
        <v>0</v>
      </c>
      <c r="FT16" s="485">
        <f t="shared" ref="FT16:FT25" si="10">SUM(FP16:FS16)</f>
        <v>0</v>
      </c>
      <c r="FU16" s="485"/>
      <c r="FV16" s="485">
        <v>0</v>
      </c>
      <c r="FW16" s="485">
        <v>0</v>
      </c>
      <c r="FX16" s="485">
        <v>0</v>
      </c>
      <c r="FY16" s="485">
        <v>0</v>
      </c>
      <c r="FZ16" s="485">
        <f t="shared" ref="FZ16:FZ25" si="11">SUM(FV16:FY16)</f>
        <v>0</v>
      </c>
      <c r="GA16" s="485"/>
      <c r="GB16" s="485">
        <v>0</v>
      </c>
      <c r="GC16" s="485">
        <v>0</v>
      </c>
      <c r="GD16" s="485">
        <v>0</v>
      </c>
      <c r="GE16" s="485">
        <v>0</v>
      </c>
      <c r="GF16" s="485">
        <f t="shared" ref="GF16:GF25" si="12">SUM(GB16:GE16)</f>
        <v>0</v>
      </c>
      <c r="GG16" s="485"/>
      <c r="GH16" s="485">
        <v>0</v>
      </c>
      <c r="GI16" s="485">
        <v>0</v>
      </c>
      <c r="GJ16" s="485">
        <v>0</v>
      </c>
      <c r="GK16" s="485">
        <v>0</v>
      </c>
      <c r="GL16" s="485">
        <f t="shared" ref="GL16:GL25" si="13">SUM(GH16:GK16)</f>
        <v>0</v>
      </c>
      <c r="GM16" s="485"/>
      <c r="GN16" s="485">
        <v>0</v>
      </c>
      <c r="GO16" s="485">
        <v>0</v>
      </c>
      <c r="GP16" s="485">
        <v>0</v>
      </c>
      <c r="GQ16" s="485">
        <v>0</v>
      </c>
      <c r="GR16" s="485">
        <f t="shared" ref="GR16:GR25" si="14">SUM(GN16:GQ16)</f>
        <v>0</v>
      </c>
      <c r="GS16" s="485"/>
      <c r="GT16" s="485">
        <v>0</v>
      </c>
      <c r="GU16" s="485">
        <v>0</v>
      </c>
      <c r="GV16" s="485">
        <v>0</v>
      </c>
      <c r="GW16" s="485">
        <v>0</v>
      </c>
      <c r="GX16" s="485">
        <f t="shared" ref="GX16:GX25" si="15">SUM(GT16:GW16)</f>
        <v>0</v>
      </c>
      <c r="GY16" s="485"/>
      <c r="GZ16" s="485">
        <v>0</v>
      </c>
      <c r="HA16" s="485">
        <v>0</v>
      </c>
      <c r="HB16" s="485">
        <v>0</v>
      </c>
      <c r="HC16" s="485">
        <v>0</v>
      </c>
      <c r="HD16" s="485">
        <f t="shared" ref="HD16:HD25" si="16">SUM(GZ16:HC16)</f>
        <v>0</v>
      </c>
      <c r="HE16" s="485"/>
      <c r="HF16" s="485">
        <v>0</v>
      </c>
      <c r="HG16" s="485">
        <v>0</v>
      </c>
      <c r="HH16" s="485">
        <v>0</v>
      </c>
      <c r="HI16" s="485">
        <v>0</v>
      </c>
      <c r="HJ16" s="485">
        <f t="shared" ref="HJ16:HJ25" si="17">SUM(HF16:HI16)</f>
        <v>0</v>
      </c>
      <c r="HK16" s="485"/>
      <c r="HL16" s="485"/>
      <c r="HM16" s="485"/>
      <c r="HN16" s="485"/>
      <c r="HO16" s="485"/>
      <c r="HP16" s="485"/>
      <c r="HQ16" s="485"/>
    </row>
    <row r="17" spans="1:225" ht="12.95" customHeight="1" outlineLevel="1">
      <c r="A17" s="30"/>
      <c r="B17" s="30" t="s">
        <v>500</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118"/>
      <c r="BT17" s="118"/>
      <c r="BU17" s="30"/>
      <c r="BV17" s="30"/>
      <c r="BW17" s="30"/>
      <c r="BX17" s="118"/>
      <c r="BY17" s="30"/>
      <c r="BZ17" s="30"/>
      <c r="CA17" s="30"/>
      <c r="CB17" s="30"/>
      <c r="CC17" s="30"/>
      <c r="CD17" s="118"/>
      <c r="CE17" s="118"/>
      <c r="CF17" s="118"/>
      <c r="CG17" s="30"/>
      <c r="CH17" s="30"/>
      <c r="CI17" s="30"/>
      <c r="CJ17" s="30"/>
      <c r="CK17" s="118"/>
      <c r="CL17" s="118"/>
      <c r="CM17" s="30"/>
      <c r="CN17" s="30"/>
      <c r="CO17" s="30"/>
      <c r="CP17" s="30"/>
      <c r="CQ17" s="30"/>
      <c r="CR17" s="30"/>
      <c r="CS17" s="30"/>
      <c r="CT17" s="30"/>
      <c r="CU17" s="30"/>
      <c r="CV17" s="30"/>
      <c r="CW17" s="30"/>
      <c r="CX17" s="30"/>
      <c r="CY17" s="30"/>
      <c r="CZ17" s="30"/>
      <c r="DA17" s="30"/>
      <c r="DB17" s="30"/>
      <c r="DC17" s="30"/>
      <c r="DD17" s="30"/>
      <c r="DE17" s="30"/>
      <c r="DF17" s="30"/>
      <c r="DG17" s="30"/>
      <c r="DH17" s="485"/>
      <c r="DI17" s="485"/>
      <c r="DJ17" s="485"/>
      <c r="DK17" s="485"/>
      <c r="DL17" s="485">
        <f t="shared" si="0"/>
        <v>0</v>
      </c>
      <c r="DM17" s="485"/>
      <c r="DN17" s="485">
        <f>0</f>
        <v>0</v>
      </c>
      <c r="DO17" s="485">
        <f t="shared" ref="DO17:DQ20" si="18">0-0</f>
        <v>0</v>
      </c>
      <c r="DP17" s="485">
        <f t="shared" si="18"/>
        <v>0</v>
      </c>
      <c r="DQ17" s="485">
        <f t="shared" si="18"/>
        <v>0</v>
      </c>
      <c r="DR17" s="485">
        <f t="shared" si="1"/>
        <v>0</v>
      </c>
      <c r="DS17" s="485"/>
      <c r="DT17" s="485">
        <f>0</f>
        <v>0</v>
      </c>
      <c r="DU17" s="485">
        <f t="shared" ref="DU17:DV20" si="19">0-0</f>
        <v>0</v>
      </c>
      <c r="DV17" s="485">
        <f t="shared" si="19"/>
        <v>0</v>
      </c>
      <c r="DW17" s="485">
        <f>-3.955-0</f>
        <v>-3.9550000000000001</v>
      </c>
      <c r="DX17" s="485">
        <f t="shared" si="2"/>
        <v>-3.9550000000000001</v>
      </c>
      <c r="DY17" s="485"/>
      <c r="DZ17" s="485">
        <f>5.024</f>
        <v>5.024</v>
      </c>
      <c r="EA17" s="485">
        <f>-91.51-5.024</f>
        <v>-96.534000000000006</v>
      </c>
      <c r="EB17" s="485">
        <f>-109.26--91.51</f>
        <v>-17.75</v>
      </c>
      <c r="EC17" s="485">
        <f>-109.26--109.26</f>
        <v>0</v>
      </c>
      <c r="ED17" s="485">
        <f t="shared" si="3"/>
        <v>-109.26</v>
      </c>
      <c r="EE17" s="485"/>
      <c r="EF17" s="485">
        <f>0</f>
        <v>0</v>
      </c>
      <c r="EG17" s="485">
        <f t="shared" ref="EG17:EI19" si="20">0-0</f>
        <v>0</v>
      </c>
      <c r="EH17" s="485">
        <f t="shared" si="20"/>
        <v>0</v>
      </c>
      <c r="EI17" s="485">
        <f t="shared" si="20"/>
        <v>0</v>
      </c>
      <c r="EJ17" s="485">
        <f t="shared" si="4"/>
        <v>0</v>
      </c>
      <c r="EK17" s="485"/>
      <c r="EL17" s="485">
        <f>0</f>
        <v>0</v>
      </c>
      <c r="EM17" s="485">
        <f t="shared" ref="EM17:EO19" si="21">0-0</f>
        <v>0</v>
      </c>
      <c r="EN17" s="485">
        <f t="shared" si="21"/>
        <v>0</v>
      </c>
      <c r="EO17" s="485">
        <f t="shared" si="21"/>
        <v>0</v>
      </c>
      <c r="EP17" s="485">
        <f t="shared" si="5"/>
        <v>0</v>
      </c>
      <c r="EQ17" s="485"/>
      <c r="ER17" s="485">
        <v>0</v>
      </c>
      <c r="ES17" s="485">
        <v>0</v>
      </c>
      <c r="ET17" s="485">
        <v>0</v>
      </c>
      <c r="EU17" s="485">
        <v>0</v>
      </c>
      <c r="EV17" s="485">
        <f t="shared" si="6"/>
        <v>0</v>
      </c>
      <c r="EW17" s="485"/>
      <c r="EX17" s="485">
        <v>0</v>
      </c>
      <c r="EY17" s="485">
        <v>0</v>
      </c>
      <c r="EZ17" s="485">
        <f>0-EY17-EX17</f>
        <v>0</v>
      </c>
      <c r="FA17" s="557">
        <v>0</v>
      </c>
      <c r="FB17" s="485">
        <f t="shared" si="7"/>
        <v>0</v>
      </c>
      <c r="FC17" s="485"/>
      <c r="FD17" s="557">
        <v>0</v>
      </c>
      <c r="FE17" s="485">
        <v>0</v>
      </c>
      <c r="FF17" s="485">
        <v>0</v>
      </c>
      <c r="FG17" s="485">
        <v>0</v>
      </c>
      <c r="FH17" s="485">
        <f t="shared" si="8"/>
        <v>0</v>
      </c>
      <c r="FI17" s="485"/>
      <c r="FJ17" s="485">
        <v>0</v>
      </c>
      <c r="FK17" s="485">
        <v>0</v>
      </c>
      <c r="FL17" s="485">
        <v>0</v>
      </c>
      <c r="FM17" s="485">
        <v>0</v>
      </c>
      <c r="FN17" s="485">
        <f t="shared" si="9"/>
        <v>0</v>
      </c>
      <c r="FO17" s="485"/>
      <c r="FP17" s="485">
        <v>0</v>
      </c>
      <c r="FQ17" s="485">
        <v>0</v>
      </c>
      <c r="FR17" s="485">
        <v>0</v>
      </c>
      <c r="FS17" s="485">
        <v>0</v>
      </c>
      <c r="FT17" s="485">
        <f t="shared" si="10"/>
        <v>0</v>
      </c>
      <c r="FU17" s="485"/>
      <c r="FV17" s="485">
        <v>0</v>
      </c>
      <c r="FW17" s="485">
        <v>0</v>
      </c>
      <c r="FX17" s="485">
        <v>0</v>
      </c>
      <c r="FY17" s="485">
        <v>0</v>
      </c>
      <c r="FZ17" s="485">
        <f t="shared" si="11"/>
        <v>0</v>
      </c>
      <c r="GA17" s="485"/>
      <c r="GB17" s="485">
        <v>0</v>
      </c>
      <c r="GC17" s="485">
        <v>0</v>
      </c>
      <c r="GD17" s="485">
        <v>0</v>
      </c>
      <c r="GE17" s="485">
        <v>0</v>
      </c>
      <c r="GF17" s="485">
        <f t="shared" si="12"/>
        <v>0</v>
      </c>
      <c r="GG17" s="485"/>
      <c r="GH17" s="485">
        <v>0</v>
      </c>
      <c r="GI17" s="485">
        <v>0</v>
      </c>
      <c r="GJ17" s="485">
        <v>0</v>
      </c>
      <c r="GK17" s="485">
        <v>0</v>
      </c>
      <c r="GL17" s="485">
        <f t="shared" si="13"/>
        <v>0</v>
      </c>
      <c r="GM17" s="485"/>
      <c r="GN17" s="485">
        <v>0</v>
      </c>
      <c r="GO17" s="485">
        <v>0</v>
      </c>
      <c r="GP17" s="485">
        <v>0</v>
      </c>
      <c r="GQ17" s="485">
        <v>0</v>
      </c>
      <c r="GR17" s="485">
        <f t="shared" si="14"/>
        <v>0</v>
      </c>
      <c r="GS17" s="485"/>
      <c r="GT17" s="485">
        <v>0</v>
      </c>
      <c r="GU17" s="485">
        <v>0</v>
      </c>
      <c r="GV17" s="485">
        <v>0</v>
      </c>
      <c r="GW17" s="485">
        <v>0</v>
      </c>
      <c r="GX17" s="485">
        <f t="shared" si="15"/>
        <v>0</v>
      </c>
      <c r="GY17" s="485"/>
      <c r="GZ17" s="485">
        <v>0</v>
      </c>
      <c r="HA17" s="485">
        <v>0</v>
      </c>
      <c r="HB17" s="485">
        <v>0</v>
      </c>
      <c r="HC17" s="485">
        <v>0</v>
      </c>
      <c r="HD17" s="485">
        <f t="shared" si="16"/>
        <v>0</v>
      </c>
      <c r="HE17" s="485"/>
      <c r="HF17" s="485">
        <v>0</v>
      </c>
      <c r="HG17" s="485">
        <v>0</v>
      </c>
      <c r="HH17" s="485">
        <v>0</v>
      </c>
      <c r="HI17" s="485">
        <v>0</v>
      </c>
      <c r="HJ17" s="485">
        <f t="shared" si="17"/>
        <v>0</v>
      </c>
      <c r="HK17" s="485"/>
      <c r="HL17" s="485"/>
      <c r="HM17" s="485"/>
      <c r="HN17" s="485"/>
      <c r="HO17" s="485"/>
      <c r="HP17" s="485"/>
      <c r="HQ17" s="485"/>
    </row>
    <row r="18" spans="1:225" ht="12.95" customHeight="1" outlineLevel="1">
      <c r="A18" s="30"/>
      <c r="B18" s="30" t="s">
        <v>501</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118"/>
      <c r="BT18" s="118"/>
      <c r="BU18" s="30"/>
      <c r="BV18" s="30"/>
      <c r="BW18" s="30"/>
      <c r="BX18" s="118"/>
      <c r="BY18" s="30"/>
      <c r="BZ18" s="30"/>
      <c r="CA18" s="30"/>
      <c r="CB18" s="30"/>
      <c r="CC18" s="30"/>
      <c r="CD18" s="118"/>
      <c r="CE18" s="118"/>
      <c r="CF18" s="118"/>
      <c r="CG18" s="30"/>
      <c r="CH18" s="30"/>
      <c r="CI18" s="30"/>
      <c r="CJ18" s="30"/>
      <c r="CK18" s="118"/>
      <c r="CL18" s="118"/>
      <c r="CM18" s="30"/>
      <c r="CN18" s="30"/>
      <c r="CO18" s="30"/>
      <c r="CP18" s="30"/>
      <c r="CQ18" s="30"/>
      <c r="CR18" s="30"/>
      <c r="CS18" s="30"/>
      <c r="CT18" s="30"/>
      <c r="CU18" s="30"/>
      <c r="CV18" s="30"/>
      <c r="CW18" s="30"/>
      <c r="CX18" s="30"/>
      <c r="CY18" s="30"/>
      <c r="CZ18" s="30"/>
      <c r="DA18" s="30"/>
      <c r="DB18" s="30"/>
      <c r="DC18" s="30"/>
      <c r="DD18" s="30"/>
      <c r="DE18" s="30"/>
      <c r="DF18" s="30"/>
      <c r="DG18" s="30"/>
      <c r="DH18" s="485"/>
      <c r="DI18" s="485"/>
      <c r="DJ18" s="485"/>
      <c r="DK18" s="485"/>
      <c r="DL18" s="485">
        <f t="shared" si="0"/>
        <v>0</v>
      </c>
      <c r="DM18" s="485"/>
      <c r="DN18" s="485">
        <f>0</f>
        <v>0</v>
      </c>
      <c r="DO18" s="485">
        <f t="shared" si="18"/>
        <v>0</v>
      </c>
      <c r="DP18" s="485">
        <f t="shared" si="18"/>
        <v>0</v>
      </c>
      <c r="DQ18" s="485">
        <f t="shared" si="18"/>
        <v>0</v>
      </c>
      <c r="DR18" s="485">
        <f t="shared" si="1"/>
        <v>0</v>
      </c>
      <c r="DS18" s="485"/>
      <c r="DT18" s="485">
        <f>0</f>
        <v>0</v>
      </c>
      <c r="DU18" s="485">
        <f t="shared" si="19"/>
        <v>0</v>
      </c>
      <c r="DV18" s="485">
        <f t="shared" si="19"/>
        <v>0</v>
      </c>
      <c r="DW18" s="485">
        <f>0-0</f>
        <v>0</v>
      </c>
      <c r="DX18" s="485">
        <f t="shared" si="2"/>
        <v>0</v>
      </c>
      <c r="DY18" s="485"/>
      <c r="DZ18" s="485">
        <f>-0.209</f>
        <v>-0.20899999999999999</v>
      </c>
      <c r="EA18" s="485">
        <f>-0.391--0.209</f>
        <v>-0.18200000000000002</v>
      </c>
      <c r="EB18" s="485">
        <f>-0.391--0.391</f>
        <v>0</v>
      </c>
      <c r="EC18" s="485">
        <f>-0.391--0.391</f>
        <v>0</v>
      </c>
      <c r="ED18" s="485">
        <f t="shared" si="3"/>
        <v>-0.39100000000000001</v>
      </c>
      <c r="EE18" s="485"/>
      <c r="EF18" s="485">
        <f>0</f>
        <v>0</v>
      </c>
      <c r="EG18" s="485">
        <f t="shared" si="20"/>
        <v>0</v>
      </c>
      <c r="EH18" s="485">
        <f t="shared" si="20"/>
        <v>0</v>
      </c>
      <c r="EI18" s="485">
        <f t="shared" si="20"/>
        <v>0</v>
      </c>
      <c r="EJ18" s="485">
        <f t="shared" si="4"/>
        <v>0</v>
      </c>
      <c r="EK18" s="485"/>
      <c r="EL18" s="485">
        <f>0</f>
        <v>0</v>
      </c>
      <c r="EM18" s="485">
        <f t="shared" si="21"/>
        <v>0</v>
      </c>
      <c r="EN18" s="485">
        <f t="shared" si="21"/>
        <v>0</v>
      </c>
      <c r="EO18" s="485">
        <f t="shared" si="21"/>
        <v>0</v>
      </c>
      <c r="EP18" s="485">
        <f t="shared" si="5"/>
        <v>0</v>
      </c>
      <c r="EQ18" s="485"/>
      <c r="ER18" s="485">
        <v>0</v>
      </c>
      <c r="ES18" s="485">
        <v>0</v>
      </c>
      <c r="ET18" s="485">
        <v>0</v>
      </c>
      <c r="EU18" s="485">
        <v>0</v>
      </c>
      <c r="EV18" s="485">
        <f t="shared" si="6"/>
        <v>0</v>
      </c>
      <c r="EW18" s="485"/>
      <c r="EX18" s="485">
        <v>0</v>
      </c>
      <c r="EY18" s="485">
        <v>0</v>
      </c>
      <c r="EZ18" s="485">
        <f>0-EY18-EX18</f>
        <v>0</v>
      </c>
      <c r="FA18" s="557">
        <v>0</v>
      </c>
      <c r="FB18" s="485">
        <f t="shared" si="7"/>
        <v>0</v>
      </c>
      <c r="FC18" s="485"/>
      <c r="FD18" s="557">
        <v>0</v>
      </c>
      <c r="FE18" s="485">
        <v>0</v>
      </c>
      <c r="FF18" s="485">
        <v>0</v>
      </c>
      <c r="FG18" s="485">
        <v>0</v>
      </c>
      <c r="FH18" s="485">
        <f t="shared" si="8"/>
        <v>0</v>
      </c>
      <c r="FI18" s="485"/>
      <c r="FJ18" s="485">
        <v>0</v>
      </c>
      <c r="FK18" s="485">
        <v>0</v>
      </c>
      <c r="FL18" s="485">
        <v>0</v>
      </c>
      <c r="FM18" s="485">
        <v>0</v>
      </c>
      <c r="FN18" s="485">
        <f t="shared" si="9"/>
        <v>0</v>
      </c>
      <c r="FO18" s="485"/>
      <c r="FP18" s="485">
        <v>0</v>
      </c>
      <c r="FQ18" s="485">
        <v>0</v>
      </c>
      <c r="FR18" s="485">
        <v>0</v>
      </c>
      <c r="FS18" s="485">
        <v>0</v>
      </c>
      <c r="FT18" s="485">
        <f t="shared" si="10"/>
        <v>0</v>
      </c>
      <c r="FU18" s="485"/>
      <c r="FV18" s="485">
        <v>0</v>
      </c>
      <c r="FW18" s="485">
        <v>0</v>
      </c>
      <c r="FX18" s="485">
        <v>0</v>
      </c>
      <c r="FY18" s="485">
        <v>0</v>
      </c>
      <c r="FZ18" s="485">
        <f t="shared" si="11"/>
        <v>0</v>
      </c>
      <c r="GA18" s="485"/>
      <c r="GB18" s="485">
        <v>0</v>
      </c>
      <c r="GC18" s="485">
        <v>0</v>
      </c>
      <c r="GD18" s="485">
        <v>0</v>
      </c>
      <c r="GE18" s="485">
        <v>0</v>
      </c>
      <c r="GF18" s="485">
        <f t="shared" si="12"/>
        <v>0</v>
      </c>
      <c r="GG18" s="485"/>
      <c r="GH18" s="485">
        <v>0</v>
      </c>
      <c r="GI18" s="485">
        <v>0</v>
      </c>
      <c r="GJ18" s="485">
        <v>0</v>
      </c>
      <c r="GK18" s="485">
        <v>0</v>
      </c>
      <c r="GL18" s="485">
        <f t="shared" si="13"/>
        <v>0</v>
      </c>
      <c r="GM18" s="485"/>
      <c r="GN18" s="485">
        <v>0</v>
      </c>
      <c r="GO18" s="485">
        <v>0</v>
      </c>
      <c r="GP18" s="485">
        <v>0</v>
      </c>
      <c r="GQ18" s="485">
        <v>0</v>
      </c>
      <c r="GR18" s="485">
        <f t="shared" si="14"/>
        <v>0</v>
      </c>
      <c r="GS18" s="485"/>
      <c r="GT18" s="485">
        <v>0</v>
      </c>
      <c r="GU18" s="485">
        <v>0</v>
      </c>
      <c r="GV18" s="485">
        <v>0</v>
      </c>
      <c r="GW18" s="485">
        <v>0</v>
      </c>
      <c r="GX18" s="485">
        <f t="shared" si="15"/>
        <v>0</v>
      </c>
      <c r="GY18" s="485"/>
      <c r="GZ18" s="485">
        <v>0</v>
      </c>
      <c r="HA18" s="485">
        <v>0</v>
      </c>
      <c r="HB18" s="485">
        <v>0</v>
      </c>
      <c r="HC18" s="485">
        <v>0</v>
      </c>
      <c r="HD18" s="485">
        <f t="shared" si="16"/>
        <v>0</v>
      </c>
      <c r="HE18" s="485"/>
      <c r="HF18" s="485">
        <v>0</v>
      </c>
      <c r="HG18" s="485">
        <v>0</v>
      </c>
      <c r="HH18" s="485">
        <v>0</v>
      </c>
      <c r="HI18" s="485">
        <v>0</v>
      </c>
      <c r="HJ18" s="485">
        <f t="shared" si="17"/>
        <v>0</v>
      </c>
      <c r="HK18" s="485"/>
      <c r="HL18" s="485"/>
      <c r="HM18" s="485"/>
      <c r="HN18" s="485"/>
      <c r="HO18" s="485"/>
      <c r="HP18" s="485"/>
      <c r="HQ18" s="485"/>
    </row>
    <row r="19" spans="1:225" ht="12.95" customHeight="1" outlineLevel="1">
      <c r="A19" s="30"/>
      <c r="B19" s="30" t="s">
        <v>502</v>
      </c>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118"/>
      <c r="BT19" s="118"/>
      <c r="BU19" s="30"/>
      <c r="BV19" s="30"/>
      <c r="BW19" s="30"/>
      <c r="BX19" s="118"/>
      <c r="BY19" s="30"/>
      <c r="BZ19" s="30"/>
      <c r="CA19" s="30"/>
      <c r="CB19" s="30"/>
      <c r="CC19" s="30"/>
      <c r="CD19" s="118"/>
      <c r="CE19" s="118"/>
      <c r="CF19" s="118"/>
      <c r="CG19" s="30"/>
      <c r="CH19" s="30"/>
      <c r="CI19" s="30"/>
      <c r="CJ19" s="30"/>
      <c r="CK19" s="118"/>
      <c r="CL19" s="118"/>
      <c r="CM19" s="30"/>
      <c r="CN19" s="30"/>
      <c r="CO19" s="30"/>
      <c r="CP19" s="30"/>
      <c r="CQ19" s="30"/>
      <c r="CR19" s="30"/>
      <c r="CS19" s="30"/>
      <c r="CT19" s="30"/>
      <c r="CU19" s="30"/>
      <c r="CV19" s="30"/>
      <c r="CW19" s="30"/>
      <c r="CX19" s="30"/>
      <c r="CY19" s="30"/>
      <c r="CZ19" s="30"/>
      <c r="DA19" s="30"/>
      <c r="DB19" s="30"/>
      <c r="DC19" s="30"/>
      <c r="DD19" s="30"/>
      <c r="DE19" s="30"/>
      <c r="DF19" s="30"/>
      <c r="DG19" s="30"/>
      <c r="DH19" s="485"/>
      <c r="DI19" s="485"/>
      <c r="DJ19" s="485"/>
      <c r="DK19" s="485"/>
      <c r="DL19" s="485">
        <f t="shared" si="0"/>
        <v>0</v>
      </c>
      <c r="DM19" s="485"/>
      <c r="DN19" s="485">
        <f>0</f>
        <v>0</v>
      </c>
      <c r="DO19" s="485">
        <f t="shared" si="18"/>
        <v>0</v>
      </c>
      <c r="DP19" s="485">
        <f t="shared" si="18"/>
        <v>0</v>
      </c>
      <c r="DQ19" s="485">
        <f t="shared" si="18"/>
        <v>0</v>
      </c>
      <c r="DR19" s="485">
        <f t="shared" si="1"/>
        <v>0</v>
      </c>
      <c r="DS19" s="485"/>
      <c r="DT19" s="485">
        <f>0</f>
        <v>0</v>
      </c>
      <c r="DU19" s="485">
        <f t="shared" si="19"/>
        <v>0</v>
      </c>
      <c r="DV19" s="485">
        <f t="shared" si="19"/>
        <v>0</v>
      </c>
      <c r="DW19" s="485">
        <f>0-0</f>
        <v>0</v>
      </c>
      <c r="DX19" s="485">
        <f t="shared" si="2"/>
        <v>0</v>
      </c>
      <c r="DY19" s="485"/>
      <c r="DZ19" s="485">
        <f>6.061</f>
        <v>6.0609999999999999</v>
      </c>
      <c r="EA19" s="485">
        <f>6.061-6.061</f>
        <v>0</v>
      </c>
      <c r="EB19" s="485">
        <f>6.061-6.061</f>
        <v>0</v>
      </c>
      <c r="EC19" s="485">
        <f>6.061-6.061</f>
        <v>0</v>
      </c>
      <c r="ED19" s="485">
        <f t="shared" si="3"/>
        <v>6.0609999999999999</v>
      </c>
      <c r="EE19" s="485"/>
      <c r="EF19" s="485">
        <f>0</f>
        <v>0</v>
      </c>
      <c r="EG19" s="485">
        <f t="shared" si="20"/>
        <v>0</v>
      </c>
      <c r="EH19" s="485">
        <f t="shared" si="20"/>
        <v>0</v>
      </c>
      <c r="EI19" s="485">
        <f t="shared" si="20"/>
        <v>0</v>
      </c>
      <c r="EJ19" s="485">
        <f t="shared" si="4"/>
        <v>0</v>
      </c>
      <c r="EK19" s="485"/>
      <c r="EL19" s="485">
        <f>0</f>
        <v>0</v>
      </c>
      <c r="EM19" s="485">
        <f t="shared" si="21"/>
        <v>0</v>
      </c>
      <c r="EN19" s="485">
        <f t="shared" si="21"/>
        <v>0</v>
      </c>
      <c r="EO19" s="485">
        <f t="shared" si="21"/>
        <v>0</v>
      </c>
      <c r="EP19" s="485">
        <f t="shared" si="5"/>
        <v>0</v>
      </c>
      <c r="EQ19" s="485"/>
      <c r="ER19" s="485">
        <v>0</v>
      </c>
      <c r="ES19" s="485">
        <v>0</v>
      </c>
      <c r="ET19" s="485">
        <v>0</v>
      </c>
      <c r="EU19" s="485">
        <v>0</v>
      </c>
      <c r="EV19" s="485">
        <f t="shared" si="6"/>
        <v>0</v>
      </c>
      <c r="EW19" s="485"/>
      <c r="EX19" s="485">
        <v>0</v>
      </c>
      <c r="EY19" s="485">
        <v>0</v>
      </c>
      <c r="EZ19" s="485">
        <f>0-EY19-EX19</f>
        <v>0</v>
      </c>
      <c r="FA19" s="557">
        <v>0</v>
      </c>
      <c r="FB19" s="485">
        <f t="shared" si="7"/>
        <v>0</v>
      </c>
      <c r="FC19" s="485"/>
      <c r="FD19" s="557">
        <v>0</v>
      </c>
      <c r="FE19" s="485">
        <v>0</v>
      </c>
      <c r="FF19" s="485">
        <v>0</v>
      </c>
      <c r="FG19" s="485">
        <v>0</v>
      </c>
      <c r="FH19" s="485">
        <f t="shared" si="8"/>
        <v>0</v>
      </c>
      <c r="FI19" s="485"/>
      <c r="FJ19" s="485">
        <v>0</v>
      </c>
      <c r="FK19" s="485">
        <v>0</v>
      </c>
      <c r="FL19" s="485">
        <v>0</v>
      </c>
      <c r="FM19" s="485">
        <v>0</v>
      </c>
      <c r="FN19" s="485">
        <f t="shared" si="9"/>
        <v>0</v>
      </c>
      <c r="FO19" s="485"/>
      <c r="FP19" s="485">
        <v>0</v>
      </c>
      <c r="FQ19" s="485">
        <v>0</v>
      </c>
      <c r="FR19" s="485">
        <v>0</v>
      </c>
      <c r="FS19" s="485">
        <v>0</v>
      </c>
      <c r="FT19" s="485">
        <f t="shared" si="10"/>
        <v>0</v>
      </c>
      <c r="FU19" s="485"/>
      <c r="FV19" s="485">
        <v>0</v>
      </c>
      <c r="FW19" s="485">
        <v>0</v>
      </c>
      <c r="FX19" s="485">
        <v>0</v>
      </c>
      <c r="FY19" s="485">
        <v>0</v>
      </c>
      <c r="FZ19" s="485">
        <f t="shared" si="11"/>
        <v>0</v>
      </c>
      <c r="GA19" s="485"/>
      <c r="GB19" s="485">
        <v>0</v>
      </c>
      <c r="GC19" s="485">
        <v>0</v>
      </c>
      <c r="GD19" s="485">
        <v>0</v>
      </c>
      <c r="GE19" s="485">
        <v>0</v>
      </c>
      <c r="GF19" s="485">
        <f t="shared" si="12"/>
        <v>0</v>
      </c>
      <c r="GG19" s="485"/>
      <c r="GH19" s="485">
        <v>0</v>
      </c>
      <c r="GI19" s="485">
        <v>0</v>
      </c>
      <c r="GJ19" s="485">
        <v>0</v>
      </c>
      <c r="GK19" s="485">
        <v>0</v>
      </c>
      <c r="GL19" s="485">
        <f t="shared" si="13"/>
        <v>0</v>
      </c>
      <c r="GM19" s="485"/>
      <c r="GN19" s="485">
        <v>0</v>
      </c>
      <c r="GO19" s="485">
        <v>0</v>
      </c>
      <c r="GP19" s="485">
        <v>0</v>
      </c>
      <c r="GQ19" s="485">
        <v>0</v>
      </c>
      <c r="GR19" s="485">
        <f t="shared" si="14"/>
        <v>0</v>
      </c>
      <c r="GS19" s="485"/>
      <c r="GT19" s="485">
        <v>0</v>
      </c>
      <c r="GU19" s="485">
        <v>0</v>
      </c>
      <c r="GV19" s="485">
        <v>0</v>
      </c>
      <c r="GW19" s="485">
        <v>0</v>
      </c>
      <c r="GX19" s="485">
        <f t="shared" si="15"/>
        <v>0</v>
      </c>
      <c r="GY19" s="485"/>
      <c r="GZ19" s="485">
        <v>0</v>
      </c>
      <c r="HA19" s="485">
        <v>0</v>
      </c>
      <c r="HB19" s="485">
        <v>0</v>
      </c>
      <c r="HC19" s="485">
        <v>0</v>
      </c>
      <c r="HD19" s="485">
        <f t="shared" si="16"/>
        <v>0</v>
      </c>
      <c r="HE19" s="485"/>
      <c r="HF19" s="485">
        <v>0</v>
      </c>
      <c r="HG19" s="485">
        <v>0</v>
      </c>
      <c r="HH19" s="485">
        <v>0</v>
      </c>
      <c r="HI19" s="485">
        <v>0</v>
      </c>
      <c r="HJ19" s="485">
        <f t="shared" si="17"/>
        <v>0</v>
      </c>
      <c r="HK19" s="485"/>
      <c r="HL19" s="485"/>
      <c r="HM19" s="485"/>
      <c r="HN19" s="485"/>
      <c r="HO19" s="485"/>
      <c r="HP19" s="485"/>
      <c r="HQ19" s="485"/>
    </row>
    <row r="20" spans="1:225" ht="12.95" customHeight="1" outlineLevel="1">
      <c r="A20" s="30"/>
      <c r="B20" s="30" t="s">
        <v>503</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118"/>
      <c r="BT20" s="118"/>
      <c r="BU20" s="30"/>
      <c r="BV20" s="30"/>
      <c r="BW20" s="30"/>
      <c r="BX20" s="118"/>
      <c r="BY20" s="30"/>
      <c r="BZ20" s="30"/>
      <c r="CA20" s="30"/>
      <c r="CB20" s="30"/>
      <c r="CC20" s="30"/>
      <c r="CD20" s="118"/>
      <c r="CE20" s="118"/>
      <c r="CF20" s="118"/>
      <c r="CG20" s="30"/>
      <c r="CH20" s="30"/>
      <c r="CI20" s="30"/>
      <c r="CJ20" s="30"/>
      <c r="CK20" s="118"/>
      <c r="CL20" s="118"/>
      <c r="CM20" s="30"/>
      <c r="CN20" s="30"/>
      <c r="CO20" s="30"/>
      <c r="CP20" s="30"/>
      <c r="CQ20" s="30"/>
      <c r="CR20" s="30"/>
      <c r="CS20" s="30"/>
      <c r="CT20" s="30"/>
      <c r="CU20" s="30"/>
      <c r="CV20" s="30"/>
      <c r="CW20" s="30"/>
      <c r="CX20" s="30"/>
      <c r="CY20" s="30"/>
      <c r="CZ20" s="30"/>
      <c r="DA20" s="30"/>
      <c r="DB20" s="30"/>
      <c r="DC20" s="30"/>
      <c r="DD20" s="30"/>
      <c r="DE20" s="30"/>
      <c r="DF20" s="30"/>
      <c r="DG20" s="30"/>
      <c r="DH20" s="485"/>
      <c r="DI20" s="485"/>
      <c r="DJ20" s="485"/>
      <c r="DK20" s="485"/>
      <c r="DL20" s="485">
        <f t="shared" si="0"/>
        <v>0</v>
      </c>
      <c r="DM20" s="485"/>
      <c r="DN20" s="485">
        <f>0</f>
        <v>0</v>
      </c>
      <c r="DO20" s="485">
        <f t="shared" si="18"/>
        <v>0</v>
      </c>
      <c r="DP20" s="485">
        <f t="shared" si="18"/>
        <v>0</v>
      </c>
      <c r="DQ20" s="485">
        <f t="shared" si="18"/>
        <v>0</v>
      </c>
      <c r="DR20" s="485">
        <f t="shared" si="1"/>
        <v>0</v>
      </c>
      <c r="DS20" s="485"/>
      <c r="DT20" s="485">
        <f>0</f>
        <v>0</v>
      </c>
      <c r="DU20" s="485">
        <f t="shared" si="19"/>
        <v>0</v>
      </c>
      <c r="DV20" s="485">
        <f t="shared" si="19"/>
        <v>0</v>
      </c>
      <c r="DW20" s="485">
        <f>0-0</f>
        <v>0</v>
      </c>
      <c r="DX20" s="485">
        <f t="shared" si="2"/>
        <v>0</v>
      </c>
      <c r="DY20" s="485"/>
      <c r="DZ20" s="485">
        <f>0</f>
        <v>0</v>
      </c>
      <c r="EA20" s="485">
        <f t="shared" ref="EA20:EC21" si="22">0-0</f>
        <v>0</v>
      </c>
      <c r="EB20" s="485">
        <f t="shared" si="22"/>
        <v>0</v>
      </c>
      <c r="EC20" s="485">
        <f t="shared" si="22"/>
        <v>0</v>
      </c>
      <c r="ED20" s="485">
        <f t="shared" si="3"/>
        <v>0</v>
      </c>
      <c r="EE20" s="485"/>
      <c r="EF20" s="485">
        <f>0</f>
        <v>0</v>
      </c>
      <c r="EG20" s="485">
        <f>0-0</f>
        <v>0</v>
      </c>
      <c r="EH20" s="485">
        <f>0-0</f>
        <v>0</v>
      </c>
      <c r="EI20" s="485">
        <f>0.718-0</f>
        <v>0.71799999999999997</v>
      </c>
      <c r="EJ20" s="485">
        <f t="shared" si="4"/>
        <v>0.71799999999999997</v>
      </c>
      <c r="EK20" s="485"/>
      <c r="EL20" s="485">
        <f>0.923</f>
        <v>0.92300000000000004</v>
      </c>
      <c r="EM20" s="485">
        <f>0-0.923</f>
        <v>-0.92300000000000004</v>
      </c>
      <c r="EN20" s="485">
        <f>1.703-0</f>
        <v>1.7030000000000001</v>
      </c>
      <c r="EO20" s="485">
        <f>1.703-1.703</f>
        <v>0</v>
      </c>
      <c r="EP20" s="485">
        <f t="shared" si="5"/>
        <v>1.7030000000000001</v>
      </c>
      <c r="EQ20" s="485"/>
      <c r="ER20" s="485">
        <v>0.14499999999999999</v>
      </c>
      <c r="ES20" s="485">
        <f>0.333-ER20</f>
        <v>0.18800000000000003</v>
      </c>
      <c r="ET20" s="485">
        <f>0.333-ES20-ER20</f>
        <v>0</v>
      </c>
      <c r="EU20" s="485">
        <f>0.45-SUM(ER20:ET20)</f>
        <v>0.11699999999999999</v>
      </c>
      <c r="EV20" s="485">
        <f t="shared" si="6"/>
        <v>0.45</v>
      </c>
      <c r="EW20" s="485"/>
      <c r="EX20" s="485">
        <v>0</v>
      </c>
      <c r="EY20" s="485">
        <f>20.041-EX20</f>
        <v>20.041</v>
      </c>
      <c r="EZ20" s="485">
        <f>27.127-EX20-EY20</f>
        <v>7.0859999999999985</v>
      </c>
      <c r="FA20" s="557">
        <v>0</v>
      </c>
      <c r="FB20" s="485">
        <f t="shared" si="7"/>
        <v>27.126999999999999</v>
      </c>
      <c r="FC20" s="485"/>
      <c r="FD20" s="557">
        <v>0</v>
      </c>
      <c r="FE20" s="485">
        <v>0</v>
      </c>
      <c r="FF20" s="485">
        <v>0</v>
      </c>
      <c r="FG20" s="485">
        <v>0</v>
      </c>
      <c r="FH20" s="485">
        <f t="shared" si="8"/>
        <v>0</v>
      </c>
      <c r="FI20" s="485"/>
      <c r="FJ20" s="485">
        <v>0</v>
      </c>
      <c r="FK20" s="485">
        <v>0</v>
      </c>
      <c r="FL20" s="485">
        <v>0</v>
      </c>
      <c r="FM20" s="485">
        <v>0</v>
      </c>
      <c r="FN20" s="485">
        <f t="shared" si="9"/>
        <v>0</v>
      </c>
      <c r="FO20" s="485"/>
      <c r="FP20" s="485">
        <v>0</v>
      </c>
      <c r="FQ20" s="485">
        <v>0</v>
      </c>
      <c r="FR20" s="485">
        <v>0</v>
      </c>
      <c r="FS20" s="485">
        <v>0</v>
      </c>
      <c r="FT20" s="485">
        <f t="shared" si="10"/>
        <v>0</v>
      </c>
      <c r="FU20" s="485"/>
      <c r="FV20" s="485">
        <v>0</v>
      </c>
      <c r="FW20" s="485">
        <v>0</v>
      </c>
      <c r="FX20" s="485">
        <v>0</v>
      </c>
      <c r="FY20" s="485">
        <v>0</v>
      </c>
      <c r="FZ20" s="485">
        <f t="shared" si="11"/>
        <v>0</v>
      </c>
      <c r="GA20" s="485"/>
      <c r="GB20" s="485">
        <v>0</v>
      </c>
      <c r="GC20" s="485">
        <v>0</v>
      </c>
      <c r="GD20" s="485">
        <v>0</v>
      </c>
      <c r="GE20" s="485">
        <v>0</v>
      </c>
      <c r="GF20" s="485">
        <f t="shared" si="12"/>
        <v>0</v>
      </c>
      <c r="GG20" s="485"/>
      <c r="GH20" s="485">
        <v>0</v>
      </c>
      <c r="GI20" s="485">
        <v>0</v>
      </c>
      <c r="GJ20" s="485">
        <v>0</v>
      </c>
      <c r="GK20" s="485">
        <v>0</v>
      </c>
      <c r="GL20" s="485">
        <f t="shared" si="13"/>
        <v>0</v>
      </c>
      <c r="GM20" s="485"/>
      <c r="GN20" s="485">
        <v>0</v>
      </c>
      <c r="GO20" s="485">
        <v>0</v>
      </c>
      <c r="GP20" s="485">
        <v>0</v>
      </c>
      <c r="GQ20" s="485">
        <v>0</v>
      </c>
      <c r="GR20" s="485">
        <f t="shared" si="14"/>
        <v>0</v>
      </c>
      <c r="GS20" s="485"/>
      <c r="GT20" s="485">
        <v>0</v>
      </c>
      <c r="GU20" s="485">
        <v>0</v>
      </c>
      <c r="GV20" s="485">
        <v>0</v>
      </c>
      <c r="GW20" s="485">
        <v>0</v>
      </c>
      <c r="GX20" s="485">
        <f t="shared" si="15"/>
        <v>0</v>
      </c>
      <c r="GY20" s="485"/>
      <c r="GZ20" s="485">
        <v>0</v>
      </c>
      <c r="HA20" s="485">
        <v>0</v>
      </c>
      <c r="HB20" s="485">
        <v>0</v>
      </c>
      <c r="HC20" s="485">
        <v>0</v>
      </c>
      <c r="HD20" s="485">
        <f t="shared" si="16"/>
        <v>0</v>
      </c>
      <c r="HE20" s="485"/>
      <c r="HF20" s="485">
        <v>0</v>
      </c>
      <c r="HG20" s="485">
        <v>0</v>
      </c>
      <c r="HH20" s="485">
        <v>0</v>
      </c>
      <c r="HI20" s="485">
        <v>0</v>
      </c>
      <c r="HJ20" s="485">
        <f t="shared" si="17"/>
        <v>0</v>
      </c>
      <c r="HK20" s="485"/>
      <c r="HL20" s="485"/>
      <c r="HM20" s="485"/>
      <c r="HN20" s="485"/>
      <c r="HO20" s="485"/>
      <c r="HP20" s="485"/>
      <c r="HQ20" s="485"/>
    </row>
    <row r="21" spans="1:225" ht="12.95" customHeight="1" outlineLevel="1">
      <c r="A21" s="30"/>
      <c r="B21" s="30" t="s">
        <v>505</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118"/>
      <c r="BT21" s="118"/>
      <c r="BU21" s="30"/>
      <c r="BV21" s="30"/>
      <c r="BW21" s="30"/>
      <c r="BX21" s="118"/>
      <c r="BY21" s="30"/>
      <c r="BZ21" s="30"/>
      <c r="CA21" s="30"/>
      <c r="CB21" s="30"/>
      <c r="CC21" s="30"/>
      <c r="CD21" s="118"/>
      <c r="CE21" s="118"/>
      <c r="CF21" s="118"/>
      <c r="CG21" s="30"/>
      <c r="CH21" s="30"/>
      <c r="CI21" s="30"/>
      <c r="CJ21" s="30"/>
      <c r="CK21" s="118"/>
      <c r="CL21" s="118"/>
      <c r="CM21" s="30"/>
      <c r="CN21" s="30"/>
      <c r="CO21" s="30"/>
      <c r="CP21" s="30"/>
      <c r="CQ21" s="30"/>
      <c r="CR21" s="30"/>
      <c r="CS21" s="30"/>
      <c r="CT21" s="30"/>
      <c r="CU21" s="30"/>
      <c r="CV21" s="30"/>
      <c r="CW21" s="30"/>
      <c r="CX21" s="30"/>
      <c r="CY21" s="30"/>
      <c r="CZ21" s="30"/>
      <c r="DA21" s="30"/>
      <c r="DB21" s="30"/>
      <c r="DC21" s="30"/>
      <c r="DD21" s="30"/>
      <c r="DE21" s="30"/>
      <c r="DF21" s="30"/>
      <c r="DG21" s="30"/>
      <c r="DH21" s="485"/>
      <c r="DI21" s="485"/>
      <c r="DJ21" s="485"/>
      <c r="DK21" s="485"/>
      <c r="DL21" s="485">
        <f t="shared" si="0"/>
        <v>0</v>
      </c>
      <c r="DM21" s="485"/>
      <c r="DN21" s="485">
        <f>0</f>
        <v>0</v>
      </c>
      <c r="DO21" s="485">
        <f>1.018-0</f>
        <v>1.018</v>
      </c>
      <c r="DP21" s="485">
        <f>1.018-1.018</f>
        <v>0</v>
      </c>
      <c r="DQ21" s="485">
        <f>1.018-1.018</f>
        <v>0</v>
      </c>
      <c r="DR21" s="485">
        <f t="shared" si="1"/>
        <v>1.018</v>
      </c>
      <c r="DS21" s="485"/>
      <c r="DT21" s="485">
        <f>0</f>
        <v>0</v>
      </c>
      <c r="DU21" s="485">
        <f>1.4-0</f>
        <v>1.4</v>
      </c>
      <c r="DV21" s="485">
        <f>1.4-1.4</f>
        <v>0</v>
      </c>
      <c r="DW21" s="485">
        <f>1.4-1.4</f>
        <v>0</v>
      </c>
      <c r="DX21" s="485">
        <f t="shared" si="2"/>
        <v>1.4</v>
      </c>
      <c r="DY21" s="485"/>
      <c r="DZ21" s="485">
        <f>0</f>
        <v>0</v>
      </c>
      <c r="EA21" s="485">
        <f t="shared" si="22"/>
        <v>0</v>
      </c>
      <c r="EB21" s="485">
        <f t="shared" si="22"/>
        <v>0</v>
      </c>
      <c r="EC21" s="485">
        <f t="shared" si="22"/>
        <v>0</v>
      </c>
      <c r="ED21" s="485">
        <f t="shared" si="3"/>
        <v>0</v>
      </c>
      <c r="EE21" s="485"/>
      <c r="EF21" s="485">
        <f>0</f>
        <v>0</v>
      </c>
      <c r="EG21" s="485">
        <f>0-0</f>
        <v>0</v>
      </c>
      <c r="EH21" s="485">
        <f>0-0</f>
        <v>0</v>
      </c>
      <c r="EI21" s="485">
        <f>0-0</f>
        <v>0</v>
      </c>
      <c r="EJ21" s="485">
        <f t="shared" si="4"/>
        <v>0</v>
      </c>
      <c r="EK21" s="485"/>
      <c r="EL21" s="485">
        <f>0</f>
        <v>0</v>
      </c>
      <c r="EM21" s="485">
        <f>0-0</f>
        <v>0</v>
      </c>
      <c r="EN21" s="485">
        <f>0-0</f>
        <v>0</v>
      </c>
      <c r="EO21" s="485">
        <f>0-0</f>
        <v>0</v>
      </c>
      <c r="EP21" s="485">
        <f t="shared" si="5"/>
        <v>0</v>
      </c>
      <c r="EQ21" s="485"/>
      <c r="ER21" s="485">
        <v>0</v>
      </c>
      <c r="ES21" s="485">
        <v>0</v>
      </c>
      <c r="ET21" s="485">
        <v>0</v>
      </c>
      <c r="EU21" s="485">
        <v>0</v>
      </c>
      <c r="EV21" s="485">
        <f t="shared" si="6"/>
        <v>0</v>
      </c>
      <c r="EW21" s="485"/>
      <c r="EX21" s="485">
        <v>0</v>
      </c>
      <c r="EY21" s="485">
        <v>0</v>
      </c>
      <c r="EZ21" s="485">
        <v>0</v>
      </c>
      <c r="FA21" s="557">
        <v>0</v>
      </c>
      <c r="FB21" s="485">
        <f t="shared" si="7"/>
        <v>0</v>
      </c>
      <c r="FC21" s="485"/>
      <c r="FD21" s="557">
        <v>0</v>
      </c>
      <c r="FE21" s="485">
        <v>0</v>
      </c>
      <c r="FF21" s="485">
        <v>0</v>
      </c>
      <c r="FG21" s="485">
        <v>0</v>
      </c>
      <c r="FH21" s="485">
        <f t="shared" si="8"/>
        <v>0</v>
      </c>
      <c r="FI21" s="485"/>
      <c r="FJ21" s="485">
        <v>0</v>
      </c>
      <c r="FK21" s="485">
        <v>0</v>
      </c>
      <c r="FL21" s="485">
        <v>0</v>
      </c>
      <c r="FM21" s="485">
        <v>0</v>
      </c>
      <c r="FN21" s="485">
        <f t="shared" si="9"/>
        <v>0</v>
      </c>
      <c r="FO21" s="485"/>
      <c r="FP21" s="485">
        <v>0</v>
      </c>
      <c r="FQ21" s="485">
        <v>0</v>
      </c>
      <c r="FR21" s="485">
        <v>0</v>
      </c>
      <c r="FS21" s="485">
        <v>0</v>
      </c>
      <c r="FT21" s="485">
        <f t="shared" si="10"/>
        <v>0</v>
      </c>
      <c r="FU21" s="485"/>
      <c r="FV21" s="485">
        <v>0</v>
      </c>
      <c r="FW21" s="485">
        <v>0</v>
      </c>
      <c r="FX21" s="485">
        <v>0</v>
      </c>
      <c r="FY21" s="485">
        <v>0</v>
      </c>
      <c r="FZ21" s="485">
        <f t="shared" si="11"/>
        <v>0</v>
      </c>
      <c r="GA21" s="485"/>
      <c r="GB21" s="485">
        <v>0</v>
      </c>
      <c r="GC21" s="485">
        <v>0</v>
      </c>
      <c r="GD21" s="485">
        <v>0</v>
      </c>
      <c r="GE21" s="485">
        <v>0</v>
      </c>
      <c r="GF21" s="485">
        <f t="shared" si="12"/>
        <v>0</v>
      </c>
      <c r="GG21" s="485"/>
      <c r="GH21" s="485">
        <v>0</v>
      </c>
      <c r="GI21" s="485">
        <v>0</v>
      </c>
      <c r="GJ21" s="485">
        <v>0</v>
      </c>
      <c r="GK21" s="485">
        <v>0</v>
      </c>
      <c r="GL21" s="485">
        <f t="shared" si="13"/>
        <v>0</v>
      </c>
      <c r="GM21" s="485"/>
      <c r="GN21" s="485">
        <v>0</v>
      </c>
      <c r="GO21" s="485">
        <v>0</v>
      </c>
      <c r="GP21" s="485">
        <v>0</v>
      </c>
      <c r="GQ21" s="485">
        <v>0</v>
      </c>
      <c r="GR21" s="485">
        <f t="shared" si="14"/>
        <v>0</v>
      </c>
      <c r="GS21" s="485"/>
      <c r="GT21" s="485">
        <v>0</v>
      </c>
      <c r="GU21" s="485">
        <v>0</v>
      </c>
      <c r="GV21" s="485">
        <v>0</v>
      </c>
      <c r="GW21" s="485">
        <v>0</v>
      </c>
      <c r="GX21" s="485">
        <f t="shared" si="15"/>
        <v>0</v>
      </c>
      <c r="GY21" s="485"/>
      <c r="GZ21" s="485">
        <v>0</v>
      </c>
      <c r="HA21" s="485">
        <v>0</v>
      </c>
      <c r="HB21" s="485">
        <v>0</v>
      </c>
      <c r="HC21" s="485">
        <v>0</v>
      </c>
      <c r="HD21" s="485">
        <f t="shared" si="16"/>
        <v>0</v>
      </c>
      <c r="HE21" s="485"/>
      <c r="HF21" s="485">
        <v>0</v>
      </c>
      <c r="HG21" s="485">
        <v>0</v>
      </c>
      <c r="HH21" s="485">
        <v>0</v>
      </c>
      <c r="HI21" s="485">
        <v>0</v>
      </c>
      <c r="HJ21" s="485">
        <f t="shared" si="17"/>
        <v>0</v>
      </c>
      <c r="HK21" s="485"/>
      <c r="HL21" s="485"/>
      <c r="HM21" s="485"/>
      <c r="HN21" s="485"/>
      <c r="HO21" s="485"/>
      <c r="HP21" s="485"/>
      <c r="HQ21" s="485"/>
    </row>
    <row r="22" spans="1:225" ht="12.95" customHeight="1" outlineLevel="1">
      <c r="A22" s="30"/>
      <c r="B22" s="30" t="s">
        <v>506</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118"/>
      <c r="BT22" s="118"/>
      <c r="BU22" s="30"/>
      <c r="BV22" s="30"/>
      <c r="BW22" s="30"/>
      <c r="BX22" s="118"/>
      <c r="BY22" s="30"/>
      <c r="BZ22" s="30"/>
      <c r="CA22" s="30"/>
      <c r="CB22" s="30"/>
      <c r="CC22" s="30"/>
      <c r="CD22" s="118"/>
      <c r="CE22" s="118"/>
      <c r="CF22" s="118"/>
      <c r="CG22" s="30"/>
      <c r="CH22" s="30"/>
      <c r="CI22" s="30"/>
      <c r="CJ22" s="30"/>
      <c r="CK22" s="118"/>
      <c r="CL22" s="118"/>
      <c r="CM22" s="30"/>
      <c r="CN22" s="30"/>
      <c r="CO22" s="30"/>
      <c r="CP22" s="30"/>
      <c r="CQ22" s="30"/>
      <c r="CR22" s="30"/>
      <c r="CS22" s="30"/>
      <c r="CT22" s="30"/>
      <c r="CU22" s="30"/>
      <c r="CV22" s="30"/>
      <c r="CW22" s="30"/>
      <c r="CX22" s="30"/>
      <c r="CY22" s="30"/>
      <c r="CZ22" s="30"/>
      <c r="DA22" s="30"/>
      <c r="DB22" s="30"/>
      <c r="DC22" s="30"/>
      <c r="DD22" s="30"/>
      <c r="DE22" s="30"/>
      <c r="DF22" s="30"/>
      <c r="DG22" s="30"/>
      <c r="DH22" s="485">
        <f>0.113</f>
        <v>0.113</v>
      </c>
      <c r="DI22" s="485">
        <f>0.242-0.113</f>
        <v>0.129</v>
      </c>
      <c r="DJ22" s="485">
        <f>0.392-0.242</f>
        <v>0.15000000000000002</v>
      </c>
      <c r="DK22" s="485">
        <f>0.542-0.392</f>
        <v>0.15000000000000002</v>
      </c>
      <c r="DL22" s="485">
        <f t="shared" si="0"/>
        <v>0.54200000000000004</v>
      </c>
      <c r="DM22" s="485"/>
      <c r="DN22" s="485">
        <f>0.15</f>
        <v>0.15</v>
      </c>
      <c r="DO22" s="485">
        <f>0.25-0.15</f>
        <v>0.1</v>
      </c>
      <c r="DP22" s="485">
        <f>0.323-0.25</f>
        <v>7.3000000000000009E-2</v>
      </c>
      <c r="DQ22" s="485">
        <f>0.39-0.323</f>
        <v>6.7000000000000004E-2</v>
      </c>
      <c r="DR22" s="485">
        <f t="shared" si="1"/>
        <v>0.39</v>
      </c>
      <c r="DS22" s="485"/>
      <c r="DT22" s="485">
        <f>0.07</f>
        <v>7.0000000000000007E-2</v>
      </c>
      <c r="DU22" s="485">
        <f>0.112-0.07</f>
        <v>4.1999999999999996E-2</v>
      </c>
      <c r="DV22" s="485">
        <f>0.138-0.112</f>
        <v>2.6000000000000009E-2</v>
      </c>
      <c r="DW22" s="485">
        <f>0.165-0.138</f>
        <v>2.6999999999999996E-2</v>
      </c>
      <c r="DX22" s="485">
        <f t="shared" si="2"/>
        <v>0.16500000000000001</v>
      </c>
      <c r="DY22" s="485"/>
      <c r="DZ22" s="485">
        <f>0.043</f>
        <v>4.2999999999999997E-2</v>
      </c>
      <c r="EA22" s="485">
        <f>0.088-0.043</f>
        <v>4.4999999999999998E-2</v>
      </c>
      <c r="EB22" s="485">
        <f>0.133-0.088</f>
        <v>4.5000000000000012E-2</v>
      </c>
      <c r="EC22" s="485">
        <f>0.178-0.133</f>
        <v>4.4999999999999984E-2</v>
      </c>
      <c r="ED22" s="485">
        <f t="shared" si="3"/>
        <v>0.17799999999999999</v>
      </c>
      <c r="EE22" s="485"/>
      <c r="EF22" s="485">
        <f>0.045</f>
        <v>4.4999999999999998E-2</v>
      </c>
      <c r="EG22" s="485">
        <f>0.091-0.045</f>
        <v>4.5999999999999999E-2</v>
      </c>
      <c r="EH22" s="485">
        <f>0.136-0.091</f>
        <v>4.5000000000000012E-2</v>
      </c>
      <c r="EI22" s="485">
        <f>0.182-0.136</f>
        <v>4.5999999999999985E-2</v>
      </c>
      <c r="EJ22" s="485">
        <f t="shared" si="4"/>
        <v>0.182</v>
      </c>
      <c r="EK22" s="485"/>
      <c r="EL22" s="485">
        <f>0.046</f>
        <v>4.5999999999999999E-2</v>
      </c>
      <c r="EM22" s="485">
        <f>0.092-0.046</f>
        <v>4.5999999999999999E-2</v>
      </c>
      <c r="EN22" s="485">
        <f>0.139-0.092</f>
        <v>4.7000000000000014E-2</v>
      </c>
      <c r="EO22" s="485">
        <f>0.185-0.139</f>
        <v>4.5999999999999985E-2</v>
      </c>
      <c r="EP22" s="485">
        <f t="shared" si="5"/>
        <v>0.185</v>
      </c>
      <c r="EQ22" s="485"/>
      <c r="ER22" s="485">
        <v>4.7E-2</v>
      </c>
      <c r="ES22" s="485">
        <f>0.094-ER22</f>
        <v>4.7E-2</v>
      </c>
      <c r="ET22" s="485">
        <f>0.141-ES22-ER22</f>
        <v>4.6999999999999986E-2</v>
      </c>
      <c r="EU22" s="485">
        <f>0.189-SUM(ER22:ET22)</f>
        <v>4.8000000000000015E-2</v>
      </c>
      <c r="EV22" s="485">
        <f t="shared" si="6"/>
        <v>0.189</v>
      </c>
      <c r="EW22" s="485"/>
      <c r="EX22" s="485">
        <v>4.8000000000000001E-2</v>
      </c>
      <c r="EY22" s="485">
        <f>0.069-EX22</f>
        <v>2.1000000000000005E-2</v>
      </c>
      <c r="EZ22" s="485">
        <f>0.078-EY22-EX22</f>
        <v>8.9999999999999941E-3</v>
      </c>
      <c r="FA22" s="557">
        <v>0</v>
      </c>
      <c r="FB22" s="485">
        <f t="shared" si="7"/>
        <v>7.8E-2</v>
      </c>
      <c r="FC22" s="485"/>
      <c r="FD22" s="557">
        <v>0</v>
      </c>
      <c r="FE22" s="485">
        <v>0</v>
      </c>
      <c r="FF22" s="485">
        <v>0</v>
      </c>
      <c r="FG22" s="485">
        <v>0</v>
      </c>
      <c r="FH22" s="485">
        <f t="shared" si="8"/>
        <v>0</v>
      </c>
      <c r="FI22" s="485"/>
      <c r="FJ22" s="485">
        <v>0</v>
      </c>
      <c r="FK22" s="485">
        <v>0</v>
      </c>
      <c r="FL22" s="485">
        <v>0</v>
      </c>
      <c r="FM22" s="485">
        <v>0</v>
      </c>
      <c r="FN22" s="485">
        <f t="shared" si="9"/>
        <v>0</v>
      </c>
      <c r="FO22" s="485"/>
      <c r="FP22" s="485">
        <v>0</v>
      </c>
      <c r="FQ22" s="485">
        <v>0</v>
      </c>
      <c r="FR22" s="485">
        <v>0</v>
      </c>
      <c r="FS22" s="485">
        <v>0</v>
      </c>
      <c r="FT22" s="485">
        <f t="shared" si="10"/>
        <v>0</v>
      </c>
      <c r="FU22" s="485"/>
      <c r="FV22" s="485">
        <v>0</v>
      </c>
      <c r="FW22" s="485">
        <v>0</v>
      </c>
      <c r="FX22" s="485">
        <v>0</v>
      </c>
      <c r="FY22" s="485">
        <v>0</v>
      </c>
      <c r="FZ22" s="485">
        <f t="shared" si="11"/>
        <v>0</v>
      </c>
      <c r="GA22" s="485"/>
      <c r="GB22" s="485">
        <v>0</v>
      </c>
      <c r="GC22" s="485">
        <v>0</v>
      </c>
      <c r="GD22" s="485">
        <v>0</v>
      </c>
      <c r="GE22" s="485">
        <v>0</v>
      </c>
      <c r="GF22" s="485">
        <f t="shared" si="12"/>
        <v>0</v>
      </c>
      <c r="GG22" s="485"/>
      <c r="GH22" s="485">
        <v>0</v>
      </c>
      <c r="GI22" s="485">
        <v>0</v>
      </c>
      <c r="GJ22" s="485">
        <v>0</v>
      </c>
      <c r="GK22" s="485">
        <v>0</v>
      </c>
      <c r="GL22" s="485">
        <f t="shared" si="13"/>
        <v>0</v>
      </c>
      <c r="GM22" s="485"/>
      <c r="GN22" s="485">
        <v>0</v>
      </c>
      <c r="GO22" s="485">
        <v>0</v>
      </c>
      <c r="GP22" s="485">
        <v>0</v>
      </c>
      <c r="GQ22" s="485">
        <v>0</v>
      </c>
      <c r="GR22" s="485">
        <f t="shared" si="14"/>
        <v>0</v>
      </c>
      <c r="GS22" s="485"/>
      <c r="GT22" s="485">
        <v>0</v>
      </c>
      <c r="GU22" s="485">
        <v>0</v>
      </c>
      <c r="GV22" s="485">
        <v>0</v>
      </c>
      <c r="GW22" s="485">
        <v>0</v>
      </c>
      <c r="GX22" s="485">
        <f t="shared" si="15"/>
        <v>0</v>
      </c>
      <c r="GY22" s="485"/>
      <c r="GZ22" s="485">
        <v>0</v>
      </c>
      <c r="HA22" s="485">
        <v>0</v>
      </c>
      <c r="HB22" s="485">
        <v>0</v>
      </c>
      <c r="HC22" s="485">
        <v>0</v>
      </c>
      <c r="HD22" s="485">
        <f t="shared" si="16"/>
        <v>0</v>
      </c>
      <c r="HE22" s="485"/>
      <c r="HF22" s="485">
        <v>0</v>
      </c>
      <c r="HG22" s="485">
        <v>0</v>
      </c>
      <c r="HH22" s="485">
        <v>0</v>
      </c>
      <c r="HI22" s="485">
        <v>0</v>
      </c>
      <c r="HJ22" s="485">
        <f t="shared" si="17"/>
        <v>0</v>
      </c>
      <c r="HK22" s="485"/>
      <c r="HL22" s="485"/>
      <c r="HM22" s="485"/>
      <c r="HN22" s="485"/>
      <c r="HO22" s="485"/>
      <c r="HP22" s="485"/>
      <c r="HQ22" s="485"/>
    </row>
    <row r="23" spans="1:225" ht="12.95" customHeight="1" outlineLevel="1">
      <c r="A23" s="30"/>
      <c r="B23" s="30" t="s">
        <v>507</v>
      </c>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118"/>
      <c r="BT23" s="118"/>
      <c r="BU23" s="30"/>
      <c r="BV23" s="30"/>
      <c r="BW23" s="30"/>
      <c r="BX23" s="118"/>
      <c r="BY23" s="30"/>
      <c r="BZ23" s="30"/>
      <c r="CA23" s="30"/>
      <c r="CB23" s="30"/>
      <c r="CC23" s="30"/>
      <c r="CD23" s="118"/>
      <c r="CE23" s="118"/>
      <c r="CF23" s="118"/>
      <c r="CG23" s="30"/>
      <c r="CH23" s="30"/>
      <c r="CI23" s="30"/>
      <c r="CJ23" s="30"/>
      <c r="CK23" s="118"/>
      <c r="CL23" s="118"/>
      <c r="CM23" s="30"/>
      <c r="CN23" s="30"/>
      <c r="CO23" s="30"/>
      <c r="CP23" s="30"/>
      <c r="CQ23" s="30"/>
      <c r="CR23" s="30"/>
      <c r="CS23" s="30"/>
      <c r="CT23" s="30"/>
      <c r="CU23" s="30"/>
      <c r="CV23" s="30"/>
      <c r="CW23" s="30"/>
      <c r="CX23" s="30"/>
      <c r="CY23" s="30"/>
      <c r="CZ23" s="30"/>
      <c r="DA23" s="30"/>
      <c r="DB23" s="30"/>
      <c r="DC23" s="30"/>
      <c r="DD23" s="30"/>
      <c r="DE23" s="30"/>
      <c r="DF23" s="30"/>
      <c r="DG23" s="30"/>
      <c r="DH23" s="485"/>
      <c r="DI23" s="485"/>
      <c r="DJ23" s="485"/>
      <c r="DK23" s="485"/>
      <c r="DL23" s="485">
        <f t="shared" si="0"/>
        <v>0</v>
      </c>
      <c r="DM23" s="485"/>
      <c r="DN23" s="485">
        <f>0</f>
        <v>0</v>
      </c>
      <c r="DO23" s="485">
        <f>0-0</f>
        <v>0</v>
      </c>
      <c r="DP23" s="485">
        <f>0-0</f>
        <v>0</v>
      </c>
      <c r="DQ23" s="485">
        <f>0-0</f>
        <v>0</v>
      </c>
      <c r="DR23" s="485">
        <f t="shared" si="1"/>
        <v>0</v>
      </c>
      <c r="DS23" s="485"/>
      <c r="DT23" s="485">
        <f>0</f>
        <v>0</v>
      </c>
      <c r="DU23" s="485">
        <f>0.864-0</f>
        <v>0.86399999999999999</v>
      </c>
      <c r="DV23" s="485">
        <f>2.705-0.864</f>
        <v>1.8410000000000002</v>
      </c>
      <c r="DW23" s="485">
        <f>4.358-2.705</f>
        <v>1.6529999999999996</v>
      </c>
      <c r="DX23" s="485">
        <f t="shared" si="2"/>
        <v>4.3579999999999997</v>
      </c>
      <c r="DY23" s="485"/>
      <c r="DZ23" s="485">
        <f>0.593</f>
        <v>0.59299999999999997</v>
      </c>
      <c r="EA23" s="485">
        <f>1.247-0.593</f>
        <v>0.65400000000000014</v>
      </c>
      <c r="EB23" s="485">
        <f>1.904-1.247</f>
        <v>0.65699999999999981</v>
      </c>
      <c r="EC23" s="485">
        <f>2.563-1.904</f>
        <v>0.65900000000000025</v>
      </c>
      <c r="ED23" s="485">
        <f t="shared" si="3"/>
        <v>2.5630000000000002</v>
      </c>
      <c r="EE23" s="485"/>
      <c r="EF23" s="485">
        <f>0.661</f>
        <v>0.66100000000000003</v>
      </c>
      <c r="EG23" s="485">
        <f>1.324-0.661</f>
        <v>0.66300000000000003</v>
      </c>
      <c r="EH23" s="485">
        <f>1.989-1.324</f>
        <v>0.66500000000000004</v>
      </c>
      <c r="EI23" s="485">
        <f>2.657-1.989</f>
        <v>0.66799999999999993</v>
      </c>
      <c r="EJ23" s="485">
        <f t="shared" si="4"/>
        <v>2.657</v>
      </c>
      <c r="EK23" s="485"/>
      <c r="EL23" s="485">
        <f>0.669</f>
        <v>0.66900000000000004</v>
      </c>
      <c r="EM23" s="485">
        <f>1.341-0.669</f>
        <v>0.67199999999999993</v>
      </c>
      <c r="EN23" s="485">
        <f>2.015-1.341</f>
        <v>0.67400000000000015</v>
      </c>
      <c r="EO23" s="485">
        <f>2.691-2.015</f>
        <v>0.67599999999999971</v>
      </c>
      <c r="EP23" s="485">
        <f t="shared" si="5"/>
        <v>2.6909999999999998</v>
      </c>
      <c r="EQ23" s="485"/>
      <c r="ER23" s="485">
        <v>0.67800000000000005</v>
      </c>
      <c r="ES23" s="485">
        <f>1.358-ER23</f>
        <v>0.68</v>
      </c>
      <c r="ET23" s="485">
        <f>2.041-ES23-ER23</f>
        <v>0.68299999999999972</v>
      </c>
      <c r="EU23" s="485">
        <f>2.725-SUM(ER23:ET23)</f>
        <v>0.68400000000000016</v>
      </c>
      <c r="EV23" s="485">
        <f t="shared" si="6"/>
        <v>2.7250000000000001</v>
      </c>
      <c r="EW23" s="485"/>
      <c r="EX23" s="485">
        <v>0.68700000000000006</v>
      </c>
      <c r="EY23" s="485">
        <f>1.164-EX23</f>
        <v>0.47699999999999987</v>
      </c>
      <c r="EZ23" s="485">
        <f>1.536-EY23-EX23</f>
        <v>0.37200000000000011</v>
      </c>
      <c r="FA23" s="557">
        <v>0</v>
      </c>
      <c r="FB23" s="485">
        <f t="shared" si="7"/>
        <v>1.536</v>
      </c>
      <c r="FC23" s="485"/>
      <c r="FD23" s="557">
        <v>0</v>
      </c>
      <c r="FE23" s="485">
        <v>0</v>
      </c>
      <c r="FF23" s="485">
        <v>0</v>
      </c>
      <c r="FG23" s="485">
        <v>0</v>
      </c>
      <c r="FH23" s="485">
        <f t="shared" si="8"/>
        <v>0</v>
      </c>
      <c r="FI23" s="485"/>
      <c r="FJ23" s="485">
        <v>0</v>
      </c>
      <c r="FK23" s="485">
        <v>0</v>
      </c>
      <c r="FL23" s="485">
        <v>0</v>
      </c>
      <c r="FM23" s="485">
        <v>0</v>
      </c>
      <c r="FN23" s="485">
        <f t="shared" si="9"/>
        <v>0</v>
      </c>
      <c r="FO23" s="485"/>
      <c r="FP23" s="485">
        <v>0</v>
      </c>
      <c r="FQ23" s="485">
        <v>0</v>
      </c>
      <c r="FR23" s="485">
        <v>0</v>
      </c>
      <c r="FS23" s="485">
        <v>0</v>
      </c>
      <c r="FT23" s="485">
        <f t="shared" si="10"/>
        <v>0</v>
      </c>
      <c r="FU23" s="485"/>
      <c r="FV23" s="485">
        <v>0</v>
      </c>
      <c r="FW23" s="485">
        <v>0</v>
      </c>
      <c r="FX23" s="485">
        <v>0</v>
      </c>
      <c r="FY23" s="485">
        <v>0</v>
      </c>
      <c r="FZ23" s="485">
        <f t="shared" si="11"/>
        <v>0</v>
      </c>
      <c r="GA23" s="485"/>
      <c r="GB23" s="485">
        <v>0</v>
      </c>
      <c r="GC23" s="485">
        <v>0</v>
      </c>
      <c r="GD23" s="485">
        <v>0</v>
      </c>
      <c r="GE23" s="485">
        <v>0</v>
      </c>
      <c r="GF23" s="485">
        <f t="shared" si="12"/>
        <v>0</v>
      </c>
      <c r="GG23" s="485"/>
      <c r="GH23" s="485">
        <v>0</v>
      </c>
      <c r="GI23" s="485">
        <v>0</v>
      </c>
      <c r="GJ23" s="485">
        <v>0</v>
      </c>
      <c r="GK23" s="485">
        <v>0</v>
      </c>
      <c r="GL23" s="485">
        <f t="shared" si="13"/>
        <v>0</v>
      </c>
      <c r="GM23" s="485"/>
      <c r="GN23" s="485">
        <v>0</v>
      </c>
      <c r="GO23" s="485">
        <v>0</v>
      </c>
      <c r="GP23" s="485">
        <v>0</v>
      </c>
      <c r="GQ23" s="485">
        <v>0</v>
      </c>
      <c r="GR23" s="485">
        <f t="shared" si="14"/>
        <v>0</v>
      </c>
      <c r="GS23" s="485"/>
      <c r="GT23" s="485">
        <v>0</v>
      </c>
      <c r="GU23" s="485">
        <v>0</v>
      </c>
      <c r="GV23" s="485">
        <v>0</v>
      </c>
      <c r="GW23" s="485">
        <v>0</v>
      </c>
      <c r="GX23" s="485">
        <f t="shared" si="15"/>
        <v>0</v>
      </c>
      <c r="GY23" s="485"/>
      <c r="GZ23" s="485">
        <v>0</v>
      </c>
      <c r="HA23" s="485">
        <v>0</v>
      </c>
      <c r="HB23" s="485">
        <v>0</v>
      </c>
      <c r="HC23" s="485">
        <v>0</v>
      </c>
      <c r="HD23" s="485">
        <f t="shared" si="16"/>
        <v>0</v>
      </c>
      <c r="HE23" s="485"/>
      <c r="HF23" s="485">
        <v>0</v>
      </c>
      <c r="HG23" s="485">
        <v>0</v>
      </c>
      <c r="HH23" s="485">
        <v>0</v>
      </c>
      <c r="HI23" s="485">
        <v>0</v>
      </c>
      <c r="HJ23" s="485">
        <f t="shared" si="17"/>
        <v>0</v>
      </c>
      <c r="HK23" s="485"/>
      <c r="HL23" s="485"/>
      <c r="HM23" s="485"/>
      <c r="HN23" s="485"/>
      <c r="HO23" s="485"/>
      <c r="HP23" s="485"/>
      <c r="HQ23" s="485"/>
    </row>
    <row r="24" spans="1:225" ht="12.95" customHeight="1" outlineLevel="1">
      <c r="A24" s="30"/>
      <c r="B24" s="30" t="s">
        <v>508</v>
      </c>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118"/>
      <c r="BT24" s="118"/>
      <c r="BU24" s="30"/>
      <c r="BV24" s="30"/>
      <c r="BW24" s="30"/>
      <c r="BX24" s="118"/>
      <c r="BY24" s="30"/>
      <c r="BZ24" s="30"/>
      <c r="CA24" s="30"/>
      <c r="CB24" s="30"/>
      <c r="CC24" s="30"/>
      <c r="CD24" s="118"/>
      <c r="CE24" s="118"/>
      <c r="CF24" s="118"/>
      <c r="CG24" s="30"/>
      <c r="CH24" s="30"/>
      <c r="CI24" s="30"/>
      <c r="CJ24" s="30"/>
      <c r="CK24" s="118"/>
      <c r="CL24" s="118"/>
      <c r="CM24" s="30"/>
      <c r="CN24" s="30"/>
      <c r="CO24" s="30"/>
      <c r="CP24" s="30"/>
      <c r="CQ24" s="30"/>
      <c r="CR24" s="30"/>
      <c r="CS24" s="30"/>
      <c r="CT24" s="30"/>
      <c r="CU24" s="30"/>
      <c r="CV24" s="30"/>
      <c r="CW24" s="30"/>
      <c r="CX24" s="30"/>
      <c r="CY24" s="30"/>
      <c r="CZ24" s="30"/>
      <c r="DA24" s="30"/>
      <c r="DB24" s="30"/>
      <c r="DC24" s="30"/>
      <c r="DD24" s="30"/>
      <c r="DE24" s="30"/>
      <c r="DF24" s="30"/>
      <c r="DG24" s="30"/>
      <c r="DH24" s="485"/>
      <c r="DI24" s="485"/>
      <c r="DJ24" s="485"/>
      <c r="DK24" s="485"/>
      <c r="DL24" s="485">
        <f t="shared" si="0"/>
        <v>0</v>
      </c>
      <c r="DM24" s="485"/>
      <c r="DN24" s="485">
        <f>1.141</f>
        <v>1.141</v>
      </c>
      <c r="DO24" s="485">
        <f>2.218-1.141</f>
        <v>1.077</v>
      </c>
      <c r="DP24" s="485">
        <f>3.224-2.218</f>
        <v>1.0060000000000002</v>
      </c>
      <c r="DQ24" s="485">
        <f>5.635-3.224</f>
        <v>2.4109999999999996</v>
      </c>
      <c r="DR24" s="485">
        <f t="shared" si="1"/>
        <v>5.6349999999999998</v>
      </c>
      <c r="DS24" s="485"/>
      <c r="DT24" s="485">
        <f>2.021</f>
        <v>2.0209999999999999</v>
      </c>
      <c r="DU24" s="485">
        <f>4.113-2.021</f>
        <v>2.0920000000000005</v>
      </c>
      <c r="DV24" s="485">
        <f>6.365-4.113</f>
        <v>2.2519999999999998</v>
      </c>
      <c r="DW24" s="485">
        <f>6.168-6.365</f>
        <v>-0.19700000000000006</v>
      </c>
      <c r="DX24" s="485">
        <f t="shared" si="2"/>
        <v>6.1680000000000001</v>
      </c>
      <c r="DY24" s="485"/>
      <c r="DZ24" s="485">
        <f>1.862</f>
        <v>1.8620000000000001</v>
      </c>
      <c r="EA24" s="485">
        <f>3.75-1.862</f>
        <v>1.8879999999999999</v>
      </c>
      <c r="EB24" s="485">
        <f>6.167-3.75</f>
        <v>2.4169999999999998</v>
      </c>
      <c r="EC24" s="485">
        <f>8.716-6.167</f>
        <v>2.5489999999999995</v>
      </c>
      <c r="ED24" s="485">
        <f t="shared" si="3"/>
        <v>8.7159999999999993</v>
      </c>
      <c r="EE24" s="485"/>
      <c r="EF24" s="485">
        <f>2.653</f>
        <v>2.653</v>
      </c>
      <c r="EG24" s="485">
        <f>4.989-2.653</f>
        <v>2.3359999999999999</v>
      </c>
      <c r="EH24" s="485">
        <f>7.375-4.989</f>
        <v>2.3860000000000001</v>
      </c>
      <c r="EI24" s="485">
        <f>9.775-7.375</f>
        <v>2.4000000000000004</v>
      </c>
      <c r="EJ24" s="485">
        <f t="shared" si="4"/>
        <v>9.7750000000000004</v>
      </c>
      <c r="EK24" s="485"/>
      <c r="EL24" s="485">
        <f>2.33</f>
        <v>2.33</v>
      </c>
      <c r="EM24" s="485">
        <f>4.648-2.33</f>
        <v>2.3179999999999996</v>
      </c>
      <c r="EN24" s="485">
        <f>6.86-4.648</f>
        <v>2.2120000000000006</v>
      </c>
      <c r="EO24" s="485">
        <f>9.235-6.86</f>
        <v>2.3749999999999991</v>
      </c>
      <c r="EP24" s="485">
        <f t="shared" si="5"/>
        <v>9.2349999999999994</v>
      </c>
      <c r="EQ24" s="485"/>
      <c r="ER24" s="485">
        <v>2.4009999999999998</v>
      </c>
      <c r="ES24" s="485">
        <f>4.793-ER24</f>
        <v>2.3920000000000003</v>
      </c>
      <c r="ET24" s="485">
        <f>7.022-ES24-ER24</f>
        <v>2.2290000000000001</v>
      </c>
      <c r="EU24" s="485">
        <f>8.926-SUM(ER24:ET24)</f>
        <v>1.9039999999999999</v>
      </c>
      <c r="EV24" s="485">
        <f t="shared" si="6"/>
        <v>8.9260000000000002</v>
      </c>
      <c r="EW24" s="485"/>
      <c r="EX24" s="485">
        <v>1.5840000000000001</v>
      </c>
      <c r="EY24" s="485">
        <f>3.353-EX24</f>
        <v>1.7690000000000001</v>
      </c>
      <c r="EZ24" s="485">
        <f>5.039-EY24-EX24</f>
        <v>1.6859999999999995</v>
      </c>
      <c r="FA24" s="557">
        <v>0</v>
      </c>
      <c r="FB24" s="485">
        <f t="shared" si="7"/>
        <v>5.0389999999999997</v>
      </c>
      <c r="FC24" s="485"/>
      <c r="FD24" s="557">
        <v>0</v>
      </c>
      <c r="FE24" s="485">
        <v>0</v>
      </c>
      <c r="FF24" s="485">
        <v>0</v>
      </c>
      <c r="FG24" s="485">
        <v>0</v>
      </c>
      <c r="FH24" s="485">
        <f t="shared" si="8"/>
        <v>0</v>
      </c>
      <c r="FI24" s="485"/>
      <c r="FJ24" s="485">
        <v>0</v>
      </c>
      <c r="FK24" s="485">
        <v>0</v>
      </c>
      <c r="FL24" s="485">
        <v>0</v>
      </c>
      <c r="FM24" s="485">
        <v>0</v>
      </c>
      <c r="FN24" s="485">
        <f t="shared" si="9"/>
        <v>0</v>
      </c>
      <c r="FO24" s="485"/>
      <c r="FP24" s="485">
        <v>0</v>
      </c>
      <c r="FQ24" s="485">
        <v>0</v>
      </c>
      <c r="FR24" s="485">
        <v>0</v>
      </c>
      <c r="FS24" s="485">
        <v>0</v>
      </c>
      <c r="FT24" s="485">
        <f t="shared" si="10"/>
        <v>0</v>
      </c>
      <c r="FU24" s="485"/>
      <c r="FV24" s="485">
        <v>0</v>
      </c>
      <c r="FW24" s="485">
        <v>0</v>
      </c>
      <c r="FX24" s="485">
        <v>0</v>
      </c>
      <c r="FY24" s="485">
        <v>0</v>
      </c>
      <c r="FZ24" s="485">
        <f t="shared" si="11"/>
        <v>0</v>
      </c>
      <c r="GA24" s="485"/>
      <c r="GB24" s="485">
        <v>0</v>
      </c>
      <c r="GC24" s="485">
        <v>0</v>
      </c>
      <c r="GD24" s="485">
        <v>0</v>
      </c>
      <c r="GE24" s="485">
        <v>0</v>
      </c>
      <c r="GF24" s="485">
        <f t="shared" si="12"/>
        <v>0</v>
      </c>
      <c r="GG24" s="485"/>
      <c r="GH24" s="485">
        <v>0</v>
      </c>
      <c r="GI24" s="485">
        <v>0</v>
      </c>
      <c r="GJ24" s="485">
        <v>0</v>
      </c>
      <c r="GK24" s="485">
        <v>0</v>
      </c>
      <c r="GL24" s="485">
        <f t="shared" si="13"/>
        <v>0</v>
      </c>
      <c r="GM24" s="485"/>
      <c r="GN24" s="485">
        <v>0</v>
      </c>
      <c r="GO24" s="485">
        <v>0</v>
      </c>
      <c r="GP24" s="485">
        <v>0</v>
      </c>
      <c r="GQ24" s="485">
        <v>0</v>
      </c>
      <c r="GR24" s="485">
        <f t="shared" si="14"/>
        <v>0</v>
      </c>
      <c r="GS24" s="485"/>
      <c r="GT24" s="485">
        <v>0</v>
      </c>
      <c r="GU24" s="485">
        <v>0</v>
      </c>
      <c r="GV24" s="485">
        <v>0</v>
      </c>
      <c r="GW24" s="485">
        <v>0</v>
      </c>
      <c r="GX24" s="485">
        <f t="shared" si="15"/>
        <v>0</v>
      </c>
      <c r="GY24" s="485"/>
      <c r="GZ24" s="485">
        <v>0</v>
      </c>
      <c r="HA24" s="485">
        <v>0</v>
      </c>
      <c r="HB24" s="485">
        <v>0</v>
      </c>
      <c r="HC24" s="485">
        <v>0</v>
      </c>
      <c r="HD24" s="485">
        <f t="shared" si="16"/>
        <v>0</v>
      </c>
      <c r="HE24" s="485"/>
      <c r="HF24" s="485">
        <v>0</v>
      </c>
      <c r="HG24" s="485">
        <v>0</v>
      </c>
      <c r="HH24" s="485">
        <v>0</v>
      </c>
      <c r="HI24" s="485">
        <v>0</v>
      </c>
      <c r="HJ24" s="485">
        <f t="shared" si="17"/>
        <v>0</v>
      </c>
      <c r="HK24" s="485"/>
      <c r="HL24" s="485"/>
      <c r="HM24" s="485"/>
      <c r="HN24" s="485"/>
      <c r="HO24" s="485"/>
      <c r="HP24" s="485"/>
      <c r="HQ24" s="485"/>
    </row>
    <row r="25" spans="1:225" ht="12.95" customHeight="1" outlineLevel="1">
      <c r="A25" s="30"/>
      <c r="B25" s="30" t="s">
        <v>509</v>
      </c>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118"/>
      <c r="BT25" s="118"/>
      <c r="BU25" s="30"/>
      <c r="BV25" s="30"/>
      <c r="BW25" s="30"/>
      <c r="BX25" s="118"/>
      <c r="BY25" s="30"/>
      <c r="BZ25" s="30"/>
      <c r="CA25" s="30"/>
      <c r="CB25" s="30"/>
      <c r="CC25" s="30"/>
      <c r="CD25" s="118"/>
      <c r="CE25" s="118"/>
      <c r="CF25" s="118"/>
      <c r="CG25" s="30"/>
      <c r="CH25" s="30"/>
      <c r="CI25" s="30"/>
      <c r="CJ25" s="30"/>
      <c r="CK25" s="118"/>
      <c r="CL25" s="118"/>
      <c r="CM25" s="30"/>
      <c r="CN25" s="30"/>
      <c r="CO25" s="30"/>
      <c r="CP25" s="30"/>
      <c r="CQ25" s="30"/>
      <c r="CR25" s="30"/>
      <c r="CS25" s="30"/>
      <c r="CT25" s="30"/>
      <c r="CU25" s="30"/>
      <c r="CV25" s="30"/>
      <c r="CW25" s="30"/>
      <c r="CX25" s="30"/>
      <c r="CY25" s="30"/>
      <c r="CZ25" s="30"/>
      <c r="DA25" s="30"/>
      <c r="DB25" s="30"/>
      <c r="DC25" s="30"/>
      <c r="DD25" s="30"/>
      <c r="DE25" s="30"/>
      <c r="DF25" s="30"/>
      <c r="DG25" s="30"/>
      <c r="DH25" s="485">
        <f>-0.007</f>
        <v>-7.0000000000000001E-3</v>
      </c>
      <c r="DI25" s="485">
        <f>0--0.007</f>
        <v>7.0000000000000001E-3</v>
      </c>
      <c r="DJ25" s="485"/>
      <c r="DK25" s="485"/>
      <c r="DL25" s="485">
        <f t="shared" si="0"/>
        <v>0</v>
      </c>
      <c r="DM25" s="485"/>
      <c r="DN25" s="485">
        <f>0</f>
        <v>0</v>
      </c>
      <c r="DO25" s="485">
        <f>0-0</f>
        <v>0</v>
      </c>
      <c r="DP25" s="485">
        <f>0-0</f>
        <v>0</v>
      </c>
      <c r="DQ25" s="485">
        <f>0-0</f>
        <v>0</v>
      </c>
      <c r="DR25" s="485">
        <f t="shared" si="1"/>
        <v>0</v>
      </c>
      <c r="DS25" s="485"/>
      <c r="DT25" s="485">
        <f>0</f>
        <v>0</v>
      </c>
      <c r="DU25" s="485">
        <f>0-0</f>
        <v>0</v>
      </c>
      <c r="DV25" s="485">
        <f>0-0</f>
        <v>0</v>
      </c>
      <c r="DW25" s="485">
        <f>0-0</f>
        <v>0</v>
      </c>
      <c r="DX25" s="485">
        <f t="shared" si="2"/>
        <v>0</v>
      </c>
      <c r="DY25" s="485"/>
      <c r="DZ25" s="485">
        <f>0</f>
        <v>0</v>
      </c>
      <c r="EA25" s="485">
        <f>0-0</f>
        <v>0</v>
      </c>
      <c r="EB25" s="485">
        <f>0-0</f>
        <v>0</v>
      </c>
      <c r="EC25" s="485">
        <f>0-0</f>
        <v>0</v>
      </c>
      <c r="ED25" s="485">
        <f t="shared" si="3"/>
        <v>0</v>
      </c>
      <c r="EE25" s="485"/>
      <c r="EF25" s="485">
        <f>-2.048</f>
        <v>-2.048</v>
      </c>
      <c r="EG25" s="485">
        <f>-2.048--2.048</f>
        <v>0</v>
      </c>
      <c r="EH25" s="485">
        <f>-2.048--2.048</f>
        <v>0</v>
      </c>
      <c r="EI25" s="485">
        <f>-2.048--2.048</f>
        <v>0</v>
      </c>
      <c r="EJ25" s="485">
        <f t="shared" si="4"/>
        <v>-2.048</v>
      </c>
      <c r="EK25" s="485"/>
      <c r="EL25" s="485">
        <f>0</f>
        <v>0</v>
      </c>
      <c r="EM25" s="485">
        <f>0-0</f>
        <v>0</v>
      </c>
      <c r="EN25" s="485">
        <f>0-0</f>
        <v>0</v>
      </c>
      <c r="EO25" s="485">
        <f>0-0</f>
        <v>0</v>
      </c>
      <c r="EP25" s="485">
        <f t="shared" si="5"/>
        <v>0</v>
      </c>
      <c r="EQ25" s="485"/>
      <c r="ER25" s="485">
        <v>0</v>
      </c>
      <c r="ES25" s="485">
        <v>0</v>
      </c>
      <c r="ET25" s="485">
        <v>0</v>
      </c>
      <c r="EU25" s="485">
        <f>0-SUM(ER25:ET25)</f>
        <v>0</v>
      </c>
      <c r="EV25" s="485">
        <f t="shared" si="6"/>
        <v>0</v>
      </c>
      <c r="EW25" s="485"/>
      <c r="EX25" s="485">
        <v>0</v>
      </c>
      <c r="EY25" s="485">
        <v>0</v>
      </c>
      <c r="EZ25" s="485">
        <v>0</v>
      </c>
      <c r="FA25" s="557">
        <v>0</v>
      </c>
      <c r="FB25" s="485">
        <f t="shared" si="7"/>
        <v>0</v>
      </c>
      <c r="FC25" s="485"/>
      <c r="FD25" s="557">
        <v>0</v>
      </c>
      <c r="FE25" s="485">
        <v>0</v>
      </c>
      <c r="FF25" s="485">
        <v>0</v>
      </c>
      <c r="FG25" s="485">
        <v>0</v>
      </c>
      <c r="FH25" s="485">
        <f t="shared" si="8"/>
        <v>0</v>
      </c>
      <c r="FI25" s="485"/>
      <c r="FJ25" s="485">
        <v>0</v>
      </c>
      <c r="FK25" s="485">
        <v>0</v>
      </c>
      <c r="FL25" s="485">
        <v>0</v>
      </c>
      <c r="FM25" s="485">
        <v>0</v>
      </c>
      <c r="FN25" s="485">
        <f t="shared" si="9"/>
        <v>0</v>
      </c>
      <c r="FO25" s="485"/>
      <c r="FP25" s="485">
        <v>0</v>
      </c>
      <c r="FQ25" s="485">
        <v>0</v>
      </c>
      <c r="FR25" s="485">
        <v>0</v>
      </c>
      <c r="FS25" s="485">
        <v>0</v>
      </c>
      <c r="FT25" s="485">
        <f t="shared" si="10"/>
        <v>0</v>
      </c>
      <c r="FU25" s="485"/>
      <c r="FV25" s="485">
        <v>0</v>
      </c>
      <c r="FW25" s="485">
        <v>0</v>
      </c>
      <c r="FX25" s="485">
        <v>0</v>
      </c>
      <c r="FY25" s="485">
        <v>0</v>
      </c>
      <c r="FZ25" s="485">
        <f t="shared" si="11"/>
        <v>0</v>
      </c>
      <c r="GA25" s="485"/>
      <c r="GB25" s="485">
        <v>0</v>
      </c>
      <c r="GC25" s="485">
        <v>0</v>
      </c>
      <c r="GD25" s="485">
        <v>0</v>
      </c>
      <c r="GE25" s="485">
        <v>0</v>
      </c>
      <c r="GF25" s="485">
        <f t="shared" si="12"/>
        <v>0</v>
      </c>
      <c r="GG25" s="485"/>
      <c r="GH25" s="485">
        <v>0</v>
      </c>
      <c r="GI25" s="485">
        <v>0</v>
      </c>
      <c r="GJ25" s="485">
        <v>0</v>
      </c>
      <c r="GK25" s="485">
        <v>0</v>
      </c>
      <c r="GL25" s="485">
        <f t="shared" si="13"/>
        <v>0</v>
      </c>
      <c r="GM25" s="485"/>
      <c r="GN25" s="485">
        <v>0</v>
      </c>
      <c r="GO25" s="485">
        <v>0</v>
      </c>
      <c r="GP25" s="485">
        <v>0</v>
      </c>
      <c r="GQ25" s="485">
        <v>0</v>
      </c>
      <c r="GR25" s="485">
        <f t="shared" si="14"/>
        <v>0</v>
      </c>
      <c r="GS25" s="485"/>
      <c r="GT25" s="485">
        <v>0</v>
      </c>
      <c r="GU25" s="485">
        <v>0</v>
      </c>
      <c r="GV25" s="485">
        <v>0</v>
      </c>
      <c r="GW25" s="485">
        <v>0</v>
      </c>
      <c r="GX25" s="485">
        <f t="shared" si="15"/>
        <v>0</v>
      </c>
      <c r="GY25" s="485"/>
      <c r="GZ25" s="485">
        <v>0</v>
      </c>
      <c r="HA25" s="485">
        <v>0</v>
      </c>
      <c r="HB25" s="485">
        <v>0</v>
      </c>
      <c r="HC25" s="485">
        <v>0</v>
      </c>
      <c r="HD25" s="485">
        <f t="shared" si="16"/>
        <v>0</v>
      </c>
      <c r="HE25" s="485"/>
      <c r="HF25" s="485">
        <v>0</v>
      </c>
      <c r="HG25" s="485">
        <v>0</v>
      </c>
      <c r="HH25" s="485">
        <v>0</v>
      </c>
      <c r="HI25" s="485">
        <v>0</v>
      </c>
      <c r="HJ25" s="485">
        <f t="shared" si="17"/>
        <v>0</v>
      </c>
      <c r="HK25" s="485"/>
      <c r="HL25" s="485"/>
      <c r="HM25" s="485"/>
      <c r="HN25" s="485"/>
      <c r="HO25" s="485"/>
      <c r="HP25" s="485"/>
      <c r="HQ25" s="485"/>
    </row>
    <row r="26" spans="1:225" ht="12.95" customHeight="1" outlineLevel="1">
      <c r="A26" s="30"/>
      <c r="B26" s="30" t="s">
        <v>504</v>
      </c>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118"/>
      <c r="BT26" s="118"/>
      <c r="BU26" s="30"/>
      <c r="BV26" s="30"/>
      <c r="BW26" s="30"/>
      <c r="BX26" s="118"/>
      <c r="BY26" s="30"/>
      <c r="BZ26" s="30"/>
      <c r="CA26" s="30"/>
      <c r="CB26" s="30"/>
      <c r="CC26" s="30"/>
      <c r="CD26" s="118"/>
      <c r="CE26" s="118"/>
      <c r="CF26" s="118"/>
      <c r="CG26" s="30"/>
      <c r="CH26" s="30"/>
      <c r="CI26" s="30"/>
      <c r="CJ26" s="30"/>
      <c r="CK26" s="118"/>
      <c r="CL26" s="118"/>
      <c r="CM26" s="30"/>
      <c r="CN26" s="30"/>
      <c r="CO26" s="30"/>
      <c r="CP26" s="30"/>
      <c r="CQ26" s="30"/>
      <c r="CR26" s="30"/>
      <c r="CS26" s="30"/>
      <c r="CT26" s="30"/>
      <c r="CU26" s="30"/>
      <c r="CV26" s="30"/>
      <c r="CW26" s="30"/>
      <c r="CX26" s="30"/>
      <c r="CY26" s="30"/>
      <c r="CZ26" s="30"/>
      <c r="DA26" s="30"/>
      <c r="DB26" s="30"/>
      <c r="DC26" s="30"/>
      <c r="DD26" s="30"/>
      <c r="DE26" s="30"/>
      <c r="DF26" s="30"/>
      <c r="DG26" s="30"/>
      <c r="DH26" s="485"/>
      <c r="DI26" s="485"/>
      <c r="DJ26" s="485"/>
      <c r="DK26" s="485"/>
      <c r="DL26" s="485">
        <f t="shared" si="0"/>
        <v>0</v>
      </c>
      <c r="DM26" s="485"/>
      <c r="DN26" s="485">
        <f>0</f>
        <v>0</v>
      </c>
      <c r="DO26" s="485">
        <f>0-0</f>
        <v>0</v>
      </c>
      <c r="DP26" s="485">
        <f>0-0</f>
        <v>0</v>
      </c>
      <c r="DQ26" s="485">
        <f>0.472-0</f>
        <v>0.47199999999999998</v>
      </c>
      <c r="DR26" s="485">
        <f t="shared" si="1"/>
        <v>0.47199999999999998</v>
      </c>
      <c r="DS26" s="485"/>
      <c r="DT26" s="485">
        <f>0.017</f>
        <v>1.7000000000000001E-2</v>
      </c>
      <c r="DU26" s="485">
        <f>0.263-0.017</f>
        <v>0.246</v>
      </c>
      <c r="DV26" s="485">
        <f>0.371-0.263</f>
        <v>0.10799999999999998</v>
      </c>
      <c r="DW26" s="485">
        <f>1.46-0.371</f>
        <v>1.089</v>
      </c>
      <c r="DX26" s="485">
        <f t="shared" si="2"/>
        <v>1.46</v>
      </c>
      <c r="DY26" s="485"/>
      <c r="DZ26" s="485">
        <f>0.548</f>
        <v>0.54800000000000004</v>
      </c>
      <c r="EA26" s="485">
        <f>0.79-0.548</f>
        <v>0.24199999999999999</v>
      </c>
      <c r="EB26" s="485">
        <f>1.222-0.79</f>
        <v>0.43199999999999994</v>
      </c>
      <c r="EC26" s="485">
        <f>1.941-1.222</f>
        <v>0.71900000000000008</v>
      </c>
      <c r="ED26" s="485">
        <f t="shared" si="3"/>
        <v>1.9410000000000001</v>
      </c>
      <c r="EE26" s="485"/>
      <c r="EF26" s="485">
        <f>1.126</f>
        <v>1.1259999999999999</v>
      </c>
      <c r="EG26" s="485">
        <f>1.602-1.126</f>
        <v>0.4760000000000002</v>
      </c>
      <c r="EH26" s="485">
        <f>1.428-1.602</f>
        <v>-0.17400000000000015</v>
      </c>
      <c r="EI26" s="485">
        <f>1.714-1.428</f>
        <v>0.28600000000000003</v>
      </c>
      <c r="EJ26" s="485">
        <f t="shared" si="4"/>
        <v>1.714</v>
      </c>
      <c r="EK26" s="485"/>
      <c r="EL26" s="485">
        <f>-0.031</f>
        <v>-3.1E-2</v>
      </c>
      <c r="EM26" s="485">
        <f>1.665--0.031</f>
        <v>1.696</v>
      </c>
      <c r="EN26" s="485">
        <f>0.122-1.665</f>
        <v>-1.5430000000000001</v>
      </c>
      <c r="EO26" s="485">
        <f>0.186-0.122</f>
        <v>6.4000000000000001E-2</v>
      </c>
      <c r="EP26" s="485">
        <f t="shared" si="5"/>
        <v>0.18599999999999989</v>
      </c>
      <c r="EQ26" s="485"/>
      <c r="ER26" s="485">
        <v>-5.7000000000000002E-2</v>
      </c>
      <c r="ES26" s="485">
        <f>0.159-ER26</f>
        <v>0.216</v>
      </c>
      <c r="ET26" s="485">
        <f>0.141-ES26-ER26</f>
        <v>-1.8000000000000009E-2</v>
      </c>
      <c r="EU26" s="485">
        <f>0.178-ET26-ES26-ER26</f>
        <v>3.7000000000000012E-2</v>
      </c>
      <c r="EV26" s="485">
        <f t="shared" si="6"/>
        <v>0.17799999999999999</v>
      </c>
      <c r="EW26" s="485"/>
      <c r="EX26" s="485">
        <v>3.6999999999999998E-2</v>
      </c>
      <c r="EY26" s="485">
        <f>-0.34-EX26</f>
        <v>-0.377</v>
      </c>
      <c r="EZ26" s="485">
        <f>0.003-EY26-EX26</f>
        <v>0.34300000000000003</v>
      </c>
      <c r="FA26" s="557">
        <v>0</v>
      </c>
      <c r="FB26" s="485">
        <f>SUM(EX26:FA26)</f>
        <v>3.0000000000000027E-3</v>
      </c>
      <c r="FC26" s="485"/>
      <c r="FD26" s="557">
        <v>0</v>
      </c>
      <c r="FE26" s="485">
        <v>0</v>
      </c>
      <c r="FF26" s="485">
        <v>0</v>
      </c>
      <c r="FG26" s="485">
        <v>0</v>
      </c>
      <c r="FH26" s="485">
        <f>SUM(FD26:FG26)</f>
        <v>0</v>
      </c>
      <c r="FI26" s="485"/>
      <c r="FJ26" s="485">
        <v>0</v>
      </c>
      <c r="FK26" s="485">
        <v>0</v>
      </c>
      <c r="FL26" s="485">
        <v>0</v>
      </c>
      <c r="FM26" s="485">
        <v>0</v>
      </c>
      <c r="FN26" s="485">
        <f>SUM(FJ26:FM26)</f>
        <v>0</v>
      </c>
      <c r="FO26" s="485"/>
      <c r="FP26" s="485">
        <v>0</v>
      </c>
      <c r="FQ26" s="485">
        <v>0</v>
      </c>
      <c r="FR26" s="485">
        <v>0</v>
      </c>
      <c r="FS26" s="485">
        <v>0</v>
      </c>
      <c r="FT26" s="485">
        <f>SUM(FP26:FS26)</f>
        <v>0</v>
      </c>
      <c r="FU26" s="485"/>
      <c r="FV26" s="485">
        <v>0</v>
      </c>
      <c r="FW26" s="485">
        <v>0</v>
      </c>
      <c r="FX26" s="485">
        <v>0</v>
      </c>
      <c r="FY26" s="485">
        <v>0</v>
      </c>
      <c r="FZ26" s="485">
        <f>SUM(FV26:FY26)</f>
        <v>0</v>
      </c>
      <c r="GA26" s="485"/>
      <c r="GB26" s="485">
        <v>0</v>
      </c>
      <c r="GC26" s="485">
        <v>0</v>
      </c>
      <c r="GD26" s="485">
        <v>0</v>
      </c>
      <c r="GE26" s="485">
        <v>0</v>
      </c>
      <c r="GF26" s="485">
        <f>SUM(GB26:GE26)</f>
        <v>0</v>
      </c>
      <c r="GG26" s="485"/>
      <c r="GH26" s="485">
        <v>0</v>
      </c>
      <c r="GI26" s="485">
        <v>0</v>
      </c>
      <c r="GJ26" s="485">
        <v>0</v>
      </c>
      <c r="GK26" s="485">
        <v>0</v>
      </c>
      <c r="GL26" s="485">
        <f>SUM(GH26:GK26)</f>
        <v>0</v>
      </c>
      <c r="GM26" s="485"/>
      <c r="GN26" s="485">
        <v>0</v>
      </c>
      <c r="GO26" s="485">
        <v>0</v>
      </c>
      <c r="GP26" s="485">
        <v>0</v>
      </c>
      <c r="GQ26" s="485">
        <v>0</v>
      </c>
      <c r="GR26" s="485">
        <f>SUM(GN26:GQ26)</f>
        <v>0</v>
      </c>
      <c r="GS26" s="485"/>
      <c r="GT26" s="485">
        <v>0</v>
      </c>
      <c r="GU26" s="485">
        <v>0</v>
      </c>
      <c r="GV26" s="485">
        <v>0</v>
      </c>
      <c r="GW26" s="485">
        <v>0</v>
      </c>
      <c r="GX26" s="485">
        <f>SUM(GT26:GW26)</f>
        <v>0</v>
      </c>
      <c r="GY26" s="485"/>
      <c r="GZ26" s="485">
        <v>0</v>
      </c>
      <c r="HA26" s="485">
        <v>0</v>
      </c>
      <c r="HB26" s="485">
        <v>0</v>
      </c>
      <c r="HC26" s="485">
        <v>0</v>
      </c>
      <c r="HD26" s="485">
        <f>SUM(GZ26:HC26)</f>
        <v>0</v>
      </c>
      <c r="HE26" s="485"/>
      <c r="HF26" s="485">
        <v>0</v>
      </c>
      <c r="HG26" s="485">
        <v>0</v>
      </c>
      <c r="HH26" s="485">
        <v>0</v>
      </c>
      <c r="HI26" s="485">
        <v>0</v>
      </c>
      <c r="HJ26" s="485">
        <f>SUM(HF26:HI26)</f>
        <v>0</v>
      </c>
      <c r="HK26" s="485"/>
      <c r="HL26" s="485"/>
      <c r="HM26" s="485"/>
      <c r="HN26" s="485"/>
      <c r="HO26" s="485"/>
      <c r="HP26" s="485"/>
      <c r="HQ26" s="485"/>
    </row>
    <row r="27" spans="1:225" ht="12.95" customHeight="1" outlineLevel="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118"/>
      <c r="BT27" s="118"/>
      <c r="BU27" s="30"/>
      <c r="BV27" s="30"/>
      <c r="BW27" s="30"/>
      <c r="BX27" s="118"/>
      <c r="BY27" s="30"/>
      <c r="BZ27" s="30"/>
      <c r="CA27" s="30"/>
      <c r="CB27" s="30"/>
      <c r="CC27" s="30"/>
      <c r="CD27" s="118"/>
      <c r="CE27" s="118"/>
      <c r="CF27" s="118"/>
      <c r="CG27" s="30"/>
      <c r="CH27" s="30"/>
      <c r="CI27" s="30"/>
      <c r="CJ27" s="30"/>
      <c r="CK27" s="118"/>
      <c r="CL27" s="118"/>
      <c r="CM27" s="30"/>
      <c r="CN27" s="30"/>
      <c r="CO27" s="30"/>
      <c r="CP27" s="30"/>
      <c r="CQ27" s="30"/>
      <c r="CR27" s="30"/>
      <c r="CS27" s="30"/>
      <c r="CT27" s="30"/>
      <c r="CU27" s="30"/>
      <c r="CV27" s="30"/>
      <c r="CW27" s="30"/>
      <c r="CX27" s="30"/>
      <c r="CY27" s="30"/>
      <c r="CZ27" s="30"/>
      <c r="DA27" s="30"/>
      <c r="DB27" s="122"/>
      <c r="DC27" s="122"/>
      <c r="DD27" s="122"/>
      <c r="DE27" s="122"/>
      <c r="DF27" s="122"/>
      <c r="DG27" s="122"/>
      <c r="DH27" s="485"/>
      <c r="DI27" s="485"/>
      <c r="DJ27" s="485"/>
      <c r="DK27" s="485"/>
      <c r="DL27" s="485"/>
      <c r="DM27" s="485"/>
      <c r="DN27" s="485"/>
      <c r="DO27" s="485"/>
      <c r="DP27" s="485"/>
      <c r="DQ27" s="485"/>
      <c r="DR27" s="485"/>
      <c r="DS27" s="485"/>
      <c r="DT27" s="485"/>
      <c r="DU27" s="485"/>
      <c r="DV27" s="485"/>
      <c r="DW27" s="485"/>
      <c r="DX27" s="485"/>
      <c r="DY27" s="485"/>
      <c r="DZ27" s="485"/>
      <c r="EA27" s="485"/>
      <c r="EB27" s="485"/>
      <c r="EC27" s="485"/>
      <c r="ED27" s="485"/>
      <c r="EE27" s="485"/>
      <c r="EF27" s="485"/>
      <c r="EG27" s="485"/>
      <c r="EH27" s="485"/>
      <c r="EI27" s="485"/>
      <c r="EJ27" s="485"/>
      <c r="EK27" s="485"/>
      <c r="EL27" s="485"/>
      <c r="EM27" s="485"/>
      <c r="EN27" s="485"/>
      <c r="EO27" s="485"/>
      <c r="EP27" s="485"/>
      <c r="EQ27" s="485"/>
      <c r="ER27" s="485"/>
      <c r="ES27" s="485"/>
      <c r="ET27" s="485"/>
      <c r="EU27" s="485"/>
      <c r="EV27" s="485"/>
      <c r="EW27" s="485"/>
      <c r="EX27" s="485"/>
      <c r="EY27" s="485"/>
      <c r="EZ27" s="485"/>
      <c r="FA27" s="557"/>
      <c r="FB27" s="485"/>
      <c r="FC27" s="485"/>
      <c r="FD27" s="557"/>
      <c r="FE27" s="485"/>
      <c r="FF27" s="485"/>
      <c r="FG27" s="485"/>
      <c r="FH27" s="485"/>
      <c r="FI27" s="485"/>
      <c r="FJ27" s="485"/>
      <c r="FK27" s="485"/>
      <c r="FL27" s="485"/>
      <c r="FM27" s="485"/>
      <c r="FN27" s="485"/>
      <c r="FO27" s="485"/>
      <c r="FP27" s="485"/>
      <c r="FQ27" s="485"/>
      <c r="FR27" s="485"/>
      <c r="FS27" s="485"/>
      <c r="FT27" s="485"/>
      <c r="FU27" s="485"/>
      <c r="FV27" s="485"/>
      <c r="FW27" s="485"/>
      <c r="FX27" s="485"/>
      <c r="FY27" s="485"/>
      <c r="FZ27" s="485"/>
      <c r="GA27" s="485"/>
      <c r="GB27" s="485"/>
      <c r="GC27" s="485"/>
      <c r="GD27" s="485"/>
      <c r="GE27" s="485"/>
      <c r="GF27" s="485"/>
      <c r="GG27" s="485"/>
      <c r="GH27" s="485"/>
      <c r="GI27" s="485"/>
      <c r="GJ27" s="485"/>
      <c r="GK27" s="485"/>
      <c r="GL27" s="485"/>
      <c r="GM27" s="485"/>
      <c r="GN27" s="485"/>
      <c r="GO27" s="485"/>
      <c r="GP27" s="485"/>
      <c r="GQ27" s="485"/>
      <c r="GR27" s="485"/>
      <c r="GS27" s="485"/>
      <c r="GT27" s="485"/>
      <c r="GU27" s="485"/>
      <c r="GV27" s="485"/>
      <c r="GW27" s="485"/>
      <c r="GX27" s="485"/>
      <c r="GY27" s="485"/>
      <c r="GZ27" s="485"/>
      <c r="HA27" s="485"/>
      <c r="HB27" s="485"/>
      <c r="HC27" s="485"/>
      <c r="HD27" s="485"/>
      <c r="HE27" s="485"/>
      <c r="HF27" s="485"/>
      <c r="HG27" s="485"/>
      <c r="HH27" s="485"/>
      <c r="HI27" s="485"/>
      <c r="HJ27" s="485"/>
      <c r="HK27" s="485"/>
      <c r="HL27" s="485"/>
      <c r="HM27" s="485"/>
      <c r="HN27" s="485"/>
      <c r="HO27" s="485"/>
      <c r="HP27" s="485"/>
      <c r="HQ27" s="485"/>
    </row>
    <row r="28" spans="1:225">
      <c r="A28" s="30" t="s">
        <v>88</v>
      </c>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107"/>
      <c r="BM28" s="107"/>
      <c r="BN28" s="107"/>
      <c r="BO28" s="30"/>
      <c r="BP28" s="30"/>
      <c r="BQ28" s="30"/>
      <c r="BR28" s="30"/>
      <c r="BS28" s="118"/>
      <c r="BT28" s="118"/>
      <c r="BU28" s="30"/>
      <c r="BV28" s="30"/>
      <c r="BW28" s="30"/>
      <c r="BX28" s="118"/>
      <c r="BY28" s="30"/>
      <c r="BZ28" s="30"/>
      <c r="CA28" s="30"/>
      <c r="CB28" s="30"/>
      <c r="CC28" s="30"/>
      <c r="CD28" s="118"/>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485"/>
      <c r="DI28" s="485"/>
      <c r="DJ28" s="485"/>
      <c r="DK28" s="485"/>
      <c r="DL28" s="485"/>
      <c r="DM28" s="485"/>
      <c r="DN28" s="485"/>
      <c r="DO28" s="485"/>
      <c r="DP28" s="485"/>
      <c r="DQ28" s="485"/>
      <c r="DR28" s="485"/>
      <c r="DS28" s="485"/>
      <c r="DT28" s="485"/>
      <c r="DU28" s="485"/>
      <c r="DV28" s="485"/>
      <c r="DW28" s="485"/>
      <c r="DX28" s="485"/>
      <c r="DY28" s="485"/>
      <c r="DZ28" s="485"/>
      <c r="EA28" s="485"/>
      <c r="EB28" s="485"/>
      <c r="EC28" s="485"/>
      <c r="ED28" s="485"/>
      <c r="EE28" s="485"/>
      <c r="EF28" s="485"/>
      <c r="EG28" s="485"/>
      <c r="EH28" s="485"/>
      <c r="EI28" s="485"/>
      <c r="EJ28" s="485"/>
      <c r="EK28" s="485"/>
      <c r="EL28" s="485"/>
      <c r="EM28" s="485"/>
      <c r="EN28" s="485"/>
      <c r="EO28" s="485"/>
      <c r="EP28" s="485"/>
      <c r="EQ28" s="485"/>
      <c r="ER28" s="485"/>
      <c r="ES28" s="485"/>
      <c r="ET28" s="485"/>
      <c r="EU28" s="485"/>
      <c r="EV28" s="485"/>
      <c r="EW28" s="485"/>
      <c r="EX28" s="485"/>
      <c r="EY28" s="485"/>
      <c r="EZ28" s="485"/>
      <c r="FA28" s="557"/>
      <c r="FB28" s="485"/>
      <c r="FC28" s="485"/>
      <c r="FD28" s="557"/>
      <c r="FE28" s="485"/>
      <c r="FF28" s="485"/>
      <c r="FG28" s="485"/>
      <c r="FH28" s="485"/>
      <c r="FI28" s="485"/>
      <c r="FJ28" s="485"/>
      <c r="FK28" s="485"/>
      <c r="FL28" s="485"/>
      <c r="FM28" s="485"/>
      <c r="FN28" s="485"/>
      <c r="FO28" s="485"/>
      <c r="FP28" s="485"/>
      <c r="FQ28" s="485"/>
      <c r="FR28" s="485"/>
      <c r="FS28" s="485"/>
      <c r="FT28" s="485"/>
      <c r="FU28" s="485"/>
      <c r="FV28" s="485"/>
      <c r="FW28" s="485"/>
      <c r="FX28" s="485"/>
      <c r="FY28" s="485"/>
      <c r="FZ28" s="485"/>
      <c r="GA28" s="485"/>
      <c r="GB28" s="485"/>
      <c r="GC28" s="485"/>
      <c r="GD28" s="485"/>
      <c r="GE28" s="485"/>
      <c r="GF28" s="485"/>
      <c r="GG28" s="485"/>
      <c r="GH28" s="485"/>
      <c r="GI28" s="485"/>
      <c r="GJ28" s="485"/>
      <c r="GK28" s="485"/>
      <c r="GL28" s="485"/>
      <c r="GM28" s="485"/>
      <c r="GN28" s="485"/>
      <c r="GO28" s="485"/>
      <c r="GP28" s="485"/>
      <c r="GQ28" s="485"/>
      <c r="GR28" s="485"/>
      <c r="GS28" s="485"/>
      <c r="GT28" s="485"/>
      <c r="GU28" s="485"/>
      <c r="GV28" s="485"/>
      <c r="GW28" s="485"/>
      <c r="GX28" s="485"/>
      <c r="GY28" s="485"/>
      <c r="GZ28" s="485"/>
      <c r="HA28" s="485"/>
      <c r="HB28" s="485"/>
      <c r="HC28" s="485"/>
      <c r="HD28" s="485"/>
      <c r="HE28" s="485"/>
      <c r="HF28" s="485"/>
      <c r="HG28" s="485"/>
      <c r="HH28" s="485"/>
      <c r="HI28" s="485"/>
      <c r="HJ28" s="485"/>
      <c r="HK28" s="485"/>
      <c r="HL28" s="485"/>
      <c r="HM28" s="485"/>
      <c r="HN28" s="485"/>
      <c r="HO28" s="485"/>
      <c r="HP28" s="485"/>
      <c r="HQ28" s="485"/>
    </row>
    <row r="29" spans="1:225">
      <c r="A29" s="30"/>
      <c r="B29" s="30" t="s">
        <v>89</v>
      </c>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118"/>
      <c r="BT29" s="118"/>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485">
        <f>2.299</f>
        <v>2.2989999999999999</v>
      </c>
      <c r="DI29" s="485">
        <f>-0.338-2.299</f>
        <v>-2.637</v>
      </c>
      <c r="DJ29" s="485">
        <f>-2.267--0.338</f>
        <v>-1.9289999999999998</v>
      </c>
      <c r="DK29" s="485">
        <f>0.209--2.267</f>
        <v>2.476</v>
      </c>
      <c r="DL29" s="485">
        <f t="shared" ref="DL29:DL34" si="23">SUM(DH29:DK29)</f>
        <v>0.20900000000000007</v>
      </c>
      <c r="DM29" s="485"/>
      <c r="DN29" s="485">
        <f>-5.795</f>
        <v>-5.7949999999999999</v>
      </c>
      <c r="DO29" s="485">
        <f>-13.178--5.795</f>
        <v>-7.3830000000000009</v>
      </c>
      <c r="DP29" s="485">
        <f>-14.219--13.178</f>
        <v>-1.0409999999999986</v>
      </c>
      <c r="DQ29" s="485">
        <f>-17.301--14.219</f>
        <v>-3.081999999999999</v>
      </c>
      <c r="DR29" s="485">
        <f t="shared" ref="DR29:DR34" si="24">SUM(DN29:DQ29)</f>
        <v>-17.300999999999998</v>
      </c>
      <c r="DS29" s="485"/>
      <c r="DT29" s="485">
        <f>-5.722</f>
        <v>-5.7220000000000004</v>
      </c>
      <c r="DU29" s="485">
        <f>6.498--5.722</f>
        <v>12.22</v>
      </c>
      <c r="DV29" s="485">
        <f>-9.455-6.498</f>
        <v>-15.952999999999999</v>
      </c>
      <c r="DW29" s="485">
        <f>-12.601--9.455</f>
        <v>-3.1460000000000008</v>
      </c>
      <c r="DX29" s="485">
        <f t="shared" ref="DX29:DX35" si="25">SUM(DT29:DW29)</f>
        <v>-12.600999999999999</v>
      </c>
      <c r="DY29" s="485"/>
      <c r="DZ29" s="485">
        <f>3.921</f>
        <v>3.9209999999999998</v>
      </c>
      <c r="EA29" s="485">
        <f>1.155-3.921</f>
        <v>-2.766</v>
      </c>
      <c r="EB29" s="485">
        <f>2.475-1.155</f>
        <v>1.32</v>
      </c>
      <c r="EC29" s="485">
        <f>-4.691-2.475</f>
        <v>-7.1660000000000004</v>
      </c>
      <c r="ED29" s="485">
        <f t="shared" ref="ED29:ED35" si="26">SUM(DZ29:EC29)</f>
        <v>-4.6910000000000007</v>
      </c>
      <c r="EE29" s="485"/>
      <c r="EF29" s="485">
        <f>1.334</f>
        <v>1.3340000000000001</v>
      </c>
      <c r="EG29" s="485">
        <f>0.854-1.334</f>
        <v>-0.48000000000000009</v>
      </c>
      <c r="EH29" s="485">
        <f>0.136-0.854</f>
        <v>-0.71799999999999997</v>
      </c>
      <c r="EI29" s="485">
        <f>-7.581-0.136</f>
        <v>-7.7170000000000005</v>
      </c>
      <c r="EJ29" s="485">
        <f t="shared" ref="EJ29:EJ35" si="27">SUM(EF29:EI29)</f>
        <v>-7.5810000000000004</v>
      </c>
      <c r="EK29" s="485"/>
      <c r="EL29" s="485">
        <f>0.87</f>
        <v>0.87</v>
      </c>
      <c r="EM29" s="485">
        <f>-5.713-0.87</f>
        <v>-6.5830000000000002</v>
      </c>
      <c r="EN29" s="485">
        <f>-12.928--5.713</f>
        <v>-7.2150000000000007</v>
      </c>
      <c r="EO29" s="485">
        <f>-11.516--12.928</f>
        <v>1.4120000000000008</v>
      </c>
      <c r="EP29" s="485">
        <f t="shared" ref="EP29:EP35" si="28">SUM(EL29:EO29)</f>
        <v>-11.516</v>
      </c>
      <c r="EQ29" s="485"/>
      <c r="ER29" s="485">
        <v>-9.0519999999999996</v>
      </c>
      <c r="ES29" s="485">
        <f>-15.353-ER29</f>
        <v>-6.3010000000000002</v>
      </c>
      <c r="ET29" s="485">
        <f>-20.201-ES29-ER29</f>
        <v>-4.8480000000000008</v>
      </c>
      <c r="EU29" s="485">
        <f>-19.313-SUM(ER29:ET29)</f>
        <v>0.88800000000000168</v>
      </c>
      <c r="EV29" s="485">
        <f t="shared" ref="EV29:EV35" si="29">SUM(ER29:EU29)</f>
        <v>-19.312999999999999</v>
      </c>
      <c r="EW29" s="485"/>
      <c r="EX29" s="485">
        <v>-0.66800000000000004</v>
      </c>
      <c r="EY29" s="485">
        <f>0.397-EX29</f>
        <v>1.0649999999999999</v>
      </c>
      <c r="EZ29" s="485">
        <f>-1.971-EY29-EX29</f>
        <v>-2.3679999999999999</v>
      </c>
      <c r="FA29" s="557">
        <f>BS!EZ14-BS!FA14</f>
        <v>5.9828701496828955</v>
      </c>
      <c r="FB29" s="485">
        <f t="shared" ref="FB29:FB35" si="30">SUM(EX29:FA29)</f>
        <v>4.0118701496828955</v>
      </c>
      <c r="FC29" s="485"/>
      <c r="FD29" s="557">
        <f>BS!FA14-BS!FD14</f>
        <v>-3.4050981939167571</v>
      </c>
      <c r="FE29" s="485">
        <f>BS!FD14-BS!FE14</f>
        <v>-3.0260486485741467</v>
      </c>
      <c r="FF29" s="485">
        <f>BS!FE14-BS!FF14</f>
        <v>-3.6508267991285663</v>
      </c>
      <c r="FG29" s="485">
        <f>BS!FF14-BS!FG14</f>
        <v>-4.2946300071402561</v>
      </c>
      <c r="FH29" s="485">
        <f t="shared" ref="FH29:FH35" si="31">SUM(FD29:FG29)</f>
        <v>-14.376603648759726</v>
      </c>
      <c r="FI29" s="485"/>
      <c r="FJ29" s="485">
        <f>BS!FG14-BS!FJ14</f>
        <v>-1.4633256514334789</v>
      </c>
      <c r="FK29" s="485">
        <f>BS!FJ14-BS!FK14</f>
        <v>-3.8846514387584818</v>
      </c>
      <c r="FL29" s="485">
        <f>BS!FK14-BS!FL14</f>
        <v>-4.0734307816518651</v>
      </c>
      <c r="FM29" s="485">
        <f>BS!FL14-BS!FM14</f>
        <v>-4.1852422197114549</v>
      </c>
      <c r="FN29" s="485">
        <f t="shared" ref="FN29:FN35" si="32">SUM(FJ29:FM29)</f>
        <v>-13.606650091555281</v>
      </c>
      <c r="FO29" s="485"/>
      <c r="FP29" s="485">
        <f>BS!FM14-BS!FP14</f>
        <v>-1.5593132445693243</v>
      </c>
      <c r="FQ29" s="485">
        <f>BS!FP14-BS!FQ14</f>
        <v>-4.2148746665349393</v>
      </c>
      <c r="FR29" s="485">
        <f>BS!FQ14-BS!FR14</f>
        <v>-4.4197195819754711</v>
      </c>
      <c r="FS29" s="485">
        <f>BS!FR14-BS!FS14</f>
        <v>-4.5411721370134899</v>
      </c>
      <c r="FT29" s="485">
        <f t="shared" ref="FT29:FT35" si="33">SUM(FP29:FS29)</f>
        <v>-14.735079630093225</v>
      </c>
      <c r="FU29" s="485"/>
      <c r="FV29" s="485">
        <f>BS!FS14-BS!FV14</f>
        <v>-1.4419453558555517</v>
      </c>
      <c r="FW29" s="485">
        <f>BS!FV14-BS!FW14</f>
        <v>-4.3297748566395171</v>
      </c>
      <c r="FX29" s="485">
        <f>BS!FW14-BS!FX14</f>
        <v>-4.5398597775266865</v>
      </c>
      <c r="FY29" s="485">
        <f>BS!FX14-BS!FY14</f>
        <v>-4.6620337185148628</v>
      </c>
      <c r="FZ29" s="485">
        <f t="shared" ref="FZ29:FZ35" si="34">SUM(FV29:FY29)</f>
        <v>-14.973613708536618</v>
      </c>
      <c r="GA29" s="485"/>
      <c r="GB29" s="485">
        <f>BS!FY14-BS!GB14</f>
        <v>-1.2778479154783327</v>
      </c>
      <c r="GC29" s="485">
        <f>BS!GB14-BS!GC14</f>
        <v>-4.4154948678855135</v>
      </c>
      <c r="GD29" s="485">
        <f>BS!GC14-BS!GD14</f>
        <v>-4.6297390077569673</v>
      </c>
      <c r="GE29" s="485">
        <f>BS!GD14-BS!GE14</f>
        <v>-4.7543317238413465</v>
      </c>
      <c r="GF29" s="485">
        <f t="shared" ref="GF29:GF35" si="35">SUM(GB29:GE29)</f>
        <v>-15.07741351496216</v>
      </c>
      <c r="GG29" s="485"/>
      <c r="GH29" s="485">
        <f>BS!GE14-BS!GH14</f>
        <v>-0.9717766903122822</v>
      </c>
      <c r="GI29" s="485">
        <f>BS!GH14-BS!GI14</f>
        <v>-4.3592537044676192</v>
      </c>
      <c r="GJ29" s="485">
        <f>BS!GI14-BS!GJ14</f>
        <v>-4.5707689679520058</v>
      </c>
      <c r="GK29" s="485">
        <f>BS!GJ14-BS!GK14</f>
        <v>-4.6937747182452938</v>
      </c>
      <c r="GL29" s="485">
        <f t="shared" ref="GL29:GL35" si="36">SUM(GH29:GK29)</f>
        <v>-14.595574080977201</v>
      </c>
      <c r="GM29" s="485"/>
      <c r="GN29" s="485">
        <f>BS!GK14-BS!GN14</f>
        <v>-0.71705765830500923</v>
      </c>
      <c r="GO29" s="485">
        <f>BS!GN14-BS!GO14</f>
        <v>-4.3579463594650178</v>
      </c>
      <c r="GP29" s="485">
        <f>BS!GO14-BS!GP14</f>
        <v>-4.5693981892882221</v>
      </c>
      <c r="GQ29" s="485">
        <f>BS!GP14-BS!GQ14</f>
        <v>-4.6923670500211472</v>
      </c>
      <c r="GR29" s="485">
        <f t="shared" ref="GR29:GR35" si="37">SUM(GN29:GQ29)</f>
        <v>-14.336769257079396</v>
      </c>
      <c r="GS29" s="485"/>
      <c r="GT29" s="485">
        <f>BS!GQ14-BS!GT14</f>
        <v>-0.42123422667899035</v>
      </c>
      <c r="GU29" s="485">
        <f>BS!GT14-BS!GU14</f>
        <v>-4.316790364006863</v>
      </c>
      <c r="GV29" s="485">
        <f>BS!GU14-BS!GV14</f>
        <v>-4.5262452645816893</v>
      </c>
      <c r="GW29" s="485">
        <f>BS!GV14-BS!GW14</f>
        <v>-4.6480528200904132</v>
      </c>
      <c r="GX29" s="485">
        <f t="shared" ref="GX29:GX35" si="38">SUM(GT29:GW29)</f>
        <v>-13.912322675357956</v>
      </c>
      <c r="GY29" s="485"/>
      <c r="GZ29" s="485">
        <f>BS!GW14-BS!GZ14</f>
        <v>-8.5002815320763148E-2</v>
      </c>
      <c r="HA29" s="485">
        <f>BS!GZ14-BS!HA14</f>
        <v>-4.2341037747661971</v>
      </c>
      <c r="HB29" s="485">
        <f>BS!HA14-BS!HB14</f>
        <v>-4.4395466409663982</v>
      </c>
      <c r="HC29" s="485">
        <f>BS!HB14-BS!HC14</f>
        <v>-4.5590210159268736</v>
      </c>
      <c r="HD29" s="485">
        <f t="shared" ref="HD29:HD35" si="39">SUM(GZ29:HC29)</f>
        <v>-13.317674246980232</v>
      </c>
      <c r="HE29" s="485"/>
      <c r="HF29" s="485">
        <f>BS!HC14-BS!HF14</f>
        <v>0.29004105936326141</v>
      </c>
      <c r="HG29" s="485">
        <f>BS!HF14-BS!HG14</f>
        <v>-4.1089428198968676</v>
      </c>
      <c r="HH29" s="485">
        <f>BS!HG14-BS!HH14</f>
        <v>-4.3083127538610597</v>
      </c>
      <c r="HI29" s="485">
        <f>BS!HH14-BS!HI14</f>
        <v>-4.4242554423894944</v>
      </c>
      <c r="HJ29" s="485">
        <f t="shared" ref="HJ29:HJ30" si="40">SUM(HF29:HI29)</f>
        <v>-12.55146995678416</v>
      </c>
      <c r="HK29" s="485"/>
      <c r="HL29" s="485"/>
      <c r="HM29" s="485"/>
      <c r="HN29" s="485"/>
      <c r="HO29" s="485"/>
      <c r="HP29" s="485"/>
      <c r="HQ29" s="485"/>
    </row>
    <row r="30" spans="1:225">
      <c r="A30" s="30"/>
      <c r="B30" s="30" t="s">
        <v>90</v>
      </c>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118"/>
      <c r="BT30" s="118"/>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485">
        <f>-0.041</f>
        <v>-4.1000000000000002E-2</v>
      </c>
      <c r="DI30" s="485">
        <f>0.576--0.041</f>
        <v>0.61699999999999999</v>
      </c>
      <c r="DJ30" s="485">
        <f>0.644-0.576</f>
        <v>6.800000000000006E-2</v>
      </c>
      <c r="DK30" s="485">
        <f>0.734-0.644</f>
        <v>8.9999999999999969E-2</v>
      </c>
      <c r="DL30" s="485">
        <f t="shared" si="23"/>
        <v>0.73399999999999999</v>
      </c>
      <c r="DM30" s="485"/>
      <c r="DN30" s="485">
        <f>-1.019</f>
        <v>-1.0189999999999999</v>
      </c>
      <c r="DO30" s="485">
        <f>-0.083--1.019</f>
        <v>0.93599999999999994</v>
      </c>
      <c r="DP30" s="485">
        <f>-3.982--0.083</f>
        <v>-3.899</v>
      </c>
      <c r="DQ30" s="485">
        <f>-5.754--3.982</f>
        <v>-1.7719999999999994</v>
      </c>
      <c r="DR30" s="485">
        <f t="shared" si="24"/>
        <v>-5.7539999999999996</v>
      </c>
      <c r="DS30" s="485"/>
      <c r="DT30" s="485">
        <f>-5.348</f>
        <v>-5.3479999999999999</v>
      </c>
      <c r="DU30" s="485">
        <f>-6.688--5.348</f>
        <v>-1.3399999999999999</v>
      </c>
      <c r="DV30" s="485">
        <f>-5.704--6.688</f>
        <v>0.98399999999999999</v>
      </c>
      <c r="DW30" s="485">
        <f>-15.197--5.704</f>
        <v>-9.4929999999999986</v>
      </c>
      <c r="DX30" s="485">
        <f t="shared" si="25"/>
        <v>-15.196999999999999</v>
      </c>
      <c r="DY30" s="485"/>
      <c r="DZ30" s="485">
        <f>2.845</f>
        <v>2.8450000000000002</v>
      </c>
      <c r="EA30" s="485">
        <f>3.645-2.845</f>
        <v>0.79999999999999982</v>
      </c>
      <c r="EB30" s="485">
        <f>3.196-3.645</f>
        <v>-0.44899999999999984</v>
      </c>
      <c r="EC30" s="485">
        <f>1.634-3.196</f>
        <v>-1.5620000000000003</v>
      </c>
      <c r="ED30" s="485">
        <f t="shared" si="26"/>
        <v>1.6339999999999999</v>
      </c>
      <c r="EE30" s="485"/>
      <c r="EF30" s="485">
        <f>-0.445</f>
        <v>-0.44500000000000001</v>
      </c>
      <c r="EG30" s="485">
        <f>1.533--0.445</f>
        <v>1.978</v>
      </c>
      <c r="EH30" s="485">
        <f>-0.403-1.533</f>
        <v>-1.9359999999999999</v>
      </c>
      <c r="EI30" s="485">
        <f>-1.1--0.403</f>
        <v>-0.69700000000000006</v>
      </c>
      <c r="EJ30" s="485">
        <f t="shared" si="27"/>
        <v>-1.1000000000000001</v>
      </c>
      <c r="EK30" s="485"/>
      <c r="EL30" s="485">
        <f>-0.2</f>
        <v>-0.2</v>
      </c>
      <c r="EM30" s="485">
        <f>-0.888--0.2</f>
        <v>-0.68799999999999994</v>
      </c>
      <c r="EN30" s="485">
        <f>-0.252--0.888</f>
        <v>0.63600000000000001</v>
      </c>
      <c r="EO30" s="485">
        <f>-0.454--0.252</f>
        <v>-0.20200000000000001</v>
      </c>
      <c r="EP30" s="485">
        <f t="shared" si="28"/>
        <v>-0.4539999999999999</v>
      </c>
      <c r="EQ30" s="485"/>
      <c r="ER30" s="485">
        <v>3.8359999999999999</v>
      </c>
      <c r="ES30" s="485">
        <f>0.835-ER30</f>
        <v>-3.0009999999999999</v>
      </c>
      <c r="ET30" s="485">
        <f>-0.408-ES30-ER30</f>
        <v>-1.2429999999999999</v>
      </c>
      <c r="EU30" s="485">
        <f>-2.699-SUM(ER30:ET30)</f>
        <v>-2.2909999999999999</v>
      </c>
      <c r="EV30" s="485">
        <f t="shared" si="29"/>
        <v>-2.6989999999999998</v>
      </c>
      <c r="EW30" s="485"/>
      <c r="EX30" s="485">
        <v>-3.024</v>
      </c>
      <c r="EY30" s="485">
        <f>-7.147-EX30</f>
        <v>-4.1230000000000002</v>
      </c>
      <c r="EZ30" s="485">
        <f>-1.515-EY30-EX30</f>
        <v>5.6320000000000006</v>
      </c>
      <c r="FA30" s="557">
        <f>BS!EZ15-BS!FA15</f>
        <v>-2.6909729055380289</v>
      </c>
      <c r="FB30" s="485">
        <f t="shared" si="30"/>
        <v>-4.2059729055380286</v>
      </c>
      <c r="FC30" s="485"/>
      <c r="FD30" s="557">
        <f>BS!FA15-BS!FD15</f>
        <v>1.6489967092843933</v>
      </c>
      <c r="FE30" s="485">
        <f>BS!FD15-BS!FE15</f>
        <v>-2.5611103404281721</v>
      </c>
      <c r="FF30" s="485">
        <f>BS!FE15-BS!FF15</f>
        <v>-1.5892127336442456</v>
      </c>
      <c r="FG30" s="485">
        <f>BS!FF15-BS!FG15</f>
        <v>-0.27994459468010291</v>
      </c>
      <c r="FH30" s="485">
        <f t="shared" si="31"/>
        <v>-2.7812709594681273</v>
      </c>
      <c r="FI30" s="485"/>
      <c r="FJ30" s="485">
        <f>BS!FG15-BS!FJ15</f>
        <v>3.0347698681178912</v>
      </c>
      <c r="FK30" s="485">
        <f>BS!FJ15-BS!FK15</f>
        <v>-1.9239322011475721</v>
      </c>
      <c r="FL30" s="485">
        <f>BS!FK15-BS!FL15</f>
        <v>-1.5922711079330725</v>
      </c>
      <c r="FM30" s="485">
        <f>BS!FL15-BS!FM15</f>
        <v>-0.92420312168844276</v>
      </c>
      <c r="FN30" s="485">
        <f t="shared" si="32"/>
        <v>-1.4056365626511962</v>
      </c>
      <c r="FO30" s="485"/>
      <c r="FP30" s="485">
        <f>BS!FM15-BS!FP15</f>
        <v>3.4703225757582636</v>
      </c>
      <c r="FQ30" s="485">
        <f>BS!FP15-BS!FQ15</f>
        <v>-1.9922139311709763</v>
      </c>
      <c r="FR30" s="485">
        <f>BS!FQ15-BS!FR15</f>
        <v>-1.6429093225011115</v>
      </c>
      <c r="FS30" s="485">
        <f>BS!FR15-BS!FS15</f>
        <v>-0.95542652832262576</v>
      </c>
      <c r="FT30" s="485">
        <f t="shared" si="33"/>
        <v>-1.12022720623645</v>
      </c>
      <c r="FU30" s="485"/>
      <c r="FV30" s="485">
        <f>BS!FS15-BS!FV15</f>
        <v>2.4908466905482314</v>
      </c>
      <c r="FW30" s="485">
        <f>BS!FV15-BS!FW15</f>
        <v>-2.1234777628565666</v>
      </c>
      <c r="FX30" s="485">
        <f>BS!FW15-BS!FX15</f>
        <v>-1.7511580248162844</v>
      </c>
      <c r="FY30" s="485">
        <f>BS!FX15-BS!FY15</f>
        <v>-1.0183780743586368</v>
      </c>
      <c r="FZ30" s="485">
        <f t="shared" si="34"/>
        <v>-2.4021671714832564</v>
      </c>
      <c r="GA30" s="485"/>
      <c r="GB30" s="485">
        <f>BS!FY15-BS!GB15</f>
        <v>2.8438440137381491</v>
      </c>
      <c r="GC30" s="485">
        <f>BS!GB15-BS!GC15</f>
        <v>-2.2515824873565649</v>
      </c>
      <c r="GD30" s="485">
        <f>BS!GC15-BS!GD15</f>
        <v>-1.8568015216538925</v>
      </c>
      <c r="GE30" s="485">
        <f>BS!GD15-BS!GE15</f>
        <v>-1.0798145748647983</v>
      </c>
      <c r="GF30" s="485">
        <f t="shared" si="35"/>
        <v>-2.3443545701371065</v>
      </c>
      <c r="GG30" s="485"/>
      <c r="GH30" s="485">
        <f>BS!GE15-BS!GH15</f>
        <v>3.286888934647898</v>
      </c>
      <c r="GI30" s="485">
        <f>BS!GH15-BS!GI15</f>
        <v>-2.3704436686326389</v>
      </c>
      <c r="GJ30" s="485">
        <f>BS!GI15-BS!GJ15</f>
        <v>-1.9548221908935588</v>
      </c>
      <c r="GK30" s="485">
        <f>BS!GJ15-BS!GK15</f>
        <v>-1.1368180542613047</v>
      </c>
      <c r="GL30" s="485">
        <f t="shared" si="36"/>
        <v>-2.1751949791396044</v>
      </c>
      <c r="GM30" s="485"/>
      <c r="GN30" s="485">
        <f>BS!GK15-BS!GN15</f>
        <v>3.6735026024045254</v>
      </c>
      <c r="GO30" s="485">
        <f>BS!GN15-BS!GO15</f>
        <v>-2.4822575899293184</v>
      </c>
      <c r="GP30" s="485">
        <f>BS!GO15-BS!GP15</f>
        <v>-2.0470312307007106</v>
      </c>
      <c r="GQ30" s="485">
        <f>BS!GP15-BS!GQ15</f>
        <v>-1.1904418066962776</v>
      </c>
      <c r="GR30" s="485">
        <f t="shared" si="37"/>
        <v>-2.0462280249217812</v>
      </c>
      <c r="GS30" s="485"/>
      <c r="GT30" s="485">
        <f>BS!GQ15-BS!GT15</f>
        <v>4.0712860797010677</v>
      </c>
      <c r="GU30" s="485">
        <f>BS!GT15-BS!GU15</f>
        <v>-2.5853108018448339</v>
      </c>
      <c r="GV30" s="485">
        <f>BS!GU15-BS!GV15</f>
        <v>-2.1320156191344282</v>
      </c>
      <c r="GW30" s="485">
        <f>BS!GV15-BS!GW15</f>
        <v>-1.2398640956143439</v>
      </c>
      <c r="GX30" s="485">
        <f t="shared" si="38"/>
        <v>-1.8859044368925382</v>
      </c>
      <c r="GY30" s="485"/>
      <c r="GZ30" s="485">
        <f>BS!GW15-BS!GZ15</f>
        <v>4.4756635267619416</v>
      </c>
      <c r="HA30" s="485">
        <f>BS!GZ15-BS!HA15</f>
        <v>-2.6779290916512011</v>
      </c>
      <c r="HB30" s="485">
        <f>BS!HA15-BS!HB15</f>
        <v>-2.2083946913696835</v>
      </c>
      <c r="HC30" s="485">
        <f>BS!HB15-BS!HC15</f>
        <v>-1.2842820015953862</v>
      </c>
      <c r="HD30" s="485">
        <f t="shared" si="39"/>
        <v>-1.6949422578543292</v>
      </c>
      <c r="HE30" s="485"/>
      <c r="HF30" s="485">
        <f>BS!HC15-BS!HF15</f>
        <v>4.8815117535487929</v>
      </c>
      <c r="HG30" s="485">
        <f>BS!HF15-BS!HG15</f>
        <v>-2.7585173532060026</v>
      </c>
      <c r="HH30" s="485">
        <f>BS!HG15-BS!HH15</f>
        <v>-2.2748530190226575</v>
      </c>
      <c r="HI30" s="485">
        <f>BS!HH15-BS!HI15</f>
        <v>-1.3229305431782734</v>
      </c>
      <c r="HJ30" s="485">
        <f t="shared" si="40"/>
        <v>-1.4747891618581406</v>
      </c>
      <c r="HK30" s="485"/>
      <c r="HL30" s="485"/>
      <c r="HM30" s="485"/>
      <c r="HN30" s="485"/>
      <c r="HO30" s="485"/>
      <c r="HP30" s="485"/>
      <c r="HQ30" s="485"/>
    </row>
    <row r="31" spans="1:225">
      <c r="A31" s="30"/>
      <c r="B31" s="30" t="s">
        <v>510</v>
      </c>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118"/>
      <c r="BT31" s="118"/>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485"/>
      <c r="DI31" s="485"/>
      <c r="DJ31" s="485"/>
      <c r="DK31" s="485"/>
      <c r="DL31" s="485">
        <f t="shared" si="23"/>
        <v>0</v>
      </c>
      <c r="DM31" s="485"/>
      <c r="DN31" s="485">
        <f>-0.25</f>
        <v>-0.25</v>
      </c>
      <c r="DO31" s="485">
        <f>-0.383--0.25</f>
        <v>-0.13300000000000001</v>
      </c>
      <c r="DP31" s="485">
        <f>-1.013--0.383</f>
        <v>-0.62999999999999989</v>
      </c>
      <c r="DQ31" s="485">
        <f>-0.367--1.013</f>
        <v>0.64599999999999991</v>
      </c>
      <c r="DR31" s="485">
        <f t="shared" si="24"/>
        <v>-0.36699999999999999</v>
      </c>
      <c r="DS31" s="485"/>
      <c r="DT31" s="485">
        <f>0.254</f>
        <v>0.254</v>
      </c>
      <c r="DU31" s="485">
        <f>-5.975-0.254</f>
        <v>-6.2289999999999992</v>
      </c>
      <c r="DV31" s="485">
        <f>-6.757--5.975</f>
        <v>-0.78200000000000003</v>
      </c>
      <c r="DW31" s="485">
        <f>-9.75--6.757</f>
        <v>-2.9930000000000003</v>
      </c>
      <c r="DX31" s="485">
        <f t="shared" si="25"/>
        <v>-9.75</v>
      </c>
      <c r="DY31" s="485"/>
      <c r="DZ31" s="485">
        <f>-0.794</f>
        <v>-0.79400000000000004</v>
      </c>
      <c r="EA31" s="485">
        <f>-4.681--0.794</f>
        <v>-3.887</v>
      </c>
      <c r="EB31" s="485">
        <f>-11.796--4.681</f>
        <v>-7.1149999999999993</v>
      </c>
      <c r="EC31" s="485">
        <f>-1.906--11.796</f>
        <v>9.8899999999999988</v>
      </c>
      <c r="ED31" s="485">
        <f t="shared" si="26"/>
        <v>-1.9060000000000006</v>
      </c>
      <c r="EE31" s="485"/>
      <c r="EF31" s="485">
        <f>-2.044</f>
        <v>-2.044</v>
      </c>
      <c r="EG31" s="485">
        <f>-2.202--2.044</f>
        <v>-0.15799999999999992</v>
      </c>
      <c r="EH31" s="485">
        <f>-3.605--2.202</f>
        <v>-1.403</v>
      </c>
      <c r="EI31" s="485">
        <f>-1.16--3.605</f>
        <v>2.4450000000000003</v>
      </c>
      <c r="EJ31" s="485">
        <f t="shared" si="27"/>
        <v>-1.1599999999999997</v>
      </c>
      <c r="EK31" s="485"/>
      <c r="EL31" s="485">
        <f>-1.187</f>
        <v>-1.1870000000000001</v>
      </c>
      <c r="EM31" s="485">
        <f>-2.614--1.187</f>
        <v>-1.4269999999999998</v>
      </c>
      <c r="EN31" s="485">
        <f>-5.165--2.614</f>
        <v>-2.5510000000000002</v>
      </c>
      <c r="EO31" s="485">
        <f>-3.18--5.165</f>
        <v>1.9849999999999999</v>
      </c>
      <c r="EP31" s="485">
        <f t="shared" si="28"/>
        <v>-3.18</v>
      </c>
      <c r="EQ31" s="485"/>
      <c r="ER31" s="485">
        <v>-1.976</v>
      </c>
      <c r="ES31" s="485">
        <f>0.316-ER31</f>
        <v>2.2919999999999998</v>
      </c>
      <c r="ET31" s="485">
        <f>-1.206-ES31-ER31</f>
        <v>-1.5219999999999998</v>
      </c>
      <c r="EU31" s="485">
        <f>-6.831-SUM(ER31:ET31)</f>
        <v>-5.625</v>
      </c>
      <c r="EV31" s="485">
        <f t="shared" si="29"/>
        <v>-6.8309999999999995</v>
      </c>
      <c r="EW31" s="485"/>
      <c r="EX31" s="485">
        <v>-3.105</v>
      </c>
      <c r="EY31" s="485">
        <f>-1.136-EX31</f>
        <v>1.9690000000000001</v>
      </c>
      <c r="EZ31" s="485">
        <f>-1.65-EY31-EX31</f>
        <v>-0.51399999999999979</v>
      </c>
      <c r="FA31" s="557">
        <f>SUM(BS!EZ22,BS!EZ18,BS!EZ16)-SUM(BS!FA22,BS!FA18,BS!FA16)</f>
        <v>0.69404703749260932</v>
      </c>
      <c r="FB31" s="485">
        <f>SUM(EX31:FA31)</f>
        <v>-0.95595296250739037</v>
      </c>
      <c r="FC31" s="485"/>
      <c r="FD31" s="557">
        <f>SUM(BS!FA22,BS!FA18,BS!FA16)-SUM(BS!FD22,BS!FD18,BS!FD16)</f>
        <v>-0.22426410527502583</v>
      </c>
      <c r="FE31" s="485">
        <f>SUM(BS!FD22,BS!FD18,BS!FD16)-SUM(BS!FE22,BS!FE18,BS!FE16)</f>
        <v>-0.19929941929534323</v>
      </c>
      <c r="FF31" s="485">
        <f>SUM(BS!FE22,BS!FE18,BS!FE16)-SUM(BS!FF22,BS!FF18,BS!FF16)</f>
        <v>-0.2404481042817963</v>
      </c>
      <c r="FG31" s="485">
        <f>SUM(BS!FF22,BS!FF18,BS!FF16)-SUM(BS!FG22,BS!FG18,BS!FG16)</f>
        <v>-0.28284980379105207</v>
      </c>
      <c r="FH31" s="485">
        <f>SUM(FD31:FG31)</f>
        <v>-0.94686143264321743</v>
      </c>
      <c r="FI31" s="485"/>
      <c r="FJ31" s="485">
        <f>SUM(BS!FG22,BS!FG18,BS!FG16)-SUM(BS!FJ22,BS!FJ18,BS!FJ16)</f>
        <v>-0.24350389687330676</v>
      </c>
      <c r="FK31" s="485">
        <f>SUM(BS!FJ22,BS!FJ18,BS!FJ16)-SUM(BS!FK22,BS!FK18,BS!FK16)</f>
        <v>-0.25930875355699357</v>
      </c>
      <c r="FL31" s="485">
        <f>SUM(BS!FK22,BS!FK18,BS!FK16)-SUM(BS!FL22,BS!FL18,BS!FL16)</f>
        <v>-0.27191017658674355</v>
      </c>
      <c r="FM31" s="485">
        <f>SUM(BS!FL22,BS!FL18,BS!FL16)-SUM(BS!FM22,BS!FM18,BS!FM16)</f>
        <v>-0.2793738281121847</v>
      </c>
      <c r="FN31" s="485">
        <f>SUM(FJ31:FM31)</f>
        <v>-1.0540966551292286</v>
      </c>
      <c r="FO31" s="485"/>
      <c r="FP31" s="485">
        <f>SUM(BS!FM22,BS!FM18,BS!FM16)-SUM(BS!FP22,BS!FP18,BS!FP16)</f>
        <v>-0.26779143780551351</v>
      </c>
      <c r="FQ31" s="485">
        <f>SUM(BS!FP22,BS!FP18,BS!FP16)-SUM(BS!FQ22,BS!FQ18,BS!FQ16)</f>
        <v>-0.28520966911466417</v>
      </c>
      <c r="FR31" s="485">
        <f>SUM(BS!FQ22,BS!FQ18,BS!FQ16)-SUM(BS!FR22,BS!FR18,BS!FR16)</f>
        <v>-0.29907099481825128</v>
      </c>
      <c r="FS31" s="485">
        <f>SUM(BS!FR22,BS!FR18,BS!FR16)-SUM(BS!FS22,BS!FS18,BS!FS16)</f>
        <v>-0.3072893751441228</v>
      </c>
      <c r="FT31" s="485">
        <f>SUM(FP31:FS31)</f>
        <v>-1.1593614768825518</v>
      </c>
      <c r="FU31" s="485"/>
      <c r="FV31" s="485">
        <f>SUM(BS!FS22,BS!FS18,BS!FS16)-SUM(BS!FV22,BS!FV18,BS!FV16)</f>
        <v>-0.2795797863606424</v>
      </c>
      <c r="FW31" s="485">
        <f>SUM(BS!FV22,BS!FV18,BS!FV16)-SUM(BS!FW22,BS!FW18,BS!FW16)</f>
        <v>-0.29705783559960253</v>
      </c>
      <c r="FX31" s="485">
        <f>SUM(BS!FW22,BS!FW18,BS!FW16)-SUM(BS!FX22,BS!FX18,BS!FX16)</f>
        <v>-0.31147137301373107</v>
      </c>
      <c r="FY31" s="485">
        <f>SUM(BS!FX22,BS!FX18,BS!FX16)-SUM(BS!FY22,BS!FY18,BS!FY16)</f>
        <v>-0.31985350087909126</v>
      </c>
      <c r="FZ31" s="485">
        <f>SUM(FV31:FY31)</f>
        <v>-1.2079624958530673</v>
      </c>
      <c r="GA31" s="485"/>
      <c r="GB31" s="485">
        <f>SUM(BS!FY22,BS!FY18,BS!FY16)-SUM(BS!GB22,BS!GB18,BS!GB16)</f>
        <v>-0.2891344920646759</v>
      </c>
      <c r="GC31" s="485">
        <f>SUM(BS!GB22,BS!GB18,BS!GB16)-SUM(BS!GC22,BS!GC18,BS!GC16)</f>
        <v>-0.30720985779399257</v>
      </c>
      <c r="GD31" s="485">
        <f>SUM(BS!GC22,BS!GC18,BS!GC16)-SUM(BS!GD22,BS!GD18,BS!GD16)</f>
        <v>-0.3221159812778609</v>
      </c>
      <c r="GE31" s="485">
        <f>SUM(BS!GD22,BS!GD18,BS!GD16)-SUM(BS!GE22,BS!GE18,BS!GE16)</f>
        <v>-0.33078457035692566</v>
      </c>
      <c r="GF31" s="485">
        <f>SUM(GB31:GE31)</f>
        <v>-1.249244901493455</v>
      </c>
      <c r="GG31" s="485"/>
      <c r="GH31" s="485">
        <f>SUM(BS!GE22,BS!GE18,BS!GE16)-SUM(BS!GH22,BS!GH18,BS!GH16)</f>
        <v>-0.28953365936366993</v>
      </c>
      <c r="GI31" s="485">
        <f>SUM(BS!GH22,BS!GH18,BS!GH16)-SUM(BS!GI22,BS!GI18,BS!GI16)</f>
        <v>-0.30763397920642888</v>
      </c>
      <c r="GJ31" s="485">
        <f>SUM(BS!GI22,BS!GI18,BS!GI16)-SUM(BS!GJ22,BS!GJ18,BS!GJ16)</f>
        <v>-0.32256068147702877</v>
      </c>
      <c r="GK31" s="485">
        <f>SUM(BS!GJ22,BS!GJ18,BS!GJ16)-SUM(BS!GK22,BS!GK18,BS!GK16)</f>
        <v>-0.33124123805698957</v>
      </c>
      <c r="GL31" s="485">
        <f>SUM(GH31:GK31)</f>
        <v>-1.2509695581041171</v>
      </c>
      <c r="GM31" s="485"/>
      <c r="GN31" s="485">
        <f>SUM(BS!GK22,BS!GK18,BS!GK16)-SUM(BS!GN22,BS!GN18,BS!GN16)</f>
        <v>-0.29364594386289866</v>
      </c>
      <c r="GO31" s="485">
        <f>SUM(BS!GN22,BS!GN18,BS!GN16)-SUM(BS!GO22,BS!GO18,BS!GO16)</f>
        <v>-0.31200334491994397</v>
      </c>
      <c r="GP31" s="485">
        <f>SUM(BS!GO22,BS!GO18,BS!GO16)-SUM(BS!GP22,BS!GP18,BS!GP16)</f>
        <v>-0.327142053098612</v>
      </c>
      <c r="GQ31" s="485">
        <f>SUM(BS!GP22,BS!GP18,BS!GP16)-SUM(BS!GQ22,BS!GQ18,BS!GQ16)</f>
        <v>-0.33594590076101838</v>
      </c>
      <c r="GR31" s="485">
        <f>SUM(GN31:GQ31)</f>
        <v>-1.268737242642473</v>
      </c>
      <c r="GS31" s="485"/>
      <c r="GT31" s="485">
        <f>SUM(BS!GQ22,BS!GQ18,BS!GQ16)-SUM(BS!GT22,BS!GT18,BS!GT16)</f>
        <v>-0.29515470419883627</v>
      </c>
      <c r="GU31" s="485">
        <f>SUM(BS!GT22,BS!GT18,BS!GT16)-SUM(BS!GU22,BS!GU18,BS!GU16)</f>
        <v>-0.31360642604990119</v>
      </c>
      <c r="GV31" s="485">
        <f>SUM(BS!GU22,BS!GU18,BS!GU16)-SUM(BS!GV22,BS!GV18,BS!GV16)</f>
        <v>-0.32882291729661972</v>
      </c>
      <c r="GW31" s="485">
        <f>SUM(BS!GV22,BS!GV18,BS!GV16)-SUM(BS!GW22,BS!GW18,BS!GW16)</f>
        <v>-0.33767199935248016</v>
      </c>
      <c r="GX31" s="485">
        <f>SUM(GT31:GW31)</f>
        <v>-1.2752560468978373</v>
      </c>
      <c r="GY31" s="485"/>
      <c r="GZ31" s="485">
        <f>SUM(BS!GW22,BS!GW18,BS!GW16)-SUM(BS!GZ22,BS!GZ18,BS!GZ16)</f>
        <v>-0.29382652466046011</v>
      </c>
      <c r="HA31" s="485">
        <f>SUM(BS!GZ22,BS!GZ18,BS!GZ16)-SUM(BS!HA22,BS!HA18,BS!HA16)</f>
        <v>-0.31219521480284129</v>
      </c>
      <c r="HB31" s="485">
        <f>SUM(BS!HA22,BS!HA18,BS!HA16)-SUM(BS!HB22,BS!HB18,BS!HB16)</f>
        <v>-0.32734323269635013</v>
      </c>
      <c r="HC31" s="485">
        <f>SUM(BS!HB22,BS!HB18,BS!HB16)-SUM(BS!HC22,BS!HC18,BS!HC16)</f>
        <v>-0.33615249438153683</v>
      </c>
      <c r="HD31" s="485">
        <f>SUM(GZ31:HC31)</f>
        <v>-1.2695174665411884</v>
      </c>
      <c r="HE31" s="485"/>
      <c r="HF31" s="485">
        <f>SUM(BS!HC22,BS!HC18,BS!HC16)-SUM(BS!HF22,BS!HF18,BS!HF16)</f>
        <v>-0.28946583073025067</v>
      </c>
      <c r="HG31" s="485">
        <f>SUM(BS!HF22,BS!HF18,BS!HF16)-SUM(BS!HG22,BS!HG18,BS!HG16)</f>
        <v>-0.30756191023714052</v>
      </c>
      <c r="HH31" s="485">
        <f>SUM(BS!HG22,BS!HG18,BS!HG16)-SUM(BS!HH22,BS!HH18,BS!HH16)</f>
        <v>-0.32248511565069293</v>
      </c>
      <c r="HI31" s="485">
        <f>SUM(BS!HH22,BS!HH18,BS!HH16)-SUM(BS!HI22,BS!HI18,BS!HI16)</f>
        <v>-0.33116363864915854</v>
      </c>
      <c r="HJ31" s="485">
        <f>SUM(HF31:HI31)</f>
        <v>-1.2506764952672427</v>
      </c>
      <c r="HK31" s="485"/>
      <c r="HL31" s="485"/>
      <c r="HM31" s="485"/>
      <c r="HN31" s="485"/>
      <c r="HO31" s="485"/>
      <c r="HP31" s="485"/>
      <c r="HQ31" s="485"/>
    </row>
    <row r="32" spans="1:225">
      <c r="A32" s="30"/>
      <c r="B32" s="30" t="s">
        <v>511</v>
      </c>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118"/>
      <c r="BT32" s="118"/>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485">
        <f>6.782</f>
        <v>6.782</v>
      </c>
      <c r="DI32" s="485">
        <f>9.042-6.782</f>
        <v>2.2599999999999998</v>
      </c>
      <c r="DJ32" s="485">
        <f>9.427-9.042</f>
        <v>0.38499999999999979</v>
      </c>
      <c r="DK32" s="485">
        <f>13.404-9.427</f>
        <v>3.9770000000000003</v>
      </c>
      <c r="DL32" s="485">
        <f t="shared" si="23"/>
        <v>13.404</v>
      </c>
      <c r="DM32" s="485"/>
      <c r="DN32" s="485">
        <f>4.434</f>
        <v>4.4340000000000002</v>
      </c>
      <c r="DO32" s="485">
        <f>-6.446-4.434</f>
        <v>-10.879999999999999</v>
      </c>
      <c r="DP32" s="485">
        <f>2.47--6.446</f>
        <v>8.9160000000000004</v>
      </c>
      <c r="DQ32" s="485">
        <f>-9.001-2.47</f>
        <v>-11.471</v>
      </c>
      <c r="DR32" s="485">
        <f t="shared" si="24"/>
        <v>-9.0009999999999977</v>
      </c>
      <c r="DS32" s="485"/>
      <c r="DT32" s="485">
        <f>1.191</f>
        <v>1.1910000000000001</v>
      </c>
      <c r="DU32" s="485">
        <f>-11.175-1.191</f>
        <v>-12.366000000000001</v>
      </c>
      <c r="DV32" s="485">
        <f>-9.335--11.175</f>
        <v>1.8399999999999999</v>
      </c>
      <c r="DW32" s="485">
        <f>-3.97--9.335</f>
        <v>5.3650000000000002</v>
      </c>
      <c r="DX32" s="485">
        <f t="shared" si="25"/>
        <v>-3.9700000000000006</v>
      </c>
      <c r="DY32" s="485"/>
      <c r="DZ32" s="485">
        <f>-6.538</f>
        <v>-6.5380000000000003</v>
      </c>
      <c r="EA32" s="485">
        <f>4.64--6.538</f>
        <v>11.178000000000001</v>
      </c>
      <c r="EB32" s="485">
        <f>15.313-4.64</f>
        <v>10.673000000000002</v>
      </c>
      <c r="EC32" s="485">
        <f>7.711-15.313</f>
        <v>-7.6020000000000003</v>
      </c>
      <c r="ED32" s="485">
        <f t="shared" si="26"/>
        <v>7.7110000000000021</v>
      </c>
      <c r="EE32" s="485"/>
      <c r="EF32" s="485">
        <f>2.68</f>
        <v>2.68</v>
      </c>
      <c r="EG32" s="485">
        <f>-1.646-2.68</f>
        <v>-4.3260000000000005</v>
      </c>
      <c r="EH32" s="485">
        <f>-0.012--1.646</f>
        <v>1.6339999999999999</v>
      </c>
      <c r="EI32" s="485">
        <f>0.958--0.012</f>
        <v>0.97</v>
      </c>
      <c r="EJ32" s="485">
        <f t="shared" si="27"/>
        <v>0.95799999999999952</v>
      </c>
      <c r="EK32" s="485"/>
      <c r="EL32" s="485">
        <f>4.101</f>
        <v>4.101</v>
      </c>
      <c r="EM32" s="485">
        <f>-0.509-4.101</f>
        <v>-4.6100000000000003</v>
      </c>
      <c r="EN32" s="485">
        <f>-2.99--0.509</f>
        <v>-2.4810000000000003</v>
      </c>
      <c r="EO32" s="485">
        <f>-4.547--2.99</f>
        <v>-1.5569999999999995</v>
      </c>
      <c r="EP32" s="485">
        <f t="shared" si="28"/>
        <v>-4.5470000000000006</v>
      </c>
      <c r="EQ32" s="485"/>
      <c r="ER32" s="485">
        <v>-0.13800000000000001</v>
      </c>
      <c r="ES32" s="485">
        <f>-4.985-ER32</f>
        <v>-4.8470000000000004</v>
      </c>
      <c r="ET32" s="485">
        <f>0.052-ES32-ER32</f>
        <v>5.0369999999999999</v>
      </c>
      <c r="EU32" s="485">
        <f>-4.001-SUM(ER32:ET32)</f>
        <v>-4.0529999999999999</v>
      </c>
      <c r="EV32" s="485">
        <f t="shared" si="29"/>
        <v>-4.0010000000000003</v>
      </c>
      <c r="EW32" s="485"/>
      <c r="EX32" s="485">
        <v>1.143</v>
      </c>
      <c r="EY32" s="485">
        <f>7.718-EX32</f>
        <v>6.5750000000000002</v>
      </c>
      <c r="EZ32" s="485">
        <f>1.895-EY32-EX32</f>
        <v>-5.8229999999999995</v>
      </c>
      <c r="FA32" s="557">
        <f>BS!FA35-BS!EZ35</f>
        <v>1.407013395865274</v>
      </c>
      <c r="FB32" s="485">
        <f t="shared" si="30"/>
        <v>3.3020133958652744</v>
      </c>
      <c r="FC32" s="485"/>
      <c r="FD32" s="557">
        <f>BS!FD35-BS!FA35</f>
        <v>0.42731575336888028</v>
      </c>
      <c r="FE32" s="485">
        <f>BS!FE35-BS!FD35</f>
        <v>0.36008681927360087</v>
      </c>
      <c r="FF32" s="485">
        <f>BS!FF35-BS!FE35</f>
        <v>0.46734306430180794</v>
      </c>
      <c r="FG32" s="485">
        <f>BS!FG35-BS!FF35</f>
        <v>0.5562342086276395</v>
      </c>
      <c r="FH32" s="485">
        <f t="shared" si="31"/>
        <v>1.8109798455719286</v>
      </c>
      <c r="FI32" s="485"/>
      <c r="FJ32" s="485">
        <f>BS!FJ35-BS!FG35</f>
        <v>1.6885776529462149</v>
      </c>
      <c r="FK32" s="485">
        <f>BS!FK35-BS!FJ35</f>
        <v>0.41334860324874612</v>
      </c>
      <c r="FL32" s="485">
        <f>BS!FL35-BS!FK35</f>
        <v>0.42635349557171764</v>
      </c>
      <c r="FM32" s="485">
        <f>BS!FM35-BS!FL35</f>
        <v>0.56814989758536427</v>
      </c>
      <c r="FN32" s="485">
        <f t="shared" si="32"/>
        <v>3.0964296493520429</v>
      </c>
      <c r="FO32" s="485"/>
      <c r="FP32" s="485">
        <f>BS!FP35-BS!FM35</f>
        <v>1.7374577804953759</v>
      </c>
      <c r="FQ32" s="485">
        <f>BS!FQ35-BS!FP35</f>
        <v>0.53008774345770959</v>
      </c>
      <c r="FR32" s="485">
        <f>BS!FR35-BS!FQ35</f>
        <v>0.55586591076094294</v>
      </c>
      <c r="FS32" s="485">
        <f>BS!FS35-BS!FR35</f>
        <v>0.57125825078168901</v>
      </c>
      <c r="FT32" s="485">
        <f t="shared" si="33"/>
        <v>3.3946696854957175</v>
      </c>
      <c r="FU32" s="485"/>
      <c r="FV32" s="485">
        <f>BS!FV35-BS!FS35</f>
        <v>1.8418946455300471</v>
      </c>
      <c r="FW32" s="485">
        <f>BS!FW35-BS!FV35</f>
        <v>0.54521390147662174</v>
      </c>
      <c r="FX32" s="485">
        <f>BS!FX35-BS!FW35</f>
        <v>0.57166821449537508</v>
      </c>
      <c r="FY32" s="485">
        <f>BS!FY35-BS!FX35</f>
        <v>0.58705260126615855</v>
      </c>
      <c r="FZ32" s="485">
        <f t="shared" si="34"/>
        <v>3.5458293627682025</v>
      </c>
      <c r="GA32" s="485"/>
      <c r="GB32" s="485">
        <f>BS!GB35-BS!FY35</f>
        <v>1.9368704930814289</v>
      </c>
      <c r="GC32" s="485">
        <f>BS!GC35-BS!GB35</f>
        <v>0.553104114103526</v>
      </c>
      <c r="GD32" s="485">
        <f>BS!GD35-BS!GC35</f>
        <v>0.57994126797439094</v>
      </c>
      <c r="GE32" s="485">
        <f>BS!GE35-BS!GD35</f>
        <v>0.59554829412105192</v>
      </c>
      <c r="GF32" s="485">
        <f t="shared" si="35"/>
        <v>3.6654641692803978</v>
      </c>
      <c r="GG32" s="485"/>
      <c r="GH32" s="485">
        <f>BS!GH35-BS!GE35</f>
        <v>2.0031002335508106</v>
      </c>
      <c r="GI32" s="485">
        <f>BS!GI35-BS!GH35</f>
        <v>0.53268991747199124</v>
      </c>
      <c r="GJ32" s="485">
        <f>BS!GJ35-BS!GI35</f>
        <v>0.55853655450852813</v>
      </c>
      <c r="GK32" s="485">
        <f>BS!GK35-BS!GJ35</f>
        <v>0.57356755004457227</v>
      </c>
      <c r="GL32" s="485">
        <f t="shared" si="36"/>
        <v>3.6678942555759022</v>
      </c>
      <c r="GM32" s="485"/>
      <c r="GN32" s="485">
        <f>BS!GN35-BS!GK35</f>
        <v>2.0699137039417224</v>
      </c>
      <c r="GO32" s="485">
        <f>BS!GO35-BS!GN35</f>
        <v>0.5194465893675897</v>
      </c>
      <c r="GP32" s="485">
        <f>BS!GP35-BS!GO35</f>
        <v>0.54465064714096201</v>
      </c>
      <c r="GQ32" s="485">
        <f>BS!GQ35-BS!GP35</f>
        <v>0.55930795359618912</v>
      </c>
      <c r="GR32" s="485">
        <f t="shared" si="37"/>
        <v>3.6933188940464632</v>
      </c>
      <c r="GS32" s="485"/>
      <c r="GT32" s="485">
        <f>BS!GT35-BS!GQ35</f>
        <v>2.1220948313042669</v>
      </c>
      <c r="GU32" s="485">
        <f>BS!GU35-BS!GT35</f>
        <v>0.49565037165233861</v>
      </c>
      <c r="GV32" s="485">
        <f>BS!GV35-BS!GU35</f>
        <v>0.51969981361272488</v>
      </c>
      <c r="GW32" s="485">
        <f>BS!GW35-BS!GV35</f>
        <v>0.53368565843422999</v>
      </c>
      <c r="GX32" s="485">
        <f t="shared" si="38"/>
        <v>3.6711306750035604</v>
      </c>
      <c r="GY32" s="485"/>
      <c r="GZ32" s="485">
        <f>BS!GZ35-BS!GW35</f>
        <v>2.1578909384664655</v>
      </c>
      <c r="HA32" s="485">
        <f>BS!HA35-BS!GZ35</f>
        <v>0.46065329256250465</v>
      </c>
      <c r="HB32" s="485">
        <f>BS!HB35-BS!HA35</f>
        <v>0.48300464193486192</v>
      </c>
      <c r="HC32" s="485">
        <f>BS!HC35-BS!HB35</f>
        <v>0.49600296864814908</v>
      </c>
      <c r="HD32" s="485">
        <f t="shared" si="39"/>
        <v>3.5975518416119812</v>
      </c>
      <c r="HE32" s="485"/>
      <c r="HF32" s="485">
        <f>BS!HF35-BS!HC35</f>
        <v>2.1757925333373365</v>
      </c>
      <c r="HG32" s="485">
        <f>BS!HG35-BS!HF35</f>
        <v>0.41403796227564271</v>
      </c>
      <c r="HH32" s="485">
        <f>BS!HH35-BS!HG35</f>
        <v>0.43412749012155416</v>
      </c>
      <c r="HI32" s="485">
        <f>BS!HI35-BS!HH35</f>
        <v>0.44581046469755137</v>
      </c>
      <c r="HJ32" s="485">
        <f t="shared" ref="HJ32:HJ35" si="41">SUM(HF32:HI32)</f>
        <v>3.4697684504320847</v>
      </c>
      <c r="HK32" s="485"/>
      <c r="HL32" s="485"/>
      <c r="HM32" s="485"/>
      <c r="HN32" s="485"/>
      <c r="HO32" s="485"/>
      <c r="HP32" s="485"/>
      <c r="HQ32" s="485"/>
    </row>
    <row r="33" spans="1:225">
      <c r="A33" s="30"/>
      <c r="B33" s="30" t="s">
        <v>413</v>
      </c>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118"/>
      <c r="BT33" s="118"/>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485">
        <f>-1.99</f>
        <v>-1.99</v>
      </c>
      <c r="DI33" s="485">
        <f>-2.198--1.99</f>
        <v>-0.20799999999999996</v>
      </c>
      <c r="DJ33" s="485">
        <f>-0.559--2.198</f>
        <v>1.6389999999999998</v>
      </c>
      <c r="DK33" s="485">
        <f>-0.482--0.559</f>
        <v>7.7000000000000068E-2</v>
      </c>
      <c r="DL33" s="485">
        <f t="shared" si="23"/>
        <v>-0.4820000000000001</v>
      </c>
      <c r="DM33" s="485"/>
      <c r="DN33" s="485"/>
      <c r="DO33" s="485"/>
      <c r="DP33" s="485"/>
      <c r="DQ33" s="485"/>
      <c r="DR33" s="485">
        <f t="shared" si="24"/>
        <v>0</v>
      </c>
      <c r="DS33" s="485"/>
      <c r="DT33" s="485"/>
      <c r="DU33" s="485"/>
      <c r="DV33" s="485"/>
      <c r="DW33" s="485"/>
      <c r="DX33" s="485">
        <f t="shared" si="25"/>
        <v>0</v>
      </c>
      <c r="DY33" s="485"/>
      <c r="DZ33" s="485"/>
      <c r="EA33" s="485"/>
      <c r="EB33" s="485"/>
      <c r="EC33" s="485">
        <f>11.614-0</f>
        <v>11.614000000000001</v>
      </c>
      <c r="ED33" s="485">
        <f>SUM(DZ33:EC33)</f>
        <v>11.614000000000001</v>
      </c>
      <c r="EE33" s="485"/>
      <c r="EF33" s="485">
        <f>-5.985</f>
        <v>-5.9850000000000003</v>
      </c>
      <c r="EG33" s="485">
        <f>-1.024--5.985</f>
        <v>4.9610000000000003</v>
      </c>
      <c r="EH33" s="485">
        <f>-0.313--1.024</f>
        <v>0.71100000000000008</v>
      </c>
      <c r="EI33" s="485">
        <f>1.837--0.313</f>
        <v>2.15</v>
      </c>
      <c r="EJ33" s="485">
        <f>SUM(EF33:EI33)</f>
        <v>1.837</v>
      </c>
      <c r="EK33" s="485"/>
      <c r="EL33" s="485">
        <f>-7.25</f>
        <v>-7.25</v>
      </c>
      <c r="EM33" s="485">
        <f>5.545--7.25</f>
        <v>12.795</v>
      </c>
      <c r="EN33" s="485">
        <f>7.453-5.545</f>
        <v>1.9080000000000004</v>
      </c>
      <c r="EO33" s="485">
        <f>13.02-7.453</f>
        <v>5.5669999999999993</v>
      </c>
      <c r="EP33" s="485">
        <f>SUM(EL33:EO33)</f>
        <v>13.02</v>
      </c>
      <c r="EQ33" s="485"/>
      <c r="ER33" s="485">
        <v>-18.552</v>
      </c>
      <c r="ES33" s="485">
        <f>-2.281-ER33</f>
        <v>16.271000000000001</v>
      </c>
      <c r="ET33" s="485">
        <f>-0.996-ES33-ER33</f>
        <v>1.2850000000000001</v>
      </c>
      <c r="EU33" s="485">
        <f>9.283-SUM(ER33:ET33)</f>
        <v>10.278999999999998</v>
      </c>
      <c r="EV33" s="485">
        <f t="shared" si="29"/>
        <v>9.2829999999999995</v>
      </c>
      <c r="EW33" s="485"/>
      <c r="EX33" s="485">
        <v>-22.957000000000001</v>
      </c>
      <c r="EY33" s="485">
        <f>-14.34-EX33</f>
        <v>8.6170000000000009</v>
      </c>
      <c r="EZ33" s="485">
        <f>-11.567-EY33-EX33</f>
        <v>2.7729999999999997</v>
      </c>
      <c r="FA33" s="557">
        <f>BS!FA36-BS!EZ36</f>
        <v>-2.9576299940893591</v>
      </c>
      <c r="FB33" s="485">
        <f t="shared" si="30"/>
        <v>-14.524629994089359</v>
      </c>
      <c r="FC33" s="485"/>
      <c r="FD33" s="557">
        <f>BS!FD36-BS!FA36</f>
        <v>1.1024745249128287</v>
      </c>
      <c r="FE33" s="485">
        <f>BS!FE36-BS!FD36</f>
        <v>0.97974899876894739</v>
      </c>
      <c r="FF33" s="485">
        <f>BS!FF36-BS!FE36</f>
        <v>1.1820344999444998</v>
      </c>
      <c r="FG33" s="485">
        <f>BS!FG36-BS!FF36</f>
        <v>1.3904797768407704</v>
      </c>
      <c r="FH33" s="485">
        <f t="shared" si="31"/>
        <v>4.6547378004670463</v>
      </c>
      <c r="FI33" s="485"/>
      <c r="FJ33" s="485">
        <f>BS!FJ36-BS!FG36</f>
        <v>1.1970566698161207</v>
      </c>
      <c r="FK33" s="485">
        <f>BS!FK36-BS!FJ36</f>
        <v>1.2747527944022892</v>
      </c>
      <c r="FL33" s="485">
        <f>BS!FL36-BS!FK36</f>
        <v>1.3367009507999796</v>
      </c>
      <c r="FM33" s="485">
        <f>BS!FM36-BS!FL36</f>
        <v>1.373392001556951</v>
      </c>
      <c r="FN33" s="485">
        <f t="shared" si="32"/>
        <v>5.1819024165753405</v>
      </c>
      <c r="FO33" s="485"/>
      <c r="FP33" s="485">
        <f>BS!FP36-BS!FM36</f>
        <v>1.3164533745080931</v>
      </c>
      <c r="FQ33" s="485">
        <f>BS!FQ36-BS!FP36</f>
        <v>1.4020807925196763</v>
      </c>
      <c r="FR33" s="485">
        <f>BS!FR36-BS!FQ36</f>
        <v>1.4702225865485303</v>
      </c>
      <c r="FS33" s="485">
        <f>BS!FS36-BS!FR36</f>
        <v>1.510623857782825</v>
      </c>
      <c r="FT33" s="485">
        <f t="shared" si="33"/>
        <v>5.6993806113591248</v>
      </c>
      <c r="FU33" s="485"/>
      <c r="FV33" s="485">
        <f>BS!FV36-BS!FS36</f>
        <v>4.0641344769720362</v>
      </c>
      <c r="FW33" s="485">
        <f>BS!FW36-BS!FV36</f>
        <v>1.5205198984634904</v>
      </c>
      <c r="FX33" s="485">
        <f>BS!FX36-BS!FW36</f>
        <v>1.5942970146306834</v>
      </c>
      <c r="FY33" s="485">
        <f>BS!FY36-BS!FX36</f>
        <v>1.6372017647613717</v>
      </c>
      <c r="FZ33" s="485">
        <f t="shared" si="34"/>
        <v>8.8161531548275818</v>
      </c>
      <c r="GA33" s="485"/>
      <c r="GB33" s="485">
        <f>BS!GB36-BS!FY36</f>
        <v>4.4164035053973834</v>
      </c>
      <c r="GC33" s="485">
        <f>BS!GC36-BS!GB36</f>
        <v>1.6347351021145755</v>
      </c>
      <c r="GD33" s="485">
        <f>BS!GD36-BS!GC36</f>
        <v>1.7140540519377083</v>
      </c>
      <c r="GE33" s="485">
        <f>BS!GE36-BS!GD36</f>
        <v>1.7601816305093223</v>
      </c>
      <c r="GF33" s="485">
        <f t="shared" si="35"/>
        <v>9.5253742899589895</v>
      </c>
      <c r="GG33" s="485"/>
      <c r="GH33" s="485">
        <f>BS!GH36-BS!GE36</f>
        <v>4.7303359820633659</v>
      </c>
      <c r="GI33" s="485">
        <f>BS!GI36-BS!GH36</f>
        <v>1.6993289665131357</v>
      </c>
      <c r="GJ33" s="485">
        <f>BS!GJ36-BS!GI36</f>
        <v>1.7817820739636829</v>
      </c>
      <c r="GK33" s="485">
        <f>BS!GK36-BS!GJ36</f>
        <v>1.8297323078091807</v>
      </c>
      <c r="GL33" s="485">
        <f t="shared" si="36"/>
        <v>10.041179330349365</v>
      </c>
      <c r="GM33" s="485"/>
      <c r="GN33" s="485">
        <f>BS!GN36-BS!GK36</f>
        <v>5.0660428674590321</v>
      </c>
      <c r="GO33" s="485">
        <f>BS!GO36-BS!GN36</f>
        <v>1.7866871549996404</v>
      </c>
      <c r="GP33" s="485">
        <f>BS!GP36-BS!GO36</f>
        <v>1.8733789674001429</v>
      </c>
      <c r="GQ33" s="485">
        <f>BS!GQ36-BS!GP36</f>
        <v>1.9237942010478122</v>
      </c>
      <c r="GR33" s="485">
        <f t="shared" si="37"/>
        <v>10.649903190906628</v>
      </c>
      <c r="GS33" s="485"/>
      <c r="GT33" s="485">
        <f>BS!GT36-BS!GQ36</f>
        <v>5.3915800168268788</v>
      </c>
      <c r="GU33" s="485">
        <f>BS!GU36-BS!GT36</f>
        <v>1.8594144339005112</v>
      </c>
      <c r="GV33" s="485">
        <f>BS!GV36-BS!GU36</f>
        <v>1.9496350451739346</v>
      </c>
      <c r="GW33" s="485">
        <f>BS!GW36-BS!GV36</f>
        <v>2.0021024359371467</v>
      </c>
      <c r="GX33" s="485">
        <f t="shared" si="38"/>
        <v>11.202731931838471</v>
      </c>
      <c r="GY33" s="485"/>
      <c r="GZ33" s="485">
        <f>BS!GZ36-BS!GW36</f>
        <v>5.7016540916128378</v>
      </c>
      <c r="HA33" s="485">
        <f>BS!HA36-BS!GZ36</f>
        <v>1.9143084495492673</v>
      </c>
      <c r="HB33" s="485">
        <f>BS!HB36-BS!HA36</f>
        <v>2.007192572279223</v>
      </c>
      <c r="HC33" s="485">
        <f>BS!HC36-BS!HB36</f>
        <v>2.0612089161521254</v>
      </c>
      <c r="HD33" s="485">
        <f t="shared" si="39"/>
        <v>11.684364029593453</v>
      </c>
      <c r="HE33" s="485"/>
      <c r="HF33" s="485">
        <f>BS!HF36-BS!HC36</f>
        <v>5.9908179060147404</v>
      </c>
      <c r="HG33" s="485">
        <f>BS!HG36-BS!HF36</f>
        <v>1.9482205156464545</v>
      </c>
      <c r="HH33" s="485">
        <f>BS!HH36-BS!HG36</f>
        <v>2.0427500850703098</v>
      </c>
      <c r="HI33" s="485">
        <f>BS!HI36-BS!HH36</f>
        <v>2.0977233310684369</v>
      </c>
      <c r="HJ33" s="485">
        <f t="shared" si="41"/>
        <v>12.079511837799942</v>
      </c>
      <c r="HK33" s="485"/>
      <c r="HL33" s="485"/>
      <c r="HM33" s="485"/>
      <c r="HN33" s="485"/>
      <c r="HO33" s="485"/>
      <c r="HP33" s="485"/>
      <c r="HQ33" s="485"/>
    </row>
    <row r="34" spans="1:225">
      <c r="A34" s="30"/>
      <c r="B34" s="30" t="s">
        <v>512</v>
      </c>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118"/>
      <c r="BT34" s="118"/>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485"/>
      <c r="DI34" s="485"/>
      <c r="DJ34" s="485"/>
      <c r="DK34" s="485"/>
      <c r="DL34" s="485">
        <f t="shared" si="23"/>
        <v>0</v>
      </c>
      <c r="DM34" s="485"/>
      <c r="DN34" s="485"/>
      <c r="DO34" s="485"/>
      <c r="DP34" s="485"/>
      <c r="DQ34" s="485"/>
      <c r="DR34" s="485">
        <f t="shared" si="24"/>
        <v>0</v>
      </c>
      <c r="DS34" s="485"/>
      <c r="DT34" s="485"/>
      <c r="DU34" s="485"/>
      <c r="DV34" s="485"/>
      <c r="DW34" s="485"/>
      <c r="DX34" s="485">
        <f t="shared" si="25"/>
        <v>0</v>
      </c>
      <c r="DY34" s="485"/>
      <c r="DZ34" s="485"/>
      <c r="EA34" s="485"/>
      <c r="EB34" s="485"/>
      <c r="EC34" s="485">
        <f>-6.299-0</f>
        <v>-6.2990000000000004</v>
      </c>
      <c r="ED34" s="485">
        <f t="shared" si="26"/>
        <v>-6.2990000000000004</v>
      </c>
      <c r="EE34" s="485"/>
      <c r="EF34" s="485">
        <f>-3.765</f>
        <v>-3.7650000000000001</v>
      </c>
      <c r="EG34" s="485">
        <f>-9.495--3.765</f>
        <v>-5.7299999999999986</v>
      </c>
      <c r="EH34" s="485">
        <f>-12.781--9.495</f>
        <v>-3.2860000000000014</v>
      </c>
      <c r="EI34" s="485">
        <f>-16.098--12.781</f>
        <v>-3.3169999999999984</v>
      </c>
      <c r="EJ34" s="485">
        <f t="shared" si="27"/>
        <v>-16.097999999999999</v>
      </c>
      <c r="EK34" s="485"/>
      <c r="EL34" s="485">
        <f>-3.035</f>
        <v>-3.0350000000000001</v>
      </c>
      <c r="EM34" s="485">
        <f>-5.939--3.035</f>
        <v>-2.9039999999999999</v>
      </c>
      <c r="EN34" s="485">
        <f>-9.38--5.939</f>
        <v>-3.4410000000000007</v>
      </c>
      <c r="EO34" s="485">
        <f>-11.193--9.38</f>
        <v>-1.8129999999999988</v>
      </c>
      <c r="EP34" s="485">
        <f t="shared" si="28"/>
        <v>-11.193</v>
      </c>
      <c r="EQ34" s="485"/>
      <c r="ER34" s="485">
        <v>-0.79500000000000004</v>
      </c>
      <c r="ES34" s="485">
        <f>-1.27-ER34</f>
        <v>-0.47499999999999998</v>
      </c>
      <c r="ET34" s="485">
        <f>-1.514-ES34-ER34</f>
        <v>-0.24400000000000011</v>
      </c>
      <c r="EU34" s="485">
        <f>-3.07-SUM(ER34:ET34)</f>
        <v>-1.5559999999999996</v>
      </c>
      <c r="EV34" s="485">
        <f t="shared" si="29"/>
        <v>-3.07</v>
      </c>
      <c r="EW34" s="485"/>
      <c r="EX34" s="485">
        <v>-0.54100000000000004</v>
      </c>
      <c r="EY34" s="485">
        <f>-1.534-EX34</f>
        <v>-0.99299999999999999</v>
      </c>
      <c r="EZ34" s="485">
        <f>-0.665-EY34-EX34</f>
        <v>0.86899999999999999</v>
      </c>
      <c r="FA34" s="557">
        <f>BS!FA47-BS!EZ47</f>
        <v>0</v>
      </c>
      <c r="FB34" s="485">
        <f t="shared" si="30"/>
        <v>-0.66500000000000004</v>
      </c>
      <c r="FC34" s="485"/>
      <c r="FD34" s="557">
        <f>BS!FD47-BS!FA47</f>
        <v>0</v>
      </c>
      <c r="FE34" s="485">
        <f>BS!FE47-BS!FD47</f>
        <v>0</v>
      </c>
      <c r="FF34" s="485">
        <f>BS!FF47-BS!FE47</f>
        <v>0</v>
      </c>
      <c r="FG34" s="485">
        <f>BS!FG47-BS!FF47</f>
        <v>0</v>
      </c>
      <c r="FH34" s="485">
        <f t="shared" si="31"/>
        <v>0</v>
      </c>
      <c r="FI34" s="485"/>
      <c r="FJ34" s="485">
        <f>BS!FJ47-BS!FG47</f>
        <v>0</v>
      </c>
      <c r="FK34" s="485">
        <f>BS!FK47-BS!FJ47</f>
        <v>0</v>
      </c>
      <c r="FL34" s="485">
        <f>BS!FL47-BS!FK47</f>
        <v>0</v>
      </c>
      <c r="FM34" s="485">
        <f>BS!FM47-BS!FL47</f>
        <v>0</v>
      </c>
      <c r="FN34" s="485">
        <f t="shared" si="32"/>
        <v>0</v>
      </c>
      <c r="FO34" s="485"/>
      <c r="FP34" s="485">
        <f>BS!FP47-BS!FM47</f>
        <v>0</v>
      </c>
      <c r="FQ34" s="485">
        <f>BS!FQ47-BS!FP47</f>
        <v>0</v>
      </c>
      <c r="FR34" s="485">
        <f>BS!FR47-BS!FQ47</f>
        <v>0</v>
      </c>
      <c r="FS34" s="485">
        <f>BS!FS47-BS!FR47</f>
        <v>0</v>
      </c>
      <c r="FT34" s="485">
        <f t="shared" si="33"/>
        <v>0</v>
      </c>
      <c r="FU34" s="485"/>
      <c r="FV34" s="485">
        <f>BS!FV47-BS!FS47</f>
        <v>0</v>
      </c>
      <c r="FW34" s="485">
        <f>BS!FW47-BS!FV47</f>
        <v>0</v>
      </c>
      <c r="FX34" s="485">
        <f>BS!FX47-BS!FW47</f>
        <v>0</v>
      </c>
      <c r="FY34" s="485">
        <f>BS!FY47-BS!FX47</f>
        <v>0</v>
      </c>
      <c r="FZ34" s="485">
        <f t="shared" si="34"/>
        <v>0</v>
      </c>
      <c r="GA34" s="485"/>
      <c r="GB34" s="485">
        <f>BS!GB47-BS!FY47</f>
        <v>0</v>
      </c>
      <c r="GC34" s="485">
        <f>BS!GC47-BS!GB47</f>
        <v>0</v>
      </c>
      <c r="GD34" s="485">
        <f>BS!GD47-BS!GC47</f>
        <v>0</v>
      </c>
      <c r="GE34" s="485">
        <f>BS!GE47-BS!GD47</f>
        <v>0</v>
      </c>
      <c r="GF34" s="485">
        <f t="shared" si="35"/>
        <v>0</v>
      </c>
      <c r="GG34" s="485"/>
      <c r="GH34" s="485">
        <f>BS!GH47-BS!GE47</f>
        <v>0</v>
      </c>
      <c r="GI34" s="485">
        <f>BS!GI47-BS!GH47</f>
        <v>0</v>
      </c>
      <c r="GJ34" s="485">
        <f>BS!GJ47-BS!GI47</f>
        <v>0</v>
      </c>
      <c r="GK34" s="485">
        <f>BS!GK47-BS!GJ47</f>
        <v>0</v>
      </c>
      <c r="GL34" s="485">
        <f t="shared" si="36"/>
        <v>0</v>
      </c>
      <c r="GM34" s="485"/>
      <c r="GN34" s="485">
        <f>BS!GN47-BS!GK47</f>
        <v>0</v>
      </c>
      <c r="GO34" s="485">
        <f>BS!GO47-BS!GN47</f>
        <v>0</v>
      </c>
      <c r="GP34" s="485">
        <f>BS!GP47-BS!GO47</f>
        <v>0</v>
      </c>
      <c r="GQ34" s="485">
        <f>BS!GQ47-BS!GP47</f>
        <v>0</v>
      </c>
      <c r="GR34" s="485">
        <f t="shared" si="37"/>
        <v>0</v>
      </c>
      <c r="GS34" s="485"/>
      <c r="GT34" s="485">
        <f>BS!GT47-BS!GQ47</f>
        <v>0</v>
      </c>
      <c r="GU34" s="485">
        <f>BS!GU47-BS!GT47</f>
        <v>0</v>
      </c>
      <c r="GV34" s="485">
        <f>BS!GV47-BS!GU47</f>
        <v>0</v>
      </c>
      <c r="GW34" s="485">
        <f>BS!GW47-BS!GV47</f>
        <v>0</v>
      </c>
      <c r="GX34" s="485">
        <f t="shared" si="38"/>
        <v>0</v>
      </c>
      <c r="GY34" s="485"/>
      <c r="GZ34" s="485">
        <f>BS!GZ47-BS!GW47</f>
        <v>0</v>
      </c>
      <c r="HA34" s="485">
        <f>BS!HA47-BS!GZ47</f>
        <v>0</v>
      </c>
      <c r="HB34" s="485">
        <f>BS!HB47-BS!HA47</f>
        <v>0</v>
      </c>
      <c r="HC34" s="485">
        <f>BS!HC47-BS!HB47</f>
        <v>0</v>
      </c>
      <c r="HD34" s="485">
        <f t="shared" si="39"/>
        <v>0</v>
      </c>
      <c r="HE34" s="485"/>
      <c r="HF34" s="485">
        <f>BS!HF47-BS!HC47</f>
        <v>0</v>
      </c>
      <c r="HG34" s="485">
        <f>BS!HG47-BS!HF47</f>
        <v>0</v>
      </c>
      <c r="HH34" s="485">
        <f>BS!HH47-BS!HG47</f>
        <v>0</v>
      </c>
      <c r="HI34" s="485">
        <f>BS!HI47-BS!HH47</f>
        <v>0</v>
      </c>
      <c r="HJ34" s="485">
        <f t="shared" si="41"/>
        <v>0</v>
      </c>
      <c r="HK34" s="485"/>
      <c r="HL34" s="485"/>
      <c r="HM34" s="485"/>
      <c r="HN34" s="485"/>
      <c r="HO34" s="485"/>
      <c r="HP34" s="485"/>
      <c r="HQ34" s="485"/>
    </row>
    <row r="35" spans="1:225" s="512" customFormat="1">
      <c r="A35" s="30"/>
      <c r="B35" s="30" t="s">
        <v>546</v>
      </c>
      <c r="C35" s="30"/>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119"/>
      <c r="BT35" s="119"/>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474"/>
      <c r="DG35" s="36"/>
      <c r="DH35" s="532">
        <f>-0.158</f>
        <v>-0.158</v>
      </c>
      <c r="DI35" s="532">
        <f>-0.977--0.158</f>
        <v>-0.81899999999999995</v>
      </c>
      <c r="DJ35" s="532">
        <f>-1.749--0.977</f>
        <v>-0.77200000000000013</v>
      </c>
      <c r="DK35" s="532">
        <f>-1.352--1.749</f>
        <v>0.39700000000000002</v>
      </c>
      <c r="DL35" s="532">
        <f>SUM(DH35:DK35)</f>
        <v>-1.3520000000000001</v>
      </c>
      <c r="DM35" s="532"/>
      <c r="DN35" s="532">
        <f>-0.265</f>
        <v>-0.26500000000000001</v>
      </c>
      <c r="DO35" s="532">
        <f>-1.897--0.265</f>
        <v>-1.6320000000000001</v>
      </c>
      <c r="DP35" s="532">
        <f>-0.381--1.897</f>
        <v>1.516</v>
      </c>
      <c r="DQ35" s="532">
        <f>0--0.381</f>
        <v>0.38100000000000001</v>
      </c>
      <c r="DR35" s="532">
        <f>SUM(DN35:DQ35)</f>
        <v>0</v>
      </c>
      <c r="DS35" s="532"/>
      <c r="DT35" s="532">
        <f>-3.316</f>
        <v>-3.3159999999999998</v>
      </c>
      <c r="DU35" s="532">
        <f>-6.084--3.316</f>
        <v>-2.7679999999999998</v>
      </c>
      <c r="DV35" s="532">
        <f>-10.142--6.084</f>
        <v>-4.0579999999999998</v>
      </c>
      <c r="DW35" s="532">
        <f>-20.229--10.142</f>
        <v>-10.087</v>
      </c>
      <c r="DX35" s="532">
        <f t="shared" si="25"/>
        <v>-20.228999999999999</v>
      </c>
      <c r="DY35" s="532"/>
      <c r="DZ35" s="532">
        <f>-0.823</f>
        <v>-0.82299999999999995</v>
      </c>
      <c r="EA35" s="532">
        <f>-4.73--0.823</f>
        <v>-3.9070000000000005</v>
      </c>
      <c r="EB35" s="532">
        <f>-4.435--4.73</f>
        <v>0.29500000000000082</v>
      </c>
      <c r="EC35" s="532">
        <f>-4.788--4.435-7.875-0</f>
        <v>-8.2280000000000015</v>
      </c>
      <c r="ED35" s="532">
        <f t="shared" si="26"/>
        <v>-12.663</v>
      </c>
      <c r="EE35" s="532"/>
      <c r="EF35" s="532">
        <f>-2.832</f>
        <v>-2.8319999999999999</v>
      </c>
      <c r="EG35" s="532">
        <f>-4.932--2.832</f>
        <v>-2.1000000000000005</v>
      </c>
      <c r="EH35" s="532">
        <f>-7.086--4.932</f>
        <v>-2.1539999999999999</v>
      </c>
      <c r="EI35" s="532">
        <f>-8.557--7.086</f>
        <v>-1.4710000000000001</v>
      </c>
      <c r="EJ35" s="532">
        <f t="shared" si="27"/>
        <v>-8.5570000000000004</v>
      </c>
      <c r="EK35" s="532"/>
      <c r="EL35" s="532">
        <f>-1.722</f>
        <v>-1.722</v>
      </c>
      <c r="EM35" s="532">
        <f>-3.294--1.722</f>
        <v>-1.5720000000000001</v>
      </c>
      <c r="EN35" s="532">
        <f>-5.871--3.294</f>
        <v>-2.5770000000000004</v>
      </c>
      <c r="EO35" s="532">
        <f>-7.623--5.871</f>
        <v>-1.7519999999999998</v>
      </c>
      <c r="EP35" s="532">
        <f t="shared" si="28"/>
        <v>-7.6230000000000002</v>
      </c>
      <c r="EQ35" s="532"/>
      <c r="ER35" s="532">
        <v>-1.4319999999999999</v>
      </c>
      <c r="ES35" s="637">
        <f>-3.308-ER35-0.6</f>
        <v>-2.476</v>
      </c>
      <c r="ET35" s="532">
        <f>-4.287-ES35-ER35</f>
        <v>-0.379</v>
      </c>
      <c r="EU35" s="532">
        <f>-5.999-SUM(ER35:ET35)</f>
        <v>-1.7119999999999997</v>
      </c>
      <c r="EV35" s="532">
        <f t="shared" si="29"/>
        <v>-5.9989999999999997</v>
      </c>
      <c r="EW35" s="532"/>
      <c r="EX35" s="532">
        <v>-1.0900000000000001</v>
      </c>
      <c r="EY35" s="532">
        <f>-0.187-EX35</f>
        <v>0.90300000000000002</v>
      </c>
      <c r="EZ35" s="532">
        <f>-0.982-EY35-EX35</f>
        <v>-0.79499999999999993</v>
      </c>
      <c r="FA35" s="558">
        <f>SUM(BS!FA38:FA41,BS!FA48)-SUM(BS!EZ41:'BS'!EZ38,BS!EZ48)</f>
        <v>-0.34067461141550837</v>
      </c>
      <c r="FB35" s="532">
        <f t="shared" si="30"/>
        <v>-1.3226746114155084</v>
      </c>
      <c r="FC35" s="532"/>
      <c r="FD35" s="558">
        <f>SUM(BS!FD38:FD41,BS!FD48)-SUM(BS!FA38:FA41,BS!FA48)</f>
        <v>0.43572132027688326</v>
      </c>
      <c r="FE35" s="532">
        <f>SUM(BS!FE38:FE41,BS!FE48)-SUM(BS!FD41:'BS'!FD38,BS!FD48)</f>
        <v>0.38721758883029622</v>
      </c>
      <c r="FF35" s="532">
        <f>SUM(BS!FF38:FF41,BS!FF48)-SUM(BS!FE41:'BS'!FE38,BS!FE48)</f>
        <v>0.46716511020457574</v>
      </c>
      <c r="FG35" s="532">
        <f>SUM(BS!FG38:FG41,BS!FG48)-SUM(BS!FF41:'BS'!FF38,BS!FF48)</f>
        <v>0.54954710561796105</v>
      </c>
      <c r="FH35" s="532">
        <f t="shared" si="31"/>
        <v>1.8396511249297163</v>
      </c>
      <c r="FI35" s="532"/>
      <c r="FJ35" s="532">
        <f>SUM(BS!FJ38:FJ41,BS!FJ48)-SUM(BS!FG38:FG41,BS!FG48)</f>
        <v>0.47310219042002188</v>
      </c>
      <c r="FK35" s="532">
        <f>SUM(BS!FK38:FK41,BS!FK48)-SUM(BS!FJ41:'BS'!FJ38,BS!FJ48)</f>
        <v>0.50380934711171221</v>
      </c>
      <c r="FL35" s="532">
        <f>SUM(BS!FL38:FL41,BS!FL48)-SUM(BS!FK41:'BS'!FK38,BS!FK48)</f>
        <v>0.52829257269594621</v>
      </c>
      <c r="FM35" s="532">
        <f>SUM(BS!FM38:FM41,BS!FM48)-SUM(BS!FL41:'BS'!FL38,BS!FL48)</f>
        <v>0.54279365432360294</v>
      </c>
      <c r="FN35" s="532">
        <f t="shared" si="32"/>
        <v>2.0479977645512832</v>
      </c>
      <c r="FO35" s="532"/>
      <c r="FP35" s="532">
        <f>SUM(BS!FP38:FP41,BS!FP48)-SUM(BS!FM38:FM41,BS!FM48)</f>
        <v>0.52029030101080309</v>
      </c>
      <c r="FQ35" s="532">
        <f>SUM(BS!FQ38:FQ41,BS!FQ48)-SUM(BS!FP41:'BS'!FP38,BS!FP48)</f>
        <v>0.55413207311964641</v>
      </c>
      <c r="FR35" s="532">
        <f>SUM(BS!FR38:FR41,BS!FR48)-SUM(BS!FQ41:'BS'!FQ38,BS!FQ48)</f>
        <v>0.58106315568831235</v>
      </c>
      <c r="FS35" s="532">
        <f>SUM(BS!FS38:FS41,BS!FS48)-SUM(BS!FR41:'BS'!FR38,BS!FR48)</f>
        <v>0.59703059515770462</v>
      </c>
      <c r="FT35" s="532">
        <f t="shared" si="33"/>
        <v>2.2525161249764665</v>
      </c>
      <c r="FU35" s="532"/>
      <c r="FV35" s="532">
        <f>SUM(BS!FV38:FV41,BS!FV48)-SUM(BS!FS38:FS41,BS!FS48)</f>
        <v>0.54319380930974148</v>
      </c>
      <c r="FW35" s="532">
        <f>SUM(BS!FW38:FW41,BS!FW48)-SUM(BS!FV41:'BS'!FV38,BS!FV48)</f>
        <v>0.57715180129838473</v>
      </c>
      <c r="FX35" s="532">
        <f>SUM(BS!FX38:FX41,BS!FX48)-SUM(BS!FW41:'BS'!FW38,BS!FW48)</f>
        <v>0.60515577252792241</v>
      </c>
      <c r="FY35" s="532">
        <f>SUM(BS!FY38:FY41,BS!FY48)-SUM(BS!FX41:'BS'!FX38,BS!FX48)</f>
        <v>0.62144135606233419</v>
      </c>
      <c r="FZ35" s="532">
        <f t="shared" si="34"/>
        <v>2.3469427391983828</v>
      </c>
      <c r="GA35" s="532"/>
      <c r="GB35" s="532">
        <f>SUM(BS!GB38:GB41,BS!GB48)-SUM(BS!FY38:FY41,BS!FY48)</f>
        <v>0.56175758695538036</v>
      </c>
      <c r="GC35" s="532">
        <f>SUM(BS!GC38:GC41,BS!GC48)-SUM(BS!GB41:'BS'!GB38,BS!GB48)</f>
        <v>0.59687610139800995</v>
      </c>
      <c r="GD35" s="532">
        <f>SUM(BS!GD38:GD41,BS!GD48)-SUM(BS!GC41:'BS'!GC38,BS!GC48)</f>
        <v>0.62583711500575134</v>
      </c>
      <c r="GE35" s="532">
        <f>SUM(BS!GE38:GE41,BS!GE48)-SUM(BS!GD41:'BS'!GD38,BS!GD48)</f>
        <v>0.64267926223142524</v>
      </c>
      <c r="GF35" s="532">
        <f t="shared" si="35"/>
        <v>2.4271500655905669</v>
      </c>
      <c r="GG35" s="532"/>
      <c r="GH35" s="532">
        <f>SUM(BS!GH38:GH41,BS!GH48)-SUM(BS!GE38:GE41,BS!GE48)</f>
        <v>0.56253312659116261</v>
      </c>
      <c r="GI35" s="532">
        <f>SUM(BS!GI38:GI41,BS!GI48)-SUM(BS!GH41:'BS'!GH38,BS!GH48)</f>
        <v>0.59770012422394814</v>
      </c>
      <c r="GJ35" s="532">
        <f>SUM(BS!GJ38:GJ41,BS!GJ48)-SUM(BS!GI41:'BS'!GI38,BS!GI48)</f>
        <v>0.62670112022706803</v>
      </c>
      <c r="GK35" s="532">
        <f>SUM(BS!GK38:GK41,BS!GK48)-SUM(BS!GJ41:'BS'!GJ38,BS!GJ48)</f>
        <v>0.64356651903494821</v>
      </c>
      <c r="GL35" s="532">
        <f t="shared" si="36"/>
        <v>2.430500890077127</v>
      </c>
      <c r="GM35" s="532"/>
      <c r="GN35" s="532">
        <f>SUM(BS!GN38:GN41,BS!GN48)-SUM(BS!GK38:GK41,BS!GK48)</f>
        <v>0.57052285829239224</v>
      </c>
      <c r="GO35" s="532">
        <f>SUM(BS!GO38:GO41,BS!GO48)-SUM(BS!GN41:'BS'!GN38,BS!GN48)</f>
        <v>0.60618933740019543</v>
      </c>
      <c r="GP35" s="532">
        <f>SUM(BS!GP38:GP41,BS!GP48)-SUM(BS!GO41:'BS'!GO38,BS!GO48)</f>
        <v>0.63560223834933538</v>
      </c>
      <c r="GQ35" s="532">
        <f>SUM(BS!GQ38:GQ41,BS!GQ48)-SUM(BS!GP41:'BS'!GP38,BS!GP48)</f>
        <v>0.65270717862621552</v>
      </c>
      <c r="GR35" s="532">
        <f t="shared" si="37"/>
        <v>2.4650216126681386</v>
      </c>
      <c r="GS35" s="532"/>
      <c r="GT35" s="532">
        <f>SUM(BS!GT38:GT41,BS!GT48)-SUM(BS!GQ38:GQ41,BS!GQ48)</f>
        <v>0.57345421926409301</v>
      </c>
      <c r="GU35" s="532">
        <f>SUM(BS!GU38:GU41,BS!GU48)-SUM(BS!GT41:'BS'!GT38,BS!GT48)</f>
        <v>0.60930395364962919</v>
      </c>
      <c r="GV35" s="532">
        <f>SUM(BS!GV38:GV41,BS!GV48)-SUM(BS!GU41:'BS'!GU38,BS!GU48)</f>
        <v>0.63886797883270674</v>
      </c>
      <c r="GW35" s="532">
        <f>SUM(BS!GW38:GW41,BS!GW48)-SUM(BS!GV41:'BS'!GV38,BS!GV48)</f>
        <v>0.65606080472824146</v>
      </c>
      <c r="GX35" s="532">
        <f t="shared" si="38"/>
        <v>2.4776869564746704</v>
      </c>
      <c r="GY35" s="532"/>
      <c r="GZ35" s="532">
        <f>SUM(BS!GZ38:GZ41,BS!GZ48)-SUM(BS!GW38:GW41,BS!GW48)</f>
        <v>0.57087370758873135</v>
      </c>
      <c r="HA35" s="532">
        <f>SUM(BS!HA38:HA41,BS!HA48)-SUM(BS!GZ41:'BS'!GZ38,BS!GZ48)</f>
        <v>0.60656212018947997</v>
      </c>
      <c r="HB35" s="532">
        <f>SUM(BS!HB38:HB41,BS!HB48)-SUM(BS!HA41:'BS'!HA38,BS!HA48)</f>
        <v>0.63599310892502103</v>
      </c>
      <c r="HC35" s="532">
        <f>SUM(BS!HC38:HC41,BS!HC48)-SUM(BS!HB41:'BS'!HB38,BS!HB48)</f>
        <v>0.65310856807276707</v>
      </c>
      <c r="HD35" s="532">
        <f t="shared" si="39"/>
        <v>2.4665375047759994</v>
      </c>
      <c r="HE35" s="532"/>
      <c r="HF35" s="532">
        <f>SUM(BS!HF38:HF41,BS!HF48)-SUM(BS!HC38:HC41,BS!HC48)</f>
        <v>0.5624013427656962</v>
      </c>
      <c r="HG35" s="532">
        <f>SUM(BS!HG38:HG41,BS!HG48)-SUM(BS!HF41:'BS'!HF38,BS!HF48)</f>
        <v>0.59756010187658148</v>
      </c>
      <c r="HH35" s="532">
        <f>SUM(BS!HH38:HH41,BS!HH48)-SUM(BS!HG41:'BS'!HG38,BS!HG48)</f>
        <v>0.62655430385815691</v>
      </c>
      <c r="HI35" s="532">
        <f>SUM(BS!HI38:HI41,BS!HI48)-SUM(BS!HH41:'BS'!HH38,BS!HH48)</f>
        <v>0.64341575163331299</v>
      </c>
      <c r="HJ35" s="532">
        <f t="shared" si="41"/>
        <v>2.4299315001337476</v>
      </c>
      <c r="HK35" s="532"/>
      <c r="HL35" s="532"/>
      <c r="HM35" s="532"/>
      <c r="HN35" s="532"/>
      <c r="HO35" s="532"/>
      <c r="HP35" s="532"/>
      <c r="HQ35" s="532"/>
    </row>
    <row r="36" spans="1:225" s="531" customFormat="1">
      <c r="A36" s="29" t="s">
        <v>91</v>
      </c>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475"/>
      <c r="BT36" s="475"/>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344">
        <f>SUM(DH9:DH14)+SUM(DH29:DH35)</f>
        <v>14.311999999999998</v>
      </c>
      <c r="DI36" s="344">
        <f>SUM(DI9:DI14)+SUM(DI29:DI35)</f>
        <v>6.6400000000000006</v>
      </c>
      <c r="DJ36" s="344">
        <f>SUM(DJ9:DJ14)+SUM(DJ29:DJ35)</f>
        <v>8.3809999999999985</v>
      </c>
      <c r="DK36" s="344">
        <f>SUM(DK9:DK14)+SUM(DK29:DK35)</f>
        <v>15.452999999999999</v>
      </c>
      <c r="DL36" s="344">
        <f>SUM(DL9:DL14)+SUM(DL29:DL35)</f>
        <v>44.785999999999994</v>
      </c>
      <c r="DM36" s="344"/>
      <c r="DN36" s="344">
        <f>SUM(DN9:DN14)+SUM(DN29:DN35)</f>
        <v>6.0970000000000013</v>
      </c>
      <c r="DO36" s="344">
        <f>SUM(DO9:DO14)+SUM(DO29:DO35)</f>
        <v>-4.7210000000000019</v>
      </c>
      <c r="DP36" s="344">
        <f>SUM(DP9:DP14)+SUM(DP29:DP35)</f>
        <v>18.634</v>
      </c>
      <c r="DQ36" s="344">
        <f>SUM(DQ9:DQ14)+SUM(DQ29:DQ35)</f>
        <v>3.3590000000000018</v>
      </c>
      <c r="DR36" s="344">
        <f>SUM(DR9:DR14)+SUM(DR29:DR35)</f>
        <v>23.369</v>
      </c>
      <c r="DS36" s="344"/>
      <c r="DT36" s="344">
        <f>SUM(DT9:DT14)+SUM(DT29:DT35)</f>
        <v>-6.9329999999999989</v>
      </c>
      <c r="DU36" s="344">
        <f>SUM(DU9:DU14)+SUM(DU29:DU35)</f>
        <v>1.8819999999999979</v>
      </c>
      <c r="DV36" s="344">
        <f>SUM(DV9:DV14)+SUM(DV29:DV35)</f>
        <v>0.52599999999999625</v>
      </c>
      <c r="DW36" s="344">
        <f>SUM(DW9:DW14)+SUM(DW29:DW35)</f>
        <v>5.9909999999999997</v>
      </c>
      <c r="DX36" s="344">
        <f>SUM(DX9:DX14)+SUM(DX29:DX35)</f>
        <v>1.4660000000000082</v>
      </c>
      <c r="DY36" s="344"/>
      <c r="DZ36" s="344">
        <f>SUM(DZ9:DZ14)+SUM(DZ29:DZ35)</f>
        <v>2.2099999999999995</v>
      </c>
      <c r="EA36" s="344">
        <f>SUM(EA9:EA14)+SUM(EA29:EA35)</f>
        <v>-1.3899999999999921</v>
      </c>
      <c r="EB36" s="344">
        <f>SUM(EB9:EB14)+SUM(EB29:EB35)</f>
        <v>-7.7669999999999959</v>
      </c>
      <c r="EC36" s="344">
        <f>SUM(EC9:EC14)+SUM(EC29:EC35)</f>
        <v>-19.776000000000003</v>
      </c>
      <c r="ED36" s="344">
        <f>SUM(ED9:ED14)+SUM(ED29:ED35)</f>
        <v>-26.723000000000017</v>
      </c>
      <c r="EE36" s="344"/>
      <c r="EF36" s="344">
        <f>SUM(EF9:EF14)+SUM(EF29:EF35)</f>
        <v>-29.04</v>
      </c>
      <c r="EG36" s="344">
        <f>SUM(EG9:EG14)+SUM(EG29:EG35)</f>
        <v>-16.995999999999999</v>
      </c>
      <c r="EH36" s="344">
        <f>SUM(EH9:EH14)+SUM(EH29:EH35)</f>
        <v>-16.272000000000006</v>
      </c>
      <c r="EI36" s="344">
        <f>SUM(EI9:EI14)+SUM(EI29:EI35)</f>
        <v>-3.6849999999999947</v>
      </c>
      <c r="EJ36" s="344">
        <f>SUM(EJ9:EJ14)+SUM(EJ29:EJ35)</f>
        <v>-65.992999999999995</v>
      </c>
      <c r="EK36" s="344"/>
      <c r="EL36" s="344">
        <f>SUM(EL9:EL14)+SUM(EL29:EL35)</f>
        <v>-12.692</v>
      </c>
      <c r="EM36" s="344">
        <f>SUM(EM9:EM14)+SUM(EM29:EM35)</f>
        <v>-1.5479999999999983</v>
      </c>
      <c r="EN36" s="344">
        <f>SUM(EN9:EN14)+SUM(EN29:EN35)</f>
        <v>-5.4969999999999928</v>
      </c>
      <c r="EO36" s="344">
        <f>SUM(EO9:EO14)+SUM(EO29:EO35)</f>
        <v>17.783999999999995</v>
      </c>
      <c r="EP36" s="344">
        <f>SUM(EP9:EP14)+SUM(EP29:EP35)</f>
        <v>-1.9530000000000065</v>
      </c>
      <c r="EQ36" s="344"/>
      <c r="ER36" s="344">
        <f>SUM(ER9:ER14)+SUM(ER29:ER35)</f>
        <v>-25.914999999999996</v>
      </c>
      <c r="ES36" s="344">
        <f>SUM(ES9:ES14)+SUM(ES29:ES35)</f>
        <v>13.921999999999997</v>
      </c>
      <c r="ET36" s="344">
        <f>SUM(ET9:ET14)+SUM(ET29:ET35)</f>
        <v>9.2160000000000029</v>
      </c>
      <c r="EU36" s="344">
        <f>SUM(EU9:EU14)+SUM(EU29:EU35)</f>
        <v>9.7999999999999936</v>
      </c>
      <c r="EV36" s="344">
        <f>SUM(EV9:EV14)+SUM(EV29:EV35)</f>
        <v>7.022999999999989</v>
      </c>
      <c r="EW36" s="344"/>
      <c r="EX36" s="344">
        <f>SUM(EX9:EX14)+SUM(EX29:EX35)</f>
        <v>-25.326999999999998</v>
      </c>
      <c r="EY36" s="344">
        <f>SUM(EY9:EY14)+SUM(EY29:EY35)</f>
        <v>20.330000000000005</v>
      </c>
      <c r="EZ36" s="344">
        <f>SUM(EZ9:EZ14)+SUM(EZ29:EZ35)</f>
        <v>8.883999999999995</v>
      </c>
      <c r="FA36" s="559">
        <f>SUM(FA9:FA14)+SUM(FA29:FA35)</f>
        <v>20.093953071997866</v>
      </c>
      <c r="FB36" s="344">
        <f>SUM(FB9:FB14)+SUM(FB29:FB35)</f>
        <v>23.980953071997874</v>
      </c>
      <c r="FC36" s="344"/>
      <c r="FD36" s="559">
        <f>SUM(FD9:FD14)+SUM(FD29:FD35)</f>
        <v>9.7353826638757077</v>
      </c>
      <c r="FE36" s="344">
        <f>SUM(FE9:FE14)+SUM(FE29:FE35)</f>
        <v>8.4183195767944152</v>
      </c>
      <c r="FF36" s="344">
        <f>SUM(FF9:FF14)+SUM(FF29:FF35)</f>
        <v>13.845362199725834</v>
      </c>
      <c r="FG36" s="344">
        <f>SUM(FG9:FG14)+SUM(FG29:FG35)</f>
        <v>16.981157072723359</v>
      </c>
      <c r="FH36" s="344">
        <f>SUM(FH9:FH14)+SUM(FH29:FH35)</f>
        <v>48.980221513119318</v>
      </c>
      <c r="FI36" s="344"/>
      <c r="FJ36" s="344">
        <f>SUM(FJ9:FJ14)+SUM(FJ29:FJ35)</f>
        <v>23.590452916766164</v>
      </c>
      <c r="FK36" s="344">
        <f>SUM(FK9:FK14)+SUM(FK29:FK35)</f>
        <v>15.650646934082012</v>
      </c>
      <c r="FL36" s="344">
        <f>SUM(FL9:FL14)+SUM(FL29:FL35)</f>
        <v>16.355397686317552</v>
      </c>
      <c r="FM36" s="344">
        <f>SUM(FM9:FM14)+SUM(FM29:FM35)</f>
        <v>15.244614909327954</v>
      </c>
      <c r="FN36" s="344">
        <f>SUM(FN9:FN14)+SUM(FN29:FN35)</f>
        <v>70.841112446493682</v>
      </c>
      <c r="FO36" s="344"/>
      <c r="FP36" s="344">
        <f>SUM(FP9:FP14)+SUM(FP29:FP35)</f>
        <v>28.007012017278576</v>
      </c>
      <c r="FQ36" s="344">
        <f>SUM(FQ9:FQ14)+SUM(FQ29:FQ35)</f>
        <v>19.833846630103146</v>
      </c>
      <c r="FR36" s="344">
        <f>SUM(FR9:FR14)+SUM(FR29:FR35)</f>
        <v>20.919597405836853</v>
      </c>
      <c r="FS36" s="344">
        <f>SUM(FS9:FS14)+SUM(FS29:FS35)</f>
        <v>22.095908992090074</v>
      </c>
      <c r="FT36" s="344">
        <f>SUM(FT9:FT14)+SUM(FT29:FT35)</f>
        <v>90.85636504530865</v>
      </c>
      <c r="FU36" s="344"/>
      <c r="FV36" s="344">
        <f>SUM(FV9:FV14)+SUM(FV29:FV35)</f>
        <v>31.265156844818996</v>
      </c>
      <c r="FW36" s="344">
        <f>SUM(FW9:FW14)+SUM(FW29:FW35)</f>
        <v>21.362787756357385</v>
      </c>
      <c r="FX36" s="344">
        <f>SUM(FX9:FX14)+SUM(FX29:FX35)</f>
        <v>22.642117613506898</v>
      </c>
      <c r="FY36" s="344">
        <f>SUM(FY9:FY14)+SUM(FY29:FY35)</f>
        <v>23.973340934349316</v>
      </c>
      <c r="FZ36" s="344">
        <f>SUM(FZ9:FZ14)+SUM(FZ29:FZ35)</f>
        <v>99.243403149032588</v>
      </c>
      <c r="GA36" s="344"/>
      <c r="GB36" s="344">
        <f>SUM(GB9:GB14)+SUM(GB29:GB35)</f>
        <v>39.370043686176004</v>
      </c>
      <c r="GC36" s="344">
        <f>SUM(GC9:GC14)+SUM(GC29:GC35)</f>
        <v>28.637345555994045</v>
      </c>
      <c r="GD36" s="344">
        <f>SUM(GD9:GD14)+SUM(GD29:GD35)</f>
        <v>30.271450336420642</v>
      </c>
      <c r="GE36" s="344">
        <f>SUM(GE9:GE14)+SUM(GE29:GE35)</f>
        <v>31.8581147849305</v>
      </c>
      <c r="GF36" s="344">
        <f>SUM(GF9:GF14)+SUM(GF29:GF35)</f>
        <v>130.1369543635212</v>
      </c>
      <c r="GG36" s="344"/>
      <c r="GH36" s="344">
        <f>SUM(GH9:GH14)+SUM(GH29:GH35)</f>
        <v>47.882406069693772</v>
      </c>
      <c r="GI36" s="344">
        <f>SUM(GI9:GI14)+SUM(GI29:GI35)</f>
        <v>36.4919453182357</v>
      </c>
      <c r="GJ36" s="344">
        <f>SUM(GJ9:GJ14)+SUM(GJ29:GJ35)</f>
        <v>38.563259979480833</v>
      </c>
      <c r="GK36" s="344">
        <f>SUM(GK9:GK14)+SUM(GK29:GK35)</f>
        <v>42.191811959369929</v>
      </c>
      <c r="GL36" s="344">
        <f>SUM(GL9:GL14)+SUM(GL29:GL35)</f>
        <v>165.12942332678023</v>
      </c>
      <c r="GM36" s="344"/>
      <c r="GN36" s="344">
        <f>SUM(GN9:GN14)+SUM(GN29:GN35)</f>
        <v>59.317344076891985</v>
      </c>
      <c r="GO36" s="344">
        <f>SUM(GO9:GO14)+SUM(GO29:GO35)</f>
        <v>47.340555249270942</v>
      </c>
      <c r="GP36" s="344">
        <f>SUM(GP9:GP14)+SUM(GP29:GP35)</f>
        <v>49.848354907676146</v>
      </c>
      <c r="GQ36" s="344">
        <f>SUM(GQ9:GQ14)+SUM(GQ29:GQ35)</f>
        <v>52.056574265516254</v>
      </c>
      <c r="GR36" s="344">
        <f>SUM(GR9:GR14)+SUM(GR29:GR35)</f>
        <v>208.56282849935531</v>
      </c>
      <c r="GS36" s="344"/>
      <c r="GT36" s="344">
        <f>SUM(GT9:GT14)+SUM(GT29:GT35)</f>
        <v>69.123513249024214</v>
      </c>
      <c r="GU36" s="344">
        <f>SUM(GU9:GU14)+SUM(GU29:GU35)</f>
        <v>56.612066664772499</v>
      </c>
      <c r="GV36" s="344">
        <f>SUM(GV9:GV14)+SUM(GV29:GV35)</f>
        <v>59.605014987926353</v>
      </c>
      <c r="GW36" s="344">
        <f>SUM(GW9:GW14)+SUM(GW29:GW35)</f>
        <v>62.158589133740435</v>
      </c>
      <c r="GX36" s="344">
        <f>SUM(GX9:GX14)+SUM(GX29:GX35)</f>
        <v>247.49918403546349</v>
      </c>
      <c r="GY36" s="344"/>
      <c r="GZ36" s="344">
        <f>SUM(GZ9:GZ14)+SUM(GZ29:GZ35)</f>
        <v>80.221252490883131</v>
      </c>
      <c r="HA36" s="344">
        <f>SUM(HA9:HA14)+SUM(HA29:HA35)</f>
        <v>67.234838021743258</v>
      </c>
      <c r="HB36" s="344">
        <f>SUM(HB9:HB14)+SUM(HB29:HB35)</f>
        <v>70.755465340038867</v>
      </c>
      <c r="HC36" s="344">
        <f>SUM(HC9:HC14)+SUM(HC29:HC35)</f>
        <v>73.677228478231228</v>
      </c>
      <c r="HD36" s="344">
        <f>SUM(HD9:HD14)+SUM(HD29:HD35)</f>
        <v>291.88878433089656</v>
      </c>
      <c r="HE36" s="344"/>
      <c r="HF36" s="344">
        <f>SUM(HF9:HF14)+SUM(HF29:HF35)</f>
        <v>92.308375691278314</v>
      </c>
      <c r="HG36" s="344">
        <f>SUM(HG9:HG14)+SUM(HG29:HG35)</f>
        <v>78.904126186842447</v>
      </c>
      <c r="HH36" s="344">
        <f>SUM(HH9:HH14)+SUM(HH29:HH35)</f>
        <v>82.981976352898045</v>
      </c>
      <c r="HI36" s="344">
        <f>SUM(HI9:HI14)+SUM(HI29:HI35)</f>
        <v>86.287209626268748</v>
      </c>
      <c r="HJ36" s="344">
        <f>SUM(HJ9:HJ14)+SUM(HJ29:HJ35)</f>
        <v>340.48168785728757</v>
      </c>
      <c r="HK36" s="344"/>
      <c r="HL36" s="344"/>
      <c r="HM36" s="344"/>
      <c r="HN36" s="344"/>
      <c r="HO36" s="344"/>
      <c r="HP36" s="344"/>
      <c r="HQ36" s="344"/>
    </row>
    <row r="37" spans="1:2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42"/>
      <c r="BQ37" s="30"/>
      <c r="BR37" s="30"/>
      <c r="BS37" s="477"/>
      <c r="BT37" s="477"/>
      <c r="BU37" s="30"/>
      <c r="BV37" s="42"/>
      <c r="BW37" s="30"/>
      <c r="BX37" s="30"/>
      <c r="BY37" s="107"/>
      <c r="BZ37" s="107"/>
      <c r="CA37" s="30"/>
      <c r="CB37" s="30"/>
      <c r="CC37" s="30"/>
      <c r="CD37" s="30"/>
      <c r="CE37" s="30"/>
      <c r="CF37" s="30"/>
      <c r="CG37" s="30"/>
      <c r="CH37" s="30"/>
      <c r="CI37" s="30"/>
      <c r="CJ37" s="30"/>
      <c r="CK37" s="30"/>
      <c r="CL37" s="30"/>
      <c r="CM37" s="30"/>
      <c r="CN37" s="30"/>
      <c r="CO37" s="30"/>
      <c r="CP37" s="30"/>
      <c r="CQ37" s="30"/>
      <c r="CR37" s="30"/>
      <c r="CS37" s="30"/>
      <c r="CT37" s="30"/>
      <c r="CU37" s="30"/>
      <c r="CV37" s="30"/>
      <c r="CW37" s="107"/>
      <c r="CX37" s="30"/>
      <c r="CY37" s="30"/>
      <c r="CZ37" s="30"/>
      <c r="DA37" s="30"/>
      <c r="DB37" s="30"/>
      <c r="DC37" s="30"/>
      <c r="DD37" s="30"/>
      <c r="DE37" s="30"/>
      <c r="DF37" s="30"/>
      <c r="DG37" s="30"/>
      <c r="DH37" s="485"/>
      <c r="DI37" s="485"/>
      <c r="DJ37" s="485"/>
      <c r="DK37" s="485"/>
      <c r="DL37" s="485"/>
      <c r="DM37" s="485"/>
      <c r="DN37" s="485"/>
      <c r="DO37" s="485"/>
      <c r="DP37" s="485"/>
      <c r="DQ37" s="485"/>
      <c r="DR37" s="485"/>
      <c r="DS37" s="485"/>
      <c r="DT37" s="485"/>
      <c r="DU37" s="485"/>
      <c r="DV37" s="485"/>
      <c r="DW37" s="485"/>
      <c r="DX37" s="485"/>
      <c r="DY37" s="485"/>
      <c r="DZ37" s="485"/>
      <c r="EA37" s="485"/>
      <c r="EB37" s="485"/>
      <c r="EC37" s="485"/>
      <c r="ED37" s="485"/>
      <c r="EE37" s="485"/>
      <c r="EF37" s="485"/>
      <c r="EG37" s="485"/>
      <c r="EH37" s="485"/>
      <c r="EI37" s="485"/>
      <c r="EJ37" s="485"/>
      <c r="EK37" s="485"/>
      <c r="EL37" s="485"/>
      <c r="EM37" s="485"/>
      <c r="EN37" s="485"/>
      <c r="EO37" s="485"/>
      <c r="EP37" s="485"/>
      <c r="EQ37" s="485"/>
      <c r="ER37" s="485"/>
      <c r="ES37" s="485"/>
      <c r="ET37" s="485"/>
      <c r="EU37" s="485"/>
      <c r="EV37" s="485"/>
      <c r="EW37" s="485"/>
      <c r="EX37" s="485"/>
      <c r="EY37" s="485"/>
      <c r="EZ37" s="485"/>
      <c r="FA37" s="557"/>
      <c r="FB37" s="485"/>
      <c r="FC37" s="485"/>
      <c r="FD37" s="557"/>
      <c r="FE37" s="485"/>
      <c r="FF37" s="485"/>
      <c r="FG37" s="485"/>
      <c r="FH37" s="485"/>
      <c r="FI37" s="485"/>
      <c r="FJ37" s="485"/>
      <c r="FK37" s="485"/>
      <c r="FL37" s="485"/>
      <c r="FM37" s="485"/>
      <c r="FN37" s="485"/>
      <c r="FO37" s="485"/>
      <c r="FP37" s="485"/>
      <c r="FQ37" s="485"/>
      <c r="FR37" s="485"/>
      <c r="FS37" s="485"/>
      <c r="FT37" s="485"/>
      <c r="FU37" s="485"/>
      <c r="FV37" s="485"/>
      <c r="FW37" s="485"/>
      <c r="FX37" s="485"/>
      <c r="FY37" s="485"/>
      <c r="FZ37" s="485"/>
      <c r="GA37" s="485"/>
      <c r="GB37" s="485"/>
      <c r="GC37" s="485"/>
      <c r="GD37" s="485"/>
      <c r="GE37" s="485"/>
      <c r="GF37" s="485"/>
      <c r="GG37" s="485"/>
      <c r="GH37" s="485"/>
      <c r="GI37" s="485"/>
      <c r="GJ37" s="485"/>
      <c r="GK37" s="485"/>
      <c r="GL37" s="485"/>
      <c r="GM37" s="485"/>
      <c r="GN37" s="485"/>
      <c r="GO37" s="485"/>
      <c r="GP37" s="485"/>
      <c r="GQ37" s="485"/>
      <c r="GR37" s="485"/>
      <c r="GS37" s="485"/>
      <c r="GT37" s="485"/>
      <c r="GU37" s="485"/>
      <c r="GV37" s="485"/>
      <c r="GW37" s="485"/>
      <c r="GX37" s="485"/>
      <c r="GY37" s="485"/>
      <c r="GZ37" s="485"/>
      <c r="HA37" s="485"/>
      <c r="HB37" s="485"/>
      <c r="HC37" s="485"/>
      <c r="HD37" s="485"/>
      <c r="HE37" s="485"/>
      <c r="HF37" s="485"/>
      <c r="HG37" s="485"/>
      <c r="HH37" s="485"/>
      <c r="HI37" s="485"/>
      <c r="HJ37" s="485"/>
      <c r="HK37" s="485"/>
      <c r="HL37" s="485"/>
      <c r="HM37" s="485"/>
      <c r="HN37" s="485"/>
      <c r="HO37" s="485"/>
      <c r="HP37" s="485"/>
      <c r="HQ37" s="485"/>
    </row>
    <row r="38" spans="1:225">
      <c r="A38" s="29" t="s">
        <v>92</v>
      </c>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118"/>
      <c r="BT38" s="118"/>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107"/>
      <c r="CY38" s="30"/>
      <c r="CZ38" s="30"/>
      <c r="DA38" s="30"/>
      <c r="DB38" s="30"/>
      <c r="DC38" s="107"/>
      <c r="DD38" s="107"/>
      <c r="DE38" s="107"/>
      <c r="DF38" s="30"/>
      <c r="DG38" s="30"/>
      <c r="DH38" s="485"/>
      <c r="DI38" s="485"/>
      <c r="DJ38" s="485"/>
      <c r="DK38" s="485"/>
      <c r="DL38" s="485"/>
      <c r="DM38" s="485"/>
      <c r="DN38" s="485"/>
      <c r="DO38" s="485"/>
      <c r="DP38" s="485"/>
      <c r="DQ38" s="485"/>
      <c r="DR38" s="485"/>
      <c r="DS38" s="485"/>
      <c r="DT38" s="485"/>
      <c r="DU38" s="485"/>
      <c r="DV38" s="485"/>
      <c r="DW38" s="485"/>
      <c r="DX38" s="485"/>
      <c r="DY38" s="485"/>
      <c r="DZ38" s="485"/>
      <c r="EA38" s="485"/>
      <c r="EB38" s="485"/>
      <c r="EC38" s="485"/>
      <c r="ED38" s="485"/>
      <c r="EE38" s="485"/>
      <c r="EF38" s="485"/>
      <c r="EG38" s="485"/>
      <c r="EH38" s="485"/>
      <c r="EI38" s="485"/>
      <c r="EJ38" s="485"/>
      <c r="EK38" s="485"/>
      <c r="EL38" s="485"/>
      <c r="EM38" s="485"/>
      <c r="EN38" s="485"/>
      <c r="EO38" s="485"/>
      <c r="EP38" s="485"/>
      <c r="EQ38" s="485"/>
      <c r="ER38" s="485"/>
      <c r="ES38" s="485"/>
      <c r="ET38" s="485"/>
      <c r="EU38" s="485"/>
      <c r="EV38" s="485"/>
      <c r="EW38" s="485"/>
      <c r="EX38" s="485"/>
      <c r="EY38" s="485"/>
      <c r="EZ38" s="485"/>
      <c r="FA38" s="557"/>
      <c r="FB38" s="485"/>
      <c r="FC38" s="485"/>
      <c r="FD38" s="557"/>
      <c r="FE38" s="485"/>
      <c r="FF38" s="485"/>
      <c r="FG38" s="485"/>
      <c r="FH38" s="485"/>
      <c r="FI38" s="485"/>
      <c r="FJ38" s="485"/>
      <c r="FK38" s="485"/>
      <c r="FL38" s="485"/>
      <c r="FM38" s="485"/>
      <c r="FN38" s="485"/>
      <c r="FO38" s="485"/>
      <c r="FP38" s="485"/>
      <c r="FQ38" s="485"/>
      <c r="FR38" s="485"/>
      <c r="FS38" s="485"/>
      <c r="FT38" s="485"/>
      <c r="FU38" s="485"/>
      <c r="FV38" s="485"/>
      <c r="FW38" s="485"/>
      <c r="FX38" s="485"/>
      <c r="FY38" s="485"/>
      <c r="FZ38" s="485"/>
      <c r="GA38" s="485"/>
      <c r="GB38" s="485"/>
      <c r="GC38" s="485"/>
      <c r="GD38" s="485"/>
      <c r="GE38" s="485"/>
      <c r="GF38" s="485"/>
      <c r="GG38" s="485"/>
      <c r="GH38" s="485"/>
      <c r="GI38" s="485"/>
      <c r="GJ38" s="485"/>
      <c r="GK38" s="485"/>
      <c r="GL38" s="485"/>
      <c r="GM38" s="485"/>
      <c r="GN38" s="485"/>
      <c r="GO38" s="485"/>
      <c r="GP38" s="485"/>
      <c r="GQ38" s="485"/>
      <c r="GR38" s="485"/>
      <c r="GS38" s="485"/>
      <c r="GT38" s="485"/>
      <c r="GU38" s="485"/>
      <c r="GV38" s="485"/>
      <c r="GW38" s="485"/>
      <c r="GX38" s="485"/>
      <c r="GY38" s="485"/>
      <c r="GZ38" s="485"/>
      <c r="HA38" s="485"/>
      <c r="HB38" s="485"/>
      <c r="HC38" s="485"/>
      <c r="HD38" s="485"/>
      <c r="HE38" s="485"/>
      <c r="HF38" s="485"/>
      <c r="HG38" s="485"/>
      <c r="HH38" s="485"/>
      <c r="HI38" s="485"/>
      <c r="HJ38" s="485"/>
      <c r="HK38" s="485"/>
      <c r="HL38" s="485"/>
      <c r="HM38" s="485"/>
      <c r="HN38" s="485"/>
      <c r="HO38" s="485"/>
      <c r="HP38" s="485"/>
      <c r="HQ38" s="485"/>
    </row>
    <row r="39" spans="1:225">
      <c r="A39" s="30"/>
      <c r="B39" s="30" t="s">
        <v>93</v>
      </c>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118"/>
      <c r="BT39" s="118"/>
      <c r="BU39" s="30"/>
      <c r="BV39" s="30"/>
      <c r="BW39" s="30"/>
      <c r="BX39" s="118"/>
      <c r="BY39" s="30"/>
      <c r="BZ39" s="30"/>
      <c r="CA39" s="30"/>
      <c r="CB39" s="30"/>
      <c r="CC39" s="30"/>
      <c r="CD39" s="118"/>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485">
        <f>-4.666</f>
        <v>-4.6660000000000004</v>
      </c>
      <c r="DI39" s="485">
        <f>-8.943--4.666</f>
        <v>-4.2769999999999992</v>
      </c>
      <c r="DJ39" s="485">
        <f>-11.091--8.943</f>
        <v>-2.1479999999999997</v>
      </c>
      <c r="DK39" s="485">
        <f>-14.31--11.091</f>
        <v>-3.2190000000000012</v>
      </c>
      <c r="DL39" s="485">
        <f t="shared" ref="DL39:DL46" si="42">SUM(DH39:DK39)</f>
        <v>-14.31</v>
      </c>
      <c r="DM39" s="485"/>
      <c r="DN39" s="485">
        <f>-3.196</f>
        <v>-3.1960000000000002</v>
      </c>
      <c r="DO39" s="485">
        <f>-6.637--3.196</f>
        <v>-3.4409999999999994</v>
      </c>
      <c r="DP39" s="485">
        <f>-13.953--6.637</f>
        <v>-7.3159999999999998</v>
      </c>
      <c r="DQ39" s="485">
        <f>-20.029--13.953</f>
        <v>-6.0760000000000005</v>
      </c>
      <c r="DR39" s="485">
        <f t="shared" ref="DR39:DR46" si="43">SUM(DN39:DQ39)</f>
        <v>-20.029</v>
      </c>
      <c r="DS39" s="485"/>
      <c r="DT39" s="485">
        <f>-4.708</f>
        <v>-4.7080000000000002</v>
      </c>
      <c r="DU39" s="485">
        <f>-9.734--4.708</f>
        <v>-5.0259999999999998</v>
      </c>
      <c r="DV39" s="485">
        <f>-17.591--9.734</f>
        <v>-7.8570000000000011</v>
      </c>
      <c r="DW39" s="485">
        <f>-29.096--17.591</f>
        <v>-11.504999999999999</v>
      </c>
      <c r="DX39" s="485">
        <f t="shared" ref="DX39:DX46" si="44">SUM(DT39:DW39)</f>
        <v>-29.096</v>
      </c>
      <c r="DY39" s="485"/>
      <c r="DZ39" s="485">
        <f>-15.831</f>
        <v>-15.831</v>
      </c>
      <c r="EA39" s="485">
        <f>-37.178--15.831</f>
        <v>-21.346999999999998</v>
      </c>
      <c r="EB39" s="485">
        <f>-52.155--37.178</f>
        <v>-14.977000000000004</v>
      </c>
      <c r="EC39" s="485">
        <f>-64.142--52.155</f>
        <v>-11.986999999999995</v>
      </c>
      <c r="ED39" s="485">
        <f t="shared" ref="ED39:ED46" si="45">SUM(DZ39:EC39)</f>
        <v>-64.141999999999996</v>
      </c>
      <c r="EE39" s="485"/>
      <c r="EF39" s="485">
        <f>-8.219</f>
        <v>-8.2189999999999994</v>
      </c>
      <c r="EG39" s="485">
        <f>-18.513--8.219</f>
        <v>-10.294000000000002</v>
      </c>
      <c r="EH39" s="485">
        <f>-26.357--18.513</f>
        <v>-7.8439999999999976</v>
      </c>
      <c r="EI39" s="485">
        <f>-30.891--26.357</f>
        <v>-4.5339999999999989</v>
      </c>
      <c r="EJ39" s="485">
        <f t="shared" ref="EJ39:EJ46" si="46">SUM(EF39:EI39)</f>
        <v>-30.890999999999998</v>
      </c>
      <c r="EK39" s="485"/>
      <c r="EL39" s="485">
        <f>-9.927</f>
        <v>-9.9269999999999996</v>
      </c>
      <c r="EM39" s="485">
        <f>-17.421--9.927</f>
        <v>-7.4939999999999998</v>
      </c>
      <c r="EN39" s="485">
        <f>-21.695--17.421</f>
        <v>-4.2740000000000009</v>
      </c>
      <c r="EO39" s="485">
        <f>-28.752--21.695</f>
        <v>-7.0569999999999986</v>
      </c>
      <c r="EP39" s="485">
        <f t="shared" ref="EP39:EP46" si="47">SUM(EL39:EO39)</f>
        <v>-28.751999999999999</v>
      </c>
      <c r="EQ39" s="485"/>
      <c r="ER39" s="485">
        <v>-5.585</v>
      </c>
      <c r="ES39" s="485">
        <f>-18.663-ER39</f>
        <v>-13.077999999999999</v>
      </c>
      <c r="ET39" s="354">
        <f>-29.462-ES39-ER39</f>
        <v>-10.798999999999999</v>
      </c>
      <c r="EU39" s="485">
        <f>-41.061-ET39-ES39-ER39</f>
        <v>-11.599</v>
      </c>
      <c r="EV39" s="485">
        <f t="shared" ref="EV39:EV46" si="48">SUM(ER39:EU39)</f>
        <v>-41.061</v>
      </c>
      <c r="EW39" s="485"/>
      <c r="EX39" s="485">
        <v>-4.5</v>
      </c>
      <c r="EY39" s="485">
        <f>-10.823-EX39</f>
        <v>-6.3230000000000004</v>
      </c>
      <c r="EZ39" s="485">
        <f>-19.137-EY39-EX39</f>
        <v>-8.3140000000000001</v>
      </c>
      <c r="FA39" s="557">
        <f>-'Other Accts'!FA53</f>
        <v>-13.863</v>
      </c>
      <c r="FB39" s="485">
        <f t="shared" ref="FB39:FB46" si="49">SUM(EX39:FA39)</f>
        <v>-33</v>
      </c>
      <c r="FC39" s="485"/>
      <c r="FD39" s="557">
        <f>-'Other Accts'!FD53</f>
        <v>-8.9512499999999999</v>
      </c>
      <c r="FE39" s="485">
        <f>-'Other Accts'!FE53</f>
        <v>-8.9512499999999999</v>
      </c>
      <c r="FF39" s="485">
        <f>-'Other Accts'!FF53</f>
        <v>-8.9512499999999999</v>
      </c>
      <c r="FG39" s="485">
        <f>-'Other Accts'!FG53</f>
        <v>-8.9512500000000017</v>
      </c>
      <c r="FH39" s="485">
        <f t="shared" ref="FH39:FH46" si="50">SUM(FD39:FG39)</f>
        <v>-35.805</v>
      </c>
      <c r="FI39" s="485"/>
      <c r="FJ39" s="485">
        <f>-'Other Accts'!FJ53</f>
        <v>-9.7121062499999997</v>
      </c>
      <c r="FK39" s="485">
        <f>-'Other Accts'!FK53</f>
        <v>-9.7121062499999997</v>
      </c>
      <c r="FL39" s="485">
        <f>-'Other Accts'!FL53</f>
        <v>-9.7121062499999997</v>
      </c>
      <c r="FM39" s="485">
        <f>-'Other Accts'!FM53</f>
        <v>-9.7121062499999979</v>
      </c>
      <c r="FN39" s="485">
        <f t="shared" ref="FN39:FN46" si="51">SUM(FJ39:FM39)</f>
        <v>-38.848424999999999</v>
      </c>
      <c r="FO39" s="485"/>
      <c r="FP39" s="485">
        <f>-'Other Accts'!FP53</f>
        <v>-10.537635281249999</v>
      </c>
      <c r="FQ39" s="485">
        <f>-'Other Accts'!FQ53</f>
        <v>-10.537635281249999</v>
      </c>
      <c r="FR39" s="485">
        <f>-'Other Accts'!FR53</f>
        <v>-10.537635281249999</v>
      </c>
      <c r="FS39" s="485">
        <f>-'Other Accts'!FS53</f>
        <v>-10.537635281249997</v>
      </c>
      <c r="FT39" s="485">
        <f t="shared" ref="FT39:FT46" si="52">SUM(FP39:FS39)</f>
        <v>-42.150541124999997</v>
      </c>
      <c r="FU39" s="485"/>
      <c r="FV39" s="485">
        <f>-'Other Accts'!FV53</f>
        <v>-11.433334280156249</v>
      </c>
      <c r="FW39" s="485">
        <f>-'Other Accts'!FW53</f>
        <v>-11.433334280156251</v>
      </c>
      <c r="FX39" s="485">
        <f>-'Other Accts'!FX53</f>
        <v>-11.433334280156249</v>
      </c>
      <c r="FY39" s="485">
        <f>-'Other Accts'!FY53</f>
        <v>-11.433334280156245</v>
      </c>
      <c r="FZ39" s="485">
        <f t="shared" ref="FZ39:FZ46" si="53">SUM(FV39:FY39)</f>
        <v>-45.733337120624995</v>
      </c>
      <c r="GA39" s="485"/>
      <c r="GB39" s="485">
        <f>-'Other Accts'!GB53</f>
        <v>-12.405167693969529</v>
      </c>
      <c r="GC39" s="485">
        <f>-'Other Accts'!GC53</f>
        <v>-12.405167693969529</v>
      </c>
      <c r="GD39" s="485">
        <f>-'Other Accts'!GD53</f>
        <v>-12.405167693969529</v>
      </c>
      <c r="GE39" s="485">
        <f>-'Other Accts'!GE53</f>
        <v>-12.405167693969531</v>
      </c>
      <c r="GF39" s="485">
        <f t="shared" ref="GF39:GF46" si="54">SUM(GB39:GE39)</f>
        <v>-49.620670775878118</v>
      </c>
      <c r="GG39" s="485"/>
      <c r="GH39" s="485">
        <f>-'Other Accts'!GH53</f>
        <v>-13.459606947956939</v>
      </c>
      <c r="GI39" s="485">
        <f>-'Other Accts'!GI53</f>
        <v>-13.459606947956937</v>
      </c>
      <c r="GJ39" s="485">
        <f>-'Other Accts'!GJ53</f>
        <v>-13.459606947956939</v>
      </c>
      <c r="GK39" s="485">
        <f>-'Other Accts'!GK53</f>
        <v>-13.459606947956942</v>
      </c>
      <c r="GL39" s="485">
        <f t="shared" ref="GL39:GL46" si="55">SUM(GH39:GK39)</f>
        <v>-53.838427791827755</v>
      </c>
      <c r="GM39" s="485"/>
      <c r="GN39" s="485">
        <f>-'Other Accts'!GN53</f>
        <v>-14.603673538533277</v>
      </c>
      <c r="GO39" s="485">
        <f>-'Other Accts'!GO53</f>
        <v>-14.603673538533277</v>
      </c>
      <c r="GP39" s="485">
        <f>-'Other Accts'!GP53</f>
        <v>-14.603673538533277</v>
      </c>
      <c r="GQ39" s="485">
        <f>-'Other Accts'!GQ53</f>
        <v>-14.603673538533279</v>
      </c>
      <c r="GR39" s="485">
        <f t="shared" ref="GR39:GR46" si="56">SUM(GN39:GQ39)</f>
        <v>-58.414694154133109</v>
      </c>
      <c r="GS39" s="485"/>
      <c r="GT39" s="485">
        <f>-'Other Accts'!GT53</f>
        <v>-15.844985789308605</v>
      </c>
      <c r="GU39" s="485">
        <f>-'Other Accts'!GU53</f>
        <v>-15.844985789308604</v>
      </c>
      <c r="GV39" s="485">
        <f>-'Other Accts'!GV53</f>
        <v>-15.844985789308605</v>
      </c>
      <c r="GW39" s="485">
        <f>-'Other Accts'!GW53</f>
        <v>-15.844985789308609</v>
      </c>
      <c r="GX39" s="485">
        <f t="shared" ref="GX39:GX46" si="57">SUM(GT39:GW39)</f>
        <v>-63.379943157234422</v>
      </c>
      <c r="GY39" s="485"/>
      <c r="GZ39" s="485">
        <f>-'Other Accts'!GZ53</f>
        <v>-17.191809581399838</v>
      </c>
      <c r="HA39" s="485">
        <f>-'Other Accts'!HA53</f>
        <v>-17.191809581399838</v>
      </c>
      <c r="HB39" s="485">
        <f>-'Other Accts'!HB53</f>
        <v>-17.191809581399838</v>
      </c>
      <c r="HC39" s="485">
        <f>-'Other Accts'!HC53</f>
        <v>-17.191809581399838</v>
      </c>
      <c r="HD39" s="485">
        <f t="shared" ref="HD39:HD46" si="58">SUM(GZ39:HC39)</f>
        <v>-68.767238325599351</v>
      </c>
      <c r="HE39" s="485"/>
      <c r="HF39" s="485">
        <f>-'Other Accts'!HF53</f>
        <v>-18.653113395818824</v>
      </c>
      <c r="HG39" s="485">
        <f>-'Other Accts'!HG53</f>
        <v>-18.653113395818824</v>
      </c>
      <c r="HH39" s="485">
        <f>-'Other Accts'!HH53</f>
        <v>-18.653113395818824</v>
      </c>
      <c r="HI39" s="485">
        <f>-'Other Accts'!HI53</f>
        <v>-18.653113395818821</v>
      </c>
      <c r="HJ39" s="485">
        <f t="shared" ref="HJ39:HJ46" si="59">SUM(HF39:HI39)</f>
        <v>-74.612453583275297</v>
      </c>
      <c r="HK39" s="485"/>
      <c r="HL39" s="485"/>
      <c r="HM39" s="485"/>
      <c r="HN39" s="485"/>
      <c r="HO39" s="485"/>
      <c r="HP39" s="485"/>
      <c r="HQ39" s="485"/>
    </row>
    <row r="40" spans="1:225">
      <c r="A40" s="30"/>
      <c r="B40" s="30" t="s">
        <v>552</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118"/>
      <c r="BT40" s="118"/>
      <c r="BU40" s="30"/>
      <c r="BV40" s="30"/>
      <c r="BW40" s="30"/>
      <c r="BX40" s="118"/>
      <c r="BY40" s="30"/>
      <c r="BZ40" s="30"/>
      <c r="CA40" s="30"/>
      <c r="CB40" s="30"/>
      <c r="CC40" s="30"/>
      <c r="CD40" s="118"/>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485">
        <f>0</f>
        <v>0</v>
      </c>
      <c r="DI40" s="485">
        <f>0-0</f>
        <v>0</v>
      </c>
      <c r="DJ40" s="485">
        <f>0-0</f>
        <v>0</v>
      </c>
      <c r="DK40" s="485">
        <f>-125.377-0</f>
        <v>-125.377</v>
      </c>
      <c r="DL40" s="485">
        <f t="shared" si="42"/>
        <v>-125.377</v>
      </c>
      <c r="DM40" s="485"/>
      <c r="DN40" s="485">
        <f>0</f>
        <v>0</v>
      </c>
      <c r="DO40" s="485">
        <f>0-0</f>
        <v>0</v>
      </c>
      <c r="DP40" s="485">
        <f>0-0</f>
        <v>0</v>
      </c>
      <c r="DQ40" s="485">
        <f>0-0</f>
        <v>0</v>
      </c>
      <c r="DR40" s="485">
        <f t="shared" si="43"/>
        <v>0</v>
      </c>
      <c r="DS40" s="485"/>
      <c r="DT40" s="485">
        <f>-37</f>
        <v>-37</v>
      </c>
      <c r="DU40" s="485">
        <f>-37--37</f>
        <v>0</v>
      </c>
      <c r="DV40" s="485">
        <f>-37--37</f>
        <v>0</v>
      </c>
      <c r="DW40" s="485">
        <f>-37--37</f>
        <v>0</v>
      </c>
      <c r="DX40" s="485">
        <f t="shared" si="44"/>
        <v>-37</v>
      </c>
      <c r="DY40" s="485"/>
      <c r="DZ40" s="485">
        <f>0</f>
        <v>0</v>
      </c>
      <c r="EA40" s="485">
        <f>-419.404-0</f>
        <v>-419.404</v>
      </c>
      <c r="EB40" s="485">
        <f>-419.404--419.404</f>
        <v>0</v>
      </c>
      <c r="EC40" s="485">
        <f>-419.404--419.404</f>
        <v>0</v>
      </c>
      <c r="ED40" s="485">
        <f t="shared" si="45"/>
        <v>-419.404</v>
      </c>
      <c r="EE40" s="485"/>
      <c r="EF40" s="485">
        <f>0</f>
        <v>0</v>
      </c>
      <c r="EG40" s="485">
        <f>0-0</f>
        <v>0</v>
      </c>
      <c r="EH40" s="485">
        <f>0-0</f>
        <v>0</v>
      </c>
      <c r="EI40" s="485">
        <f>0-0</f>
        <v>0</v>
      </c>
      <c r="EJ40" s="485">
        <f t="shared" si="46"/>
        <v>0</v>
      </c>
      <c r="EK40" s="485"/>
      <c r="EL40" s="485">
        <f>0</f>
        <v>0</v>
      </c>
      <c r="EM40" s="485">
        <f>0-0</f>
        <v>0</v>
      </c>
      <c r="EN40" s="485">
        <f>0-0</f>
        <v>0</v>
      </c>
      <c r="EO40" s="485">
        <f>0-0</f>
        <v>0</v>
      </c>
      <c r="EP40" s="485">
        <f t="shared" si="47"/>
        <v>0</v>
      </c>
      <c r="EQ40" s="485"/>
      <c r="ER40" s="485">
        <v>0</v>
      </c>
      <c r="ES40" s="485">
        <v>0</v>
      </c>
      <c r="ET40" s="354">
        <v>0</v>
      </c>
      <c r="EU40" s="354">
        <v>0</v>
      </c>
      <c r="EV40" s="485">
        <f t="shared" si="48"/>
        <v>0</v>
      </c>
      <c r="EW40" s="485"/>
      <c r="EX40" s="485">
        <v>0</v>
      </c>
      <c r="EY40" s="633">
        <f>-5.991-EX40</f>
        <v>-5.9909999999999997</v>
      </c>
      <c r="EZ40" s="633">
        <f>-6.454-EX40-EY40</f>
        <v>-0.46300000000000008</v>
      </c>
      <c r="FA40" s="644">
        <v>0</v>
      </c>
      <c r="FB40" s="485">
        <f t="shared" si="49"/>
        <v>-6.4539999999999997</v>
      </c>
      <c r="FC40" s="485"/>
      <c r="FD40" s="644">
        <v>0</v>
      </c>
      <c r="FE40" s="633">
        <v>0</v>
      </c>
      <c r="FF40" s="633">
        <v>0</v>
      </c>
      <c r="FG40" s="633">
        <v>0</v>
      </c>
      <c r="FH40" s="485">
        <f t="shared" si="50"/>
        <v>0</v>
      </c>
      <c r="FI40" s="485"/>
      <c r="FJ40" s="633">
        <v>0</v>
      </c>
      <c r="FK40" s="633">
        <v>0</v>
      </c>
      <c r="FL40" s="633">
        <v>0</v>
      </c>
      <c r="FM40" s="633">
        <v>0</v>
      </c>
      <c r="FN40" s="485">
        <f t="shared" si="51"/>
        <v>0</v>
      </c>
      <c r="FO40" s="485"/>
      <c r="FP40" s="633">
        <v>0</v>
      </c>
      <c r="FQ40" s="633">
        <v>0</v>
      </c>
      <c r="FR40" s="633">
        <v>0</v>
      </c>
      <c r="FS40" s="633">
        <v>0</v>
      </c>
      <c r="FT40" s="485">
        <f t="shared" si="52"/>
        <v>0</v>
      </c>
      <c r="FU40" s="485"/>
      <c r="FV40" s="633">
        <v>0</v>
      </c>
      <c r="FW40" s="633">
        <v>0</v>
      </c>
      <c r="FX40" s="633">
        <v>0</v>
      </c>
      <c r="FY40" s="633">
        <v>0</v>
      </c>
      <c r="FZ40" s="485">
        <f t="shared" si="53"/>
        <v>0</v>
      </c>
      <c r="GA40" s="485"/>
      <c r="GB40" s="633">
        <v>0</v>
      </c>
      <c r="GC40" s="633">
        <v>0</v>
      </c>
      <c r="GD40" s="633">
        <v>0</v>
      </c>
      <c r="GE40" s="633">
        <v>0</v>
      </c>
      <c r="GF40" s="485">
        <f t="shared" si="54"/>
        <v>0</v>
      </c>
      <c r="GG40" s="485"/>
      <c r="GH40" s="633">
        <v>0</v>
      </c>
      <c r="GI40" s="633">
        <v>0</v>
      </c>
      <c r="GJ40" s="633">
        <v>0</v>
      </c>
      <c r="GK40" s="633">
        <v>0</v>
      </c>
      <c r="GL40" s="485">
        <f t="shared" si="55"/>
        <v>0</v>
      </c>
      <c r="GM40" s="485"/>
      <c r="GN40" s="485">
        <v>0</v>
      </c>
      <c r="GO40" s="485">
        <v>0</v>
      </c>
      <c r="GP40" s="485">
        <v>0</v>
      </c>
      <c r="GQ40" s="485">
        <v>0</v>
      </c>
      <c r="GR40" s="485">
        <f t="shared" si="56"/>
        <v>0</v>
      </c>
      <c r="GS40" s="485"/>
      <c r="GT40" s="485">
        <v>0</v>
      </c>
      <c r="GU40" s="485">
        <v>0</v>
      </c>
      <c r="GV40" s="485">
        <v>0</v>
      </c>
      <c r="GW40" s="485">
        <v>0</v>
      </c>
      <c r="GX40" s="485">
        <f t="shared" si="57"/>
        <v>0</v>
      </c>
      <c r="GY40" s="485"/>
      <c r="GZ40" s="485">
        <v>0</v>
      </c>
      <c r="HA40" s="485">
        <v>0</v>
      </c>
      <c r="HB40" s="485">
        <v>0</v>
      </c>
      <c r="HC40" s="485">
        <v>0</v>
      </c>
      <c r="HD40" s="485">
        <f t="shared" si="58"/>
        <v>0</v>
      </c>
      <c r="HE40" s="485"/>
      <c r="HF40" s="485">
        <v>0</v>
      </c>
      <c r="HG40" s="485">
        <v>0</v>
      </c>
      <c r="HH40" s="485">
        <v>0</v>
      </c>
      <c r="HI40" s="485">
        <v>0</v>
      </c>
      <c r="HJ40" s="485">
        <f t="shared" si="59"/>
        <v>0</v>
      </c>
      <c r="HK40" s="485"/>
      <c r="HL40" s="485"/>
      <c r="HM40" s="485"/>
      <c r="HN40" s="485"/>
      <c r="HO40" s="485"/>
      <c r="HP40" s="485"/>
      <c r="HQ40" s="485"/>
    </row>
    <row r="41" spans="1:225" outlineLevel="1">
      <c r="A41" s="29"/>
      <c r="B41" s="30" t="s">
        <v>94</v>
      </c>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118"/>
      <c r="BT41" s="118"/>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107"/>
      <c r="CY41" s="30"/>
      <c r="CZ41" s="30"/>
      <c r="DA41" s="30"/>
      <c r="DB41" s="30"/>
      <c r="DC41" s="107"/>
      <c r="DD41" s="107"/>
      <c r="DE41" s="107"/>
      <c r="DF41" s="30"/>
      <c r="DG41" s="30"/>
      <c r="DH41" s="485"/>
      <c r="DI41" s="485"/>
      <c r="DJ41" s="485"/>
      <c r="DK41" s="485"/>
      <c r="DL41" s="485">
        <f>SUM(DH41:DK41)</f>
        <v>0</v>
      </c>
      <c r="DM41" s="485"/>
      <c r="DN41" s="485"/>
      <c r="DO41" s="485"/>
      <c r="DP41" s="485"/>
      <c r="DQ41" s="485"/>
      <c r="DR41" s="485">
        <f>SUM(DN41:DQ41)</f>
        <v>0</v>
      </c>
      <c r="DS41" s="485"/>
      <c r="DT41" s="485"/>
      <c r="DU41" s="485"/>
      <c r="DV41" s="485">
        <f>-53.396-0</f>
        <v>-53.396000000000001</v>
      </c>
      <c r="DW41" s="485">
        <f>-73.101--53.396</f>
        <v>-19.704999999999998</v>
      </c>
      <c r="DX41" s="485">
        <f>SUM(DT41:DW41)</f>
        <v>-73.100999999999999</v>
      </c>
      <c r="DY41" s="485"/>
      <c r="DZ41" s="485">
        <f>-137.776</f>
        <v>-137.77600000000001</v>
      </c>
      <c r="EA41" s="485">
        <f>-162.769--137.776</f>
        <v>-24.992999999999995</v>
      </c>
      <c r="EB41" s="485">
        <f>-180.961--162.769</f>
        <v>-18.192000000000007</v>
      </c>
      <c r="EC41" s="485">
        <f>-196.791--180.961</f>
        <v>-15.829999999999984</v>
      </c>
      <c r="ED41" s="485">
        <f>SUM(DZ41:EC41)</f>
        <v>-196.791</v>
      </c>
      <c r="EE41" s="485"/>
      <c r="EF41" s="485">
        <f>-16.167</f>
        <v>-16.167000000000002</v>
      </c>
      <c r="EG41" s="485">
        <f>-56.332--16.167</f>
        <v>-40.164999999999999</v>
      </c>
      <c r="EH41" s="485">
        <f>-73.973--56.332</f>
        <v>-17.640999999999998</v>
      </c>
      <c r="EI41" s="485">
        <f>-97.605--73.973</f>
        <v>-23.632000000000005</v>
      </c>
      <c r="EJ41" s="485">
        <f>SUM(EF41:EI41)</f>
        <v>-97.605000000000004</v>
      </c>
      <c r="EK41" s="485"/>
      <c r="EL41" s="485">
        <f>-6.756</f>
        <v>-6.7560000000000002</v>
      </c>
      <c r="EM41" s="485">
        <f>-6.756--6.756</f>
        <v>0</v>
      </c>
      <c r="EN41" s="485">
        <f>-6.756--6.756</f>
        <v>0</v>
      </c>
      <c r="EO41" s="485">
        <f>-6.756--6.756</f>
        <v>0</v>
      </c>
      <c r="EP41" s="485">
        <f>SUM(EL41:EO41)</f>
        <v>-6.7560000000000002</v>
      </c>
      <c r="EQ41" s="485"/>
      <c r="ER41" s="485">
        <v>0</v>
      </c>
      <c r="ES41" s="485">
        <v>0</v>
      </c>
      <c r="ET41" s="354">
        <v>0</v>
      </c>
      <c r="EU41" s="354">
        <v>0</v>
      </c>
      <c r="EV41" s="485">
        <f t="shared" si="48"/>
        <v>0</v>
      </c>
      <c r="EW41" s="485"/>
      <c r="EX41" s="485">
        <v>0</v>
      </c>
      <c r="EY41" s="485">
        <v>0</v>
      </c>
      <c r="EZ41" s="485">
        <f>-0.5-EY41-EX41</f>
        <v>-0.5</v>
      </c>
      <c r="FA41" s="557"/>
      <c r="FB41" s="485">
        <f t="shared" si="49"/>
        <v>-0.5</v>
      </c>
      <c r="FC41" s="485"/>
      <c r="FD41" s="557"/>
      <c r="FE41" s="485"/>
      <c r="FF41" s="485"/>
      <c r="FG41" s="485"/>
      <c r="FH41" s="485">
        <f t="shared" si="50"/>
        <v>0</v>
      </c>
      <c r="FI41" s="485"/>
      <c r="FJ41" s="485"/>
      <c r="FK41" s="485"/>
      <c r="FL41" s="485"/>
      <c r="FM41" s="485"/>
      <c r="FN41" s="485">
        <f t="shared" si="51"/>
        <v>0</v>
      </c>
      <c r="FO41" s="485"/>
      <c r="FP41" s="485"/>
      <c r="FQ41" s="485"/>
      <c r="FR41" s="485"/>
      <c r="FS41" s="485"/>
      <c r="FT41" s="485">
        <f t="shared" si="52"/>
        <v>0</v>
      </c>
      <c r="FU41" s="485"/>
      <c r="FV41" s="485"/>
      <c r="FW41" s="485"/>
      <c r="FX41" s="485"/>
      <c r="FY41" s="485"/>
      <c r="FZ41" s="485">
        <f t="shared" si="53"/>
        <v>0</v>
      </c>
      <c r="GA41" s="485"/>
      <c r="GB41" s="485"/>
      <c r="GC41" s="485"/>
      <c r="GD41" s="485"/>
      <c r="GE41" s="485"/>
      <c r="GF41" s="485">
        <f t="shared" si="54"/>
        <v>0</v>
      </c>
      <c r="GG41" s="485"/>
      <c r="GH41" s="485"/>
      <c r="GI41" s="485"/>
      <c r="GJ41" s="485"/>
      <c r="GK41" s="485"/>
      <c r="GL41" s="485">
        <f t="shared" si="55"/>
        <v>0</v>
      </c>
      <c r="GM41" s="485"/>
      <c r="GN41" s="485"/>
      <c r="GO41" s="485"/>
      <c r="GP41" s="485"/>
      <c r="GQ41" s="485"/>
      <c r="GR41" s="485">
        <f t="shared" si="56"/>
        <v>0</v>
      </c>
      <c r="GS41" s="485"/>
      <c r="GT41" s="485"/>
      <c r="GU41" s="485"/>
      <c r="GV41" s="485"/>
      <c r="GW41" s="485"/>
      <c r="GX41" s="485">
        <f t="shared" si="57"/>
        <v>0</v>
      </c>
      <c r="GY41" s="485"/>
      <c r="GZ41" s="485"/>
      <c r="HA41" s="485"/>
      <c r="HB41" s="485"/>
      <c r="HC41" s="485"/>
      <c r="HD41" s="485">
        <f t="shared" si="58"/>
        <v>0</v>
      </c>
      <c r="HE41" s="485"/>
      <c r="HF41" s="485"/>
      <c r="HG41" s="485"/>
      <c r="HH41" s="485"/>
      <c r="HI41" s="485"/>
      <c r="HJ41" s="485">
        <f t="shared" si="59"/>
        <v>0</v>
      </c>
      <c r="HK41" s="485"/>
      <c r="HL41" s="485"/>
      <c r="HM41" s="485"/>
      <c r="HN41" s="485"/>
      <c r="HO41" s="485"/>
      <c r="HP41" s="485"/>
      <c r="HQ41" s="485"/>
    </row>
    <row r="42" spans="1:225" outlineLevel="1">
      <c r="A42" s="29"/>
      <c r="B42" s="30" t="s">
        <v>95</v>
      </c>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118"/>
      <c r="BT42" s="118"/>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107"/>
      <c r="CY42" s="30"/>
      <c r="CZ42" s="30"/>
      <c r="DA42" s="30"/>
      <c r="DB42" s="30"/>
      <c r="DC42" s="107"/>
      <c r="DD42" s="107"/>
      <c r="DE42" s="107"/>
      <c r="DF42" s="30"/>
      <c r="DG42" s="30"/>
      <c r="DH42" s="485"/>
      <c r="DI42" s="485"/>
      <c r="DJ42" s="485"/>
      <c r="DK42" s="485"/>
      <c r="DL42" s="485">
        <f>SUM(DH42:DK42)</f>
        <v>0</v>
      </c>
      <c r="DM42" s="485"/>
      <c r="DN42" s="485"/>
      <c r="DO42" s="485"/>
      <c r="DP42" s="485"/>
      <c r="DQ42" s="485"/>
      <c r="DR42" s="485">
        <f>SUM(DN42:DQ42)</f>
        <v>0</v>
      </c>
      <c r="DS42" s="485"/>
      <c r="DT42" s="485"/>
      <c r="DU42" s="485"/>
      <c r="DV42" s="485">
        <f>3-0</f>
        <v>3</v>
      </c>
      <c r="DW42" s="485">
        <f>5.356-3</f>
        <v>2.3559999999999999</v>
      </c>
      <c r="DX42" s="485">
        <f>SUM(DT42:DW42)</f>
        <v>5.3559999999999999</v>
      </c>
      <c r="DY42" s="485"/>
      <c r="DZ42" s="485">
        <f>13.919</f>
        <v>13.919</v>
      </c>
      <c r="EA42" s="485">
        <f>26.253-13.919</f>
        <v>12.334</v>
      </c>
      <c r="EB42" s="485">
        <f>44.736-26.253</f>
        <v>18.482999999999997</v>
      </c>
      <c r="EC42" s="485">
        <f>62.97-44.736</f>
        <v>18.234000000000002</v>
      </c>
      <c r="ED42" s="485">
        <f>SUM(DZ42:EC42)</f>
        <v>62.97</v>
      </c>
      <c r="EE42" s="485"/>
      <c r="EF42" s="485">
        <f>36.438</f>
        <v>36.438000000000002</v>
      </c>
      <c r="EG42" s="485">
        <f>68.525-36.438</f>
        <v>32.087000000000003</v>
      </c>
      <c r="EH42" s="485">
        <f>89.812-68.525</f>
        <v>21.286999999999992</v>
      </c>
      <c r="EI42" s="485">
        <f>116.915-89.812</f>
        <v>27.103000000000009</v>
      </c>
      <c r="EJ42" s="485">
        <f>SUM(EF42:EI42)</f>
        <v>116.91500000000001</v>
      </c>
      <c r="EK42" s="485"/>
      <c r="EL42" s="485">
        <f>40.425</f>
        <v>40.424999999999997</v>
      </c>
      <c r="EM42" s="485">
        <f>62.868-40.425</f>
        <v>22.443000000000005</v>
      </c>
      <c r="EN42" s="485">
        <f>87.963-62.868</f>
        <v>25.094999999999992</v>
      </c>
      <c r="EO42" s="485">
        <f>112.215-87.963</f>
        <v>24.25200000000001</v>
      </c>
      <c r="EP42" s="485">
        <f>SUM(EL42:EO42)</f>
        <v>112.215</v>
      </c>
      <c r="EQ42" s="485"/>
      <c r="ER42" s="485">
        <v>20.11</v>
      </c>
      <c r="ES42" s="485">
        <f>40.501-ER42</f>
        <v>20.390999999999998</v>
      </c>
      <c r="ET42" s="354">
        <f>47.784-ES42-ER42</f>
        <v>7.2830000000000013</v>
      </c>
      <c r="EU42" s="485">
        <f>53.916-ET42-ES42-ER42</f>
        <v>6.1319999999999979</v>
      </c>
      <c r="EV42" s="485">
        <f t="shared" si="48"/>
        <v>53.915999999999997</v>
      </c>
      <c r="EW42" s="485"/>
      <c r="EX42" s="485">
        <v>8.06</v>
      </c>
      <c r="EY42" s="485">
        <f>11.06-EX42</f>
        <v>3</v>
      </c>
      <c r="EZ42" s="485">
        <f>20.06-EY42-EX42</f>
        <v>8.9999999999999982</v>
      </c>
      <c r="FA42" s="557"/>
      <c r="FB42" s="485">
        <f t="shared" si="49"/>
        <v>20.059999999999999</v>
      </c>
      <c r="FC42" s="485"/>
      <c r="FD42" s="557"/>
      <c r="FE42" s="485"/>
      <c r="FF42" s="485"/>
      <c r="FG42" s="485"/>
      <c r="FH42" s="485">
        <f t="shared" si="50"/>
        <v>0</v>
      </c>
      <c r="FI42" s="485"/>
      <c r="FJ42" s="485"/>
      <c r="FK42" s="485"/>
      <c r="FL42" s="485"/>
      <c r="FM42" s="485"/>
      <c r="FN42" s="485">
        <f t="shared" si="51"/>
        <v>0</v>
      </c>
      <c r="FO42" s="485"/>
      <c r="FP42" s="485"/>
      <c r="FQ42" s="485"/>
      <c r="FR42" s="485"/>
      <c r="FS42" s="485"/>
      <c r="FT42" s="485">
        <f t="shared" si="52"/>
        <v>0</v>
      </c>
      <c r="FU42" s="485"/>
      <c r="FV42" s="485"/>
      <c r="FW42" s="485"/>
      <c r="FX42" s="485"/>
      <c r="FY42" s="485"/>
      <c r="FZ42" s="485">
        <f t="shared" si="53"/>
        <v>0</v>
      </c>
      <c r="GA42" s="485"/>
      <c r="GB42" s="485"/>
      <c r="GC42" s="485"/>
      <c r="GD42" s="485"/>
      <c r="GE42" s="485"/>
      <c r="GF42" s="485">
        <f t="shared" si="54"/>
        <v>0</v>
      </c>
      <c r="GG42" s="485"/>
      <c r="GH42" s="485"/>
      <c r="GI42" s="485"/>
      <c r="GJ42" s="485"/>
      <c r="GK42" s="485"/>
      <c r="GL42" s="485">
        <f t="shared" si="55"/>
        <v>0</v>
      </c>
      <c r="GM42" s="485"/>
      <c r="GN42" s="485"/>
      <c r="GO42" s="485"/>
      <c r="GP42" s="485"/>
      <c r="GQ42" s="485"/>
      <c r="GR42" s="485">
        <f t="shared" si="56"/>
        <v>0</v>
      </c>
      <c r="GS42" s="485"/>
      <c r="GT42" s="485"/>
      <c r="GU42" s="485"/>
      <c r="GV42" s="485"/>
      <c r="GW42" s="485"/>
      <c r="GX42" s="485">
        <f t="shared" si="57"/>
        <v>0</v>
      </c>
      <c r="GY42" s="485"/>
      <c r="GZ42" s="485"/>
      <c r="HA42" s="485"/>
      <c r="HB42" s="485"/>
      <c r="HC42" s="485"/>
      <c r="HD42" s="485">
        <f t="shared" si="58"/>
        <v>0</v>
      </c>
      <c r="HE42" s="485"/>
      <c r="HF42" s="485"/>
      <c r="HG42" s="485"/>
      <c r="HH42" s="485"/>
      <c r="HI42" s="485"/>
      <c r="HJ42" s="485">
        <f t="shared" si="59"/>
        <v>0</v>
      </c>
      <c r="HK42" s="485"/>
      <c r="HL42" s="485"/>
      <c r="HM42" s="485"/>
      <c r="HN42" s="485"/>
      <c r="HO42" s="485"/>
      <c r="HP42" s="485"/>
      <c r="HQ42" s="485"/>
    </row>
    <row r="43" spans="1:225">
      <c r="A43" s="30"/>
      <c r="B43" s="30" t="s">
        <v>513</v>
      </c>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118"/>
      <c r="BT43" s="118"/>
      <c r="BU43" s="30"/>
      <c r="BV43" s="30"/>
      <c r="BW43" s="30"/>
      <c r="BX43" s="118"/>
      <c r="BY43" s="30"/>
      <c r="BZ43" s="30"/>
      <c r="CA43" s="30"/>
      <c r="CB43" s="30"/>
      <c r="CC43" s="30"/>
      <c r="CD43" s="118"/>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485">
        <f>0</f>
        <v>0</v>
      </c>
      <c r="DI43" s="485">
        <f t="shared" ref="DI43:DK46" si="60">0-0</f>
        <v>0</v>
      </c>
      <c r="DJ43" s="485">
        <f t="shared" si="60"/>
        <v>0</v>
      </c>
      <c r="DK43" s="485">
        <f t="shared" si="60"/>
        <v>0</v>
      </c>
      <c r="DL43" s="485">
        <f t="shared" si="42"/>
        <v>0</v>
      </c>
      <c r="DM43" s="485"/>
      <c r="DN43" s="485">
        <f>0</f>
        <v>0</v>
      </c>
      <c r="DO43" s="485">
        <f t="shared" ref="DO43:DQ44" si="61">0-0</f>
        <v>0</v>
      </c>
      <c r="DP43" s="485">
        <f t="shared" si="61"/>
        <v>0</v>
      </c>
      <c r="DQ43" s="485">
        <f t="shared" si="61"/>
        <v>0</v>
      </c>
      <c r="DR43" s="485">
        <f t="shared" si="43"/>
        <v>0</v>
      </c>
      <c r="DS43" s="485"/>
      <c r="DT43" s="485">
        <f>0</f>
        <v>0</v>
      </c>
      <c r="DU43" s="485">
        <f t="shared" ref="DU43:DW45" si="62">0-0</f>
        <v>0</v>
      </c>
      <c r="DV43" s="485">
        <f t="shared" si="62"/>
        <v>0</v>
      </c>
      <c r="DW43" s="485">
        <f t="shared" si="62"/>
        <v>0</v>
      </c>
      <c r="DX43" s="485">
        <f t="shared" si="44"/>
        <v>0</v>
      </c>
      <c r="DY43" s="485"/>
      <c r="DZ43" s="485">
        <f>0</f>
        <v>0</v>
      </c>
      <c r="EA43" s="485">
        <f>0-0</f>
        <v>0</v>
      </c>
      <c r="EB43" s="485">
        <f>0-0</f>
        <v>0</v>
      </c>
      <c r="EC43" s="485">
        <f>0-0</f>
        <v>0</v>
      </c>
      <c r="ED43" s="485">
        <f t="shared" si="45"/>
        <v>0</v>
      </c>
      <c r="EE43" s="485"/>
      <c r="EF43" s="485">
        <f>0</f>
        <v>0</v>
      </c>
      <c r="EG43" s="485">
        <f>12.098-0</f>
        <v>12.098000000000001</v>
      </c>
      <c r="EH43" s="485">
        <f>12.098-12.098</f>
        <v>0</v>
      </c>
      <c r="EI43" s="485">
        <f>12.098-12.098</f>
        <v>0</v>
      </c>
      <c r="EJ43" s="485">
        <f t="shared" si="46"/>
        <v>12.098000000000001</v>
      </c>
      <c r="EK43" s="485"/>
      <c r="EL43" s="485">
        <f>0</f>
        <v>0</v>
      </c>
      <c r="EM43" s="485">
        <f t="shared" ref="EM43:EO46" si="63">0-0</f>
        <v>0</v>
      </c>
      <c r="EN43" s="485">
        <f t="shared" si="63"/>
        <v>0</v>
      </c>
      <c r="EO43" s="485">
        <f t="shared" si="63"/>
        <v>0</v>
      </c>
      <c r="EP43" s="485">
        <f t="shared" si="47"/>
        <v>0</v>
      </c>
      <c r="EQ43" s="485"/>
      <c r="ER43" s="485">
        <v>0</v>
      </c>
      <c r="ES43" s="485">
        <v>0</v>
      </c>
      <c r="ET43" s="354">
        <v>0</v>
      </c>
      <c r="EU43" s="354">
        <v>0</v>
      </c>
      <c r="EV43" s="485">
        <f t="shared" si="48"/>
        <v>0</v>
      </c>
      <c r="EW43" s="485"/>
      <c r="EX43" s="485">
        <v>0</v>
      </c>
      <c r="EY43" s="485">
        <v>0</v>
      </c>
      <c r="EZ43" s="485">
        <v>0</v>
      </c>
      <c r="FA43" s="557">
        <v>0</v>
      </c>
      <c r="FB43" s="485">
        <f t="shared" si="49"/>
        <v>0</v>
      </c>
      <c r="FC43" s="485"/>
      <c r="FD43" s="557">
        <v>0</v>
      </c>
      <c r="FE43" s="485">
        <v>0</v>
      </c>
      <c r="FF43" s="485">
        <v>0</v>
      </c>
      <c r="FG43" s="485">
        <v>0</v>
      </c>
      <c r="FH43" s="485">
        <f t="shared" si="50"/>
        <v>0</v>
      </c>
      <c r="FI43" s="485"/>
      <c r="FJ43" s="485">
        <v>0</v>
      </c>
      <c r="FK43" s="485">
        <v>0</v>
      </c>
      <c r="FL43" s="485">
        <v>0</v>
      </c>
      <c r="FM43" s="485">
        <v>0</v>
      </c>
      <c r="FN43" s="485">
        <f t="shared" si="51"/>
        <v>0</v>
      </c>
      <c r="FO43" s="485"/>
      <c r="FP43" s="485">
        <v>0</v>
      </c>
      <c r="FQ43" s="485">
        <v>0</v>
      </c>
      <c r="FR43" s="485">
        <v>0</v>
      </c>
      <c r="FS43" s="485">
        <v>0</v>
      </c>
      <c r="FT43" s="485">
        <f t="shared" si="52"/>
        <v>0</v>
      </c>
      <c r="FU43" s="485"/>
      <c r="FV43" s="485">
        <v>0</v>
      </c>
      <c r="FW43" s="485">
        <v>0</v>
      </c>
      <c r="FX43" s="485">
        <v>0</v>
      </c>
      <c r="FY43" s="485">
        <v>0</v>
      </c>
      <c r="FZ43" s="485">
        <f t="shared" si="53"/>
        <v>0</v>
      </c>
      <c r="GA43" s="485"/>
      <c r="GB43" s="485">
        <v>0</v>
      </c>
      <c r="GC43" s="485">
        <v>0</v>
      </c>
      <c r="GD43" s="485">
        <v>0</v>
      </c>
      <c r="GE43" s="485">
        <v>0</v>
      </c>
      <c r="GF43" s="485">
        <f t="shared" si="54"/>
        <v>0</v>
      </c>
      <c r="GG43" s="485"/>
      <c r="GH43" s="485">
        <v>0</v>
      </c>
      <c r="GI43" s="485">
        <v>0</v>
      </c>
      <c r="GJ43" s="485">
        <v>0</v>
      </c>
      <c r="GK43" s="485">
        <v>0</v>
      </c>
      <c r="GL43" s="485">
        <f t="shared" si="55"/>
        <v>0</v>
      </c>
      <c r="GM43" s="485"/>
      <c r="GN43" s="485">
        <v>0</v>
      </c>
      <c r="GO43" s="485">
        <v>0</v>
      </c>
      <c r="GP43" s="485">
        <v>0</v>
      </c>
      <c r="GQ43" s="485">
        <v>0</v>
      </c>
      <c r="GR43" s="485">
        <f t="shared" si="56"/>
        <v>0</v>
      </c>
      <c r="GS43" s="485"/>
      <c r="GT43" s="485">
        <v>0</v>
      </c>
      <c r="GU43" s="485">
        <v>0</v>
      </c>
      <c r="GV43" s="485">
        <v>0</v>
      </c>
      <c r="GW43" s="485">
        <v>0</v>
      </c>
      <c r="GX43" s="485">
        <f t="shared" si="57"/>
        <v>0</v>
      </c>
      <c r="GY43" s="485"/>
      <c r="GZ43" s="485">
        <v>0</v>
      </c>
      <c r="HA43" s="485">
        <v>0</v>
      </c>
      <c r="HB43" s="485">
        <v>0</v>
      </c>
      <c r="HC43" s="485">
        <v>0</v>
      </c>
      <c r="HD43" s="485">
        <f t="shared" si="58"/>
        <v>0</v>
      </c>
      <c r="HE43" s="485"/>
      <c r="HF43" s="485">
        <v>0</v>
      </c>
      <c r="HG43" s="485">
        <v>0</v>
      </c>
      <c r="HH43" s="485">
        <v>0</v>
      </c>
      <c r="HI43" s="485">
        <v>0</v>
      </c>
      <c r="HJ43" s="485">
        <f t="shared" si="59"/>
        <v>0</v>
      </c>
      <c r="HK43" s="485"/>
      <c r="HL43" s="485"/>
      <c r="HM43" s="485"/>
      <c r="HN43" s="485"/>
      <c r="HO43" s="485"/>
      <c r="HP43" s="485"/>
      <c r="HQ43" s="485"/>
    </row>
    <row r="44" spans="1:225" outlineLevel="1">
      <c r="A44" s="30"/>
      <c r="B44" s="30" t="s">
        <v>492</v>
      </c>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118"/>
      <c r="BT44" s="118"/>
      <c r="BU44" s="30"/>
      <c r="BV44" s="30"/>
      <c r="BW44" s="30"/>
      <c r="BX44" s="118"/>
      <c r="BY44" s="30"/>
      <c r="BZ44" s="30"/>
      <c r="CA44" s="30"/>
      <c r="CB44" s="30"/>
      <c r="CC44" s="30"/>
      <c r="CD44" s="118"/>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485">
        <f>0</f>
        <v>0</v>
      </c>
      <c r="DI44" s="485">
        <f t="shared" si="60"/>
        <v>0</v>
      </c>
      <c r="DJ44" s="485">
        <f t="shared" si="60"/>
        <v>0</v>
      </c>
      <c r="DK44" s="485">
        <f t="shared" si="60"/>
        <v>0</v>
      </c>
      <c r="DL44" s="485">
        <f t="shared" si="42"/>
        <v>0</v>
      </c>
      <c r="DM44" s="485"/>
      <c r="DN44" s="485">
        <f>0</f>
        <v>0</v>
      </c>
      <c r="DO44" s="485">
        <f t="shared" si="61"/>
        <v>0</v>
      </c>
      <c r="DP44" s="485">
        <f t="shared" si="61"/>
        <v>0</v>
      </c>
      <c r="DQ44" s="485">
        <f t="shared" si="61"/>
        <v>0</v>
      </c>
      <c r="DR44" s="485">
        <f t="shared" si="43"/>
        <v>0</v>
      </c>
      <c r="DS44" s="485"/>
      <c r="DT44" s="485">
        <f>0</f>
        <v>0</v>
      </c>
      <c r="DU44" s="485">
        <f t="shared" si="62"/>
        <v>0</v>
      </c>
      <c r="DV44" s="485">
        <f t="shared" si="62"/>
        <v>0</v>
      </c>
      <c r="DW44" s="485">
        <f t="shared" si="62"/>
        <v>0</v>
      </c>
      <c r="DX44" s="485">
        <f t="shared" si="44"/>
        <v>0</v>
      </c>
      <c r="DY44" s="485"/>
      <c r="DZ44" s="485">
        <f>-15</f>
        <v>-15</v>
      </c>
      <c r="EA44" s="485">
        <f>-15--15</f>
        <v>0</v>
      </c>
      <c r="EB44" s="485">
        <f>-15--15</f>
        <v>0</v>
      </c>
      <c r="EC44" s="485">
        <f>-15--15</f>
        <v>0</v>
      </c>
      <c r="ED44" s="485">
        <f t="shared" si="45"/>
        <v>-15</v>
      </c>
      <c r="EE44" s="485"/>
      <c r="EF44" s="485">
        <f>0</f>
        <v>0</v>
      </c>
      <c r="EG44" s="485">
        <f t="shared" ref="EG44:EI46" si="64">0-0</f>
        <v>0</v>
      </c>
      <c r="EH44" s="485">
        <f t="shared" si="64"/>
        <v>0</v>
      </c>
      <c r="EI44" s="485">
        <f t="shared" si="64"/>
        <v>0</v>
      </c>
      <c r="EJ44" s="485">
        <f t="shared" si="46"/>
        <v>0</v>
      </c>
      <c r="EK44" s="485"/>
      <c r="EL44" s="485">
        <f>0</f>
        <v>0</v>
      </c>
      <c r="EM44" s="485">
        <f t="shared" si="63"/>
        <v>0</v>
      </c>
      <c r="EN44" s="485">
        <f t="shared" si="63"/>
        <v>0</v>
      </c>
      <c r="EO44" s="485">
        <f t="shared" si="63"/>
        <v>0</v>
      </c>
      <c r="EP44" s="485">
        <f t="shared" si="47"/>
        <v>0</v>
      </c>
      <c r="EQ44" s="485"/>
      <c r="ER44" s="485">
        <v>0</v>
      </c>
      <c r="ES44" s="485">
        <v>0</v>
      </c>
      <c r="ET44" s="354">
        <v>0</v>
      </c>
      <c r="EU44" s="354">
        <v>0</v>
      </c>
      <c r="EV44" s="485">
        <f t="shared" si="48"/>
        <v>0</v>
      </c>
      <c r="EW44" s="485"/>
      <c r="EX44" s="485">
        <v>0</v>
      </c>
      <c r="EY44" s="485">
        <v>0</v>
      </c>
      <c r="EZ44" s="485">
        <v>0</v>
      </c>
      <c r="FA44" s="557"/>
      <c r="FB44" s="485">
        <f t="shared" si="49"/>
        <v>0</v>
      </c>
      <c r="FC44" s="485"/>
      <c r="FD44" s="557"/>
      <c r="FE44" s="485"/>
      <c r="FF44" s="485"/>
      <c r="FG44" s="485"/>
      <c r="FH44" s="485">
        <f t="shared" si="50"/>
        <v>0</v>
      </c>
      <c r="FI44" s="485"/>
      <c r="FJ44" s="485"/>
      <c r="FK44" s="485"/>
      <c r="FL44" s="485"/>
      <c r="FM44" s="485"/>
      <c r="FN44" s="485">
        <f t="shared" si="51"/>
        <v>0</v>
      </c>
      <c r="FO44" s="485"/>
      <c r="FP44" s="485"/>
      <c r="FQ44" s="485"/>
      <c r="FR44" s="485"/>
      <c r="FS44" s="485"/>
      <c r="FT44" s="485">
        <f t="shared" si="52"/>
        <v>0</v>
      </c>
      <c r="FU44" s="485"/>
      <c r="FV44" s="485"/>
      <c r="FW44" s="485"/>
      <c r="FX44" s="485"/>
      <c r="FY44" s="485"/>
      <c r="FZ44" s="485">
        <f t="shared" si="53"/>
        <v>0</v>
      </c>
      <c r="GA44" s="485"/>
      <c r="GB44" s="485"/>
      <c r="GC44" s="485"/>
      <c r="GD44" s="485"/>
      <c r="GE44" s="485"/>
      <c r="GF44" s="485">
        <f t="shared" si="54"/>
        <v>0</v>
      </c>
      <c r="GG44" s="485"/>
      <c r="GH44" s="485"/>
      <c r="GI44" s="485"/>
      <c r="GJ44" s="485"/>
      <c r="GK44" s="485"/>
      <c r="GL44" s="485">
        <f t="shared" si="55"/>
        <v>0</v>
      </c>
      <c r="GM44" s="485"/>
      <c r="GN44" s="485"/>
      <c r="GO44" s="485"/>
      <c r="GP44" s="485"/>
      <c r="GQ44" s="485"/>
      <c r="GR44" s="485">
        <f t="shared" si="56"/>
        <v>0</v>
      </c>
      <c r="GS44" s="485"/>
      <c r="GT44" s="485"/>
      <c r="GU44" s="485"/>
      <c r="GV44" s="485"/>
      <c r="GW44" s="485"/>
      <c r="GX44" s="485">
        <f t="shared" si="57"/>
        <v>0</v>
      </c>
      <c r="GY44" s="485"/>
      <c r="GZ44" s="485"/>
      <c r="HA44" s="485"/>
      <c r="HB44" s="485"/>
      <c r="HC44" s="485"/>
      <c r="HD44" s="485">
        <f t="shared" si="58"/>
        <v>0</v>
      </c>
      <c r="HE44" s="485"/>
      <c r="HF44" s="485"/>
      <c r="HG44" s="485"/>
      <c r="HH44" s="485"/>
      <c r="HI44" s="485"/>
      <c r="HJ44" s="485">
        <f t="shared" si="59"/>
        <v>0</v>
      </c>
      <c r="HK44" s="485"/>
      <c r="HL44" s="485"/>
      <c r="HM44" s="485"/>
      <c r="HN44" s="485"/>
      <c r="HO44" s="485"/>
      <c r="HP44" s="485"/>
      <c r="HQ44" s="485"/>
    </row>
    <row r="45" spans="1:225">
      <c r="A45" s="30"/>
      <c r="B45" s="30" t="s">
        <v>514</v>
      </c>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118"/>
      <c r="BT45" s="118"/>
      <c r="BU45" s="30"/>
      <c r="BV45" s="30"/>
      <c r="BW45" s="30"/>
      <c r="BX45" s="118"/>
      <c r="BY45" s="30"/>
      <c r="BZ45" s="30"/>
      <c r="CA45" s="30"/>
      <c r="CB45" s="30"/>
      <c r="CC45" s="30"/>
      <c r="CD45" s="118"/>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485">
        <f>0</f>
        <v>0</v>
      </c>
      <c r="DI45" s="485">
        <f t="shared" si="60"/>
        <v>0</v>
      </c>
      <c r="DJ45" s="485">
        <f t="shared" si="60"/>
        <v>0</v>
      </c>
      <c r="DK45" s="485">
        <f t="shared" si="60"/>
        <v>0</v>
      </c>
      <c r="DL45" s="485">
        <f t="shared" si="42"/>
        <v>0</v>
      </c>
      <c r="DM45" s="485"/>
      <c r="DN45" s="485">
        <f>0</f>
        <v>0</v>
      </c>
      <c r="DO45" s="485">
        <f>0.399-0</f>
        <v>0.39900000000000002</v>
      </c>
      <c r="DP45" s="485">
        <f>0.399-0.399</f>
        <v>0</v>
      </c>
      <c r="DQ45" s="485">
        <f>0.399-0.399</f>
        <v>0</v>
      </c>
      <c r="DR45" s="485">
        <f t="shared" si="43"/>
        <v>0.39900000000000002</v>
      </c>
      <c r="DS45" s="485"/>
      <c r="DT45" s="485">
        <f>0</f>
        <v>0</v>
      </c>
      <c r="DU45" s="485">
        <f t="shared" si="62"/>
        <v>0</v>
      </c>
      <c r="DV45" s="485">
        <f t="shared" si="62"/>
        <v>0</v>
      </c>
      <c r="DW45" s="485">
        <f t="shared" si="62"/>
        <v>0</v>
      </c>
      <c r="DX45" s="485">
        <f t="shared" si="44"/>
        <v>0</v>
      </c>
      <c r="DY45" s="485"/>
      <c r="DZ45" s="485">
        <f>0</f>
        <v>0</v>
      </c>
      <c r="EA45" s="485">
        <f t="shared" ref="EA45:EC46" si="65">0-0</f>
        <v>0</v>
      </c>
      <c r="EB45" s="485">
        <f t="shared" si="65"/>
        <v>0</v>
      </c>
      <c r="EC45" s="485">
        <f t="shared" si="65"/>
        <v>0</v>
      </c>
      <c r="ED45" s="485">
        <f t="shared" si="45"/>
        <v>0</v>
      </c>
      <c r="EE45" s="485"/>
      <c r="EF45" s="485">
        <f>0</f>
        <v>0</v>
      </c>
      <c r="EG45" s="485">
        <f t="shared" si="64"/>
        <v>0</v>
      </c>
      <c r="EH45" s="485">
        <f t="shared" si="64"/>
        <v>0</v>
      </c>
      <c r="EI45" s="485">
        <f t="shared" si="64"/>
        <v>0</v>
      </c>
      <c r="EJ45" s="485">
        <f t="shared" si="46"/>
        <v>0</v>
      </c>
      <c r="EK45" s="485"/>
      <c r="EL45" s="485">
        <f>0</f>
        <v>0</v>
      </c>
      <c r="EM45" s="485">
        <f t="shared" si="63"/>
        <v>0</v>
      </c>
      <c r="EN45" s="485">
        <f t="shared" si="63"/>
        <v>0</v>
      </c>
      <c r="EO45" s="485">
        <f t="shared" si="63"/>
        <v>0</v>
      </c>
      <c r="EP45" s="485">
        <f t="shared" si="47"/>
        <v>0</v>
      </c>
      <c r="EQ45" s="485"/>
      <c r="ER45" s="485">
        <v>0</v>
      </c>
      <c r="ES45" s="485">
        <v>0</v>
      </c>
      <c r="ET45" s="354">
        <v>0</v>
      </c>
      <c r="EU45" s="354">
        <v>0</v>
      </c>
      <c r="EV45" s="485">
        <f t="shared" si="48"/>
        <v>0</v>
      </c>
      <c r="EW45" s="485"/>
      <c r="EX45" s="485">
        <v>0</v>
      </c>
      <c r="EY45" s="485">
        <v>0</v>
      </c>
      <c r="EZ45" s="485">
        <v>0</v>
      </c>
      <c r="FA45" s="557">
        <f>-'Other Accts'!FA60-'Other Accts'!FA66</f>
        <v>0</v>
      </c>
      <c r="FB45" s="485">
        <f t="shared" si="49"/>
        <v>0</v>
      </c>
      <c r="FC45" s="485"/>
      <c r="FD45" s="557">
        <f>-'Other Accts'!FD60-'Other Accts'!FD66</f>
        <v>0</v>
      </c>
      <c r="FE45" s="485">
        <f>-'Other Accts'!FE60-'Other Accts'!FE66</f>
        <v>0</v>
      </c>
      <c r="FF45" s="485">
        <f>-'Other Accts'!FF60-'Other Accts'!FF66</f>
        <v>0</v>
      </c>
      <c r="FG45" s="485">
        <f>-'Other Accts'!FG60-'Other Accts'!FG66</f>
        <v>0</v>
      </c>
      <c r="FH45" s="485">
        <f t="shared" si="50"/>
        <v>0</v>
      </c>
      <c r="FI45" s="485"/>
      <c r="FJ45" s="485">
        <f>-'Other Accts'!FJ60-'Other Accts'!FJ66</f>
        <v>0</v>
      </c>
      <c r="FK45" s="485">
        <f>-'Other Accts'!FK60-'Other Accts'!FK66</f>
        <v>0</v>
      </c>
      <c r="FL45" s="485">
        <f>-'Other Accts'!FL60-'Other Accts'!FL66</f>
        <v>0</v>
      </c>
      <c r="FM45" s="485">
        <f>-'Other Accts'!FM60-'Other Accts'!FM66</f>
        <v>0</v>
      </c>
      <c r="FN45" s="485">
        <f t="shared" si="51"/>
        <v>0</v>
      </c>
      <c r="FO45" s="485"/>
      <c r="FP45" s="485">
        <f>-'Other Accts'!FP60-'Other Accts'!FP66</f>
        <v>0</v>
      </c>
      <c r="FQ45" s="485">
        <f>-'Other Accts'!FQ60-'Other Accts'!FQ66</f>
        <v>0</v>
      </c>
      <c r="FR45" s="485">
        <f>-'Other Accts'!FR60-'Other Accts'!FR66</f>
        <v>0</v>
      </c>
      <c r="FS45" s="485">
        <f>-'Other Accts'!FS60-'Other Accts'!FS66</f>
        <v>0</v>
      </c>
      <c r="FT45" s="485">
        <f t="shared" si="52"/>
        <v>0</v>
      </c>
      <c r="FU45" s="485"/>
      <c r="FV45" s="485">
        <f>-'Other Accts'!FV60-'Other Accts'!FV66</f>
        <v>0</v>
      </c>
      <c r="FW45" s="485">
        <f>-'Other Accts'!FW60-'Other Accts'!FW66</f>
        <v>0</v>
      </c>
      <c r="FX45" s="485">
        <f>-'Other Accts'!FX60-'Other Accts'!FX66</f>
        <v>0</v>
      </c>
      <c r="FY45" s="485">
        <f>-'Other Accts'!FY60-'Other Accts'!FY66</f>
        <v>0</v>
      </c>
      <c r="FZ45" s="485">
        <f t="shared" si="53"/>
        <v>0</v>
      </c>
      <c r="GA45" s="485"/>
      <c r="GB45" s="485">
        <f>-'Other Accts'!GB60-'Other Accts'!GB66</f>
        <v>0</v>
      </c>
      <c r="GC45" s="485">
        <f>-'Other Accts'!GC60-'Other Accts'!GC66</f>
        <v>0</v>
      </c>
      <c r="GD45" s="485">
        <f>-'Other Accts'!GD60-'Other Accts'!GD66</f>
        <v>0</v>
      </c>
      <c r="GE45" s="485">
        <f>-'Other Accts'!GE60-'Other Accts'!GE66</f>
        <v>0</v>
      </c>
      <c r="GF45" s="485">
        <f t="shared" si="54"/>
        <v>0</v>
      </c>
      <c r="GG45" s="485"/>
      <c r="GH45" s="485">
        <f>-'Other Accts'!GH60-'Other Accts'!GH66</f>
        <v>0</v>
      </c>
      <c r="GI45" s="485">
        <f>-'Other Accts'!GI60-'Other Accts'!GI66</f>
        <v>0</v>
      </c>
      <c r="GJ45" s="485">
        <f>-'Other Accts'!GJ60-'Other Accts'!GJ66</f>
        <v>0</v>
      </c>
      <c r="GK45" s="485">
        <f>-'Other Accts'!GK60-'Other Accts'!GK66</f>
        <v>0</v>
      </c>
      <c r="GL45" s="485">
        <f t="shared" si="55"/>
        <v>0</v>
      </c>
      <c r="GM45" s="485"/>
      <c r="GN45" s="485">
        <f>-'Other Accts'!GN60-'Other Accts'!GN66</f>
        <v>0</v>
      </c>
      <c r="GO45" s="485">
        <f>-'Other Accts'!GO60-'Other Accts'!GO66</f>
        <v>0</v>
      </c>
      <c r="GP45" s="485">
        <f>-'Other Accts'!GP60-'Other Accts'!GP66</f>
        <v>0</v>
      </c>
      <c r="GQ45" s="485">
        <f>-'Other Accts'!GQ60-'Other Accts'!GQ66</f>
        <v>0</v>
      </c>
      <c r="GR45" s="485">
        <f t="shared" si="56"/>
        <v>0</v>
      </c>
      <c r="GS45" s="485"/>
      <c r="GT45" s="485">
        <f>-'Other Accts'!GT60-'Other Accts'!GT66</f>
        <v>0</v>
      </c>
      <c r="GU45" s="485">
        <f>-'Other Accts'!GU60-'Other Accts'!GU66</f>
        <v>0</v>
      </c>
      <c r="GV45" s="485">
        <f>-'Other Accts'!GV60-'Other Accts'!GV66</f>
        <v>0</v>
      </c>
      <c r="GW45" s="485">
        <f>-'Other Accts'!GW60-'Other Accts'!GW66</f>
        <v>0</v>
      </c>
      <c r="GX45" s="485">
        <f t="shared" si="57"/>
        <v>0</v>
      </c>
      <c r="GY45" s="485"/>
      <c r="GZ45" s="485">
        <f>-'Other Accts'!GZ60-'Other Accts'!GZ66</f>
        <v>0</v>
      </c>
      <c r="HA45" s="485">
        <f>-'Other Accts'!HA60-'Other Accts'!HA66</f>
        <v>0</v>
      </c>
      <c r="HB45" s="485">
        <f>-'Other Accts'!HB60-'Other Accts'!HB66</f>
        <v>0</v>
      </c>
      <c r="HC45" s="485">
        <f>-'Other Accts'!HC60-'Other Accts'!HC66</f>
        <v>0</v>
      </c>
      <c r="HD45" s="485">
        <f t="shared" si="58"/>
        <v>0</v>
      </c>
      <c r="HE45" s="485"/>
      <c r="HF45" s="485">
        <f>-'Other Accts'!HF60-'Other Accts'!HF66</f>
        <v>0</v>
      </c>
      <c r="HG45" s="485">
        <f>-'Other Accts'!HG60-'Other Accts'!HG66</f>
        <v>0</v>
      </c>
      <c r="HH45" s="485">
        <f>-'Other Accts'!HH60-'Other Accts'!HH66</f>
        <v>0</v>
      </c>
      <c r="HI45" s="485">
        <f>-'Other Accts'!HI60-'Other Accts'!HI66</f>
        <v>0</v>
      </c>
      <c r="HJ45" s="485">
        <f t="shared" si="59"/>
        <v>0</v>
      </c>
      <c r="HK45" s="485"/>
      <c r="HL45" s="485"/>
      <c r="HM45" s="485"/>
      <c r="HN45" s="485"/>
      <c r="HO45" s="485"/>
      <c r="HP45" s="485"/>
      <c r="HQ45" s="485"/>
    </row>
    <row r="46" spans="1:225" s="512" customFormat="1">
      <c r="A46" s="30"/>
      <c r="B46" s="30" t="s">
        <v>494</v>
      </c>
      <c r="C46" s="30"/>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119"/>
      <c r="BT46" s="119"/>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474"/>
      <c r="DG46" s="36"/>
      <c r="DH46" s="532">
        <f>0</f>
        <v>0</v>
      </c>
      <c r="DI46" s="532">
        <f t="shared" si="60"/>
        <v>0</v>
      </c>
      <c r="DJ46" s="532">
        <f t="shared" si="60"/>
        <v>0</v>
      </c>
      <c r="DK46" s="532">
        <f t="shared" si="60"/>
        <v>0</v>
      </c>
      <c r="DL46" s="532">
        <f t="shared" si="42"/>
        <v>0</v>
      </c>
      <c r="DM46" s="532"/>
      <c r="DN46" s="532">
        <f>0</f>
        <v>0</v>
      </c>
      <c r="DO46" s="532">
        <f>0-0</f>
        <v>0</v>
      </c>
      <c r="DP46" s="532">
        <f>0-0</f>
        <v>0</v>
      </c>
      <c r="DQ46" s="532">
        <f>0-0</f>
        <v>0</v>
      </c>
      <c r="DR46" s="532">
        <f t="shared" si="43"/>
        <v>0</v>
      </c>
      <c r="DS46" s="532"/>
      <c r="DT46" s="532">
        <f>0</f>
        <v>0</v>
      </c>
      <c r="DU46" s="532">
        <f>-13.137-0</f>
        <v>-13.137</v>
      </c>
      <c r="DV46" s="532">
        <f>-25.6--13.137</f>
        <v>-12.463000000000001</v>
      </c>
      <c r="DW46" s="532">
        <f>-25.6--25.6</f>
        <v>0</v>
      </c>
      <c r="DX46" s="532">
        <f t="shared" si="44"/>
        <v>-25.6</v>
      </c>
      <c r="DY46" s="532"/>
      <c r="DZ46" s="532">
        <f>0</f>
        <v>0</v>
      </c>
      <c r="EA46" s="532">
        <f t="shared" si="65"/>
        <v>0</v>
      </c>
      <c r="EB46" s="532">
        <f t="shared" si="65"/>
        <v>0</v>
      </c>
      <c r="EC46" s="532">
        <f t="shared" si="65"/>
        <v>0</v>
      </c>
      <c r="ED46" s="532">
        <f t="shared" si="45"/>
        <v>0</v>
      </c>
      <c r="EE46" s="532"/>
      <c r="EF46" s="532">
        <f>0</f>
        <v>0</v>
      </c>
      <c r="EG46" s="532">
        <f t="shared" si="64"/>
        <v>0</v>
      </c>
      <c r="EH46" s="532">
        <f t="shared" si="64"/>
        <v>0</v>
      </c>
      <c r="EI46" s="532">
        <f t="shared" si="64"/>
        <v>0</v>
      </c>
      <c r="EJ46" s="532">
        <f t="shared" si="46"/>
        <v>0</v>
      </c>
      <c r="EK46" s="532"/>
      <c r="EL46" s="532">
        <f>0</f>
        <v>0</v>
      </c>
      <c r="EM46" s="532">
        <f t="shared" si="63"/>
        <v>0</v>
      </c>
      <c r="EN46" s="532">
        <f t="shared" si="63"/>
        <v>0</v>
      </c>
      <c r="EO46" s="532">
        <f t="shared" si="63"/>
        <v>0</v>
      </c>
      <c r="EP46" s="532">
        <f t="shared" si="47"/>
        <v>0</v>
      </c>
      <c r="EQ46" s="532"/>
      <c r="ER46" s="532">
        <v>0</v>
      </c>
      <c r="ES46" s="532">
        <v>0</v>
      </c>
      <c r="ET46" s="532">
        <v>0</v>
      </c>
      <c r="EU46" s="532">
        <v>0</v>
      </c>
      <c r="EV46" s="532">
        <f t="shared" si="48"/>
        <v>0</v>
      </c>
      <c r="EW46" s="532"/>
      <c r="EX46" s="532">
        <v>0</v>
      </c>
      <c r="EY46" s="532">
        <v>0</v>
      </c>
      <c r="EZ46" s="532">
        <v>0</v>
      </c>
      <c r="FA46" s="558">
        <v>0</v>
      </c>
      <c r="FB46" s="532">
        <f t="shared" si="49"/>
        <v>0</v>
      </c>
      <c r="FC46" s="532"/>
      <c r="FD46" s="558">
        <v>0</v>
      </c>
      <c r="FE46" s="532">
        <v>0</v>
      </c>
      <c r="FF46" s="532">
        <v>0</v>
      </c>
      <c r="FG46" s="532">
        <v>0</v>
      </c>
      <c r="FH46" s="532">
        <f t="shared" si="50"/>
        <v>0</v>
      </c>
      <c r="FI46" s="532"/>
      <c r="FJ46" s="532">
        <v>0</v>
      </c>
      <c r="FK46" s="532">
        <v>0</v>
      </c>
      <c r="FL46" s="532">
        <v>0</v>
      </c>
      <c r="FM46" s="532">
        <v>0</v>
      </c>
      <c r="FN46" s="532">
        <f t="shared" si="51"/>
        <v>0</v>
      </c>
      <c r="FO46" s="532"/>
      <c r="FP46" s="532">
        <v>0</v>
      </c>
      <c r="FQ46" s="532">
        <v>0</v>
      </c>
      <c r="FR46" s="532">
        <v>0</v>
      </c>
      <c r="FS46" s="532">
        <v>0</v>
      </c>
      <c r="FT46" s="532">
        <f t="shared" si="52"/>
        <v>0</v>
      </c>
      <c r="FU46" s="532"/>
      <c r="FV46" s="532">
        <v>0</v>
      </c>
      <c r="FW46" s="532">
        <v>0</v>
      </c>
      <c r="FX46" s="532">
        <v>0</v>
      </c>
      <c r="FY46" s="532">
        <v>0</v>
      </c>
      <c r="FZ46" s="532">
        <f t="shared" si="53"/>
        <v>0</v>
      </c>
      <c r="GA46" s="532"/>
      <c r="GB46" s="532">
        <v>0</v>
      </c>
      <c r="GC46" s="532">
        <v>0</v>
      </c>
      <c r="GD46" s="532">
        <v>0</v>
      </c>
      <c r="GE46" s="532">
        <v>0</v>
      </c>
      <c r="GF46" s="532">
        <f t="shared" si="54"/>
        <v>0</v>
      </c>
      <c r="GG46" s="532"/>
      <c r="GH46" s="532">
        <v>0</v>
      </c>
      <c r="GI46" s="532">
        <v>0</v>
      </c>
      <c r="GJ46" s="532">
        <v>0</v>
      </c>
      <c r="GK46" s="532">
        <v>0</v>
      </c>
      <c r="GL46" s="532">
        <f t="shared" si="55"/>
        <v>0</v>
      </c>
      <c r="GM46" s="532"/>
      <c r="GN46" s="532">
        <v>0</v>
      </c>
      <c r="GO46" s="532">
        <v>0</v>
      </c>
      <c r="GP46" s="532">
        <v>0</v>
      </c>
      <c r="GQ46" s="532">
        <v>0</v>
      </c>
      <c r="GR46" s="532">
        <f t="shared" si="56"/>
        <v>0</v>
      </c>
      <c r="GS46" s="532"/>
      <c r="GT46" s="532">
        <v>0</v>
      </c>
      <c r="GU46" s="532">
        <v>0</v>
      </c>
      <c r="GV46" s="532">
        <v>0</v>
      </c>
      <c r="GW46" s="532">
        <v>0</v>
      </c>
      <c r="GX46" s="532">
        <f t="shared" si="57"/>
        <v>0</v>
      </c>
      <c r="GY46" s="532"/>
      <c r="GZ46" s="532">
        <v>0</v>
      </c>
      <c r="HA46" s="532">
        <v>0</v>
      </c>
      <c r="HB46" s="532">
        <v>0</v>
      </c>
      <c r="HC46" s="532">
        <v>0</v>
      </c>
      <c r="HD46" s="532">
        <f t="shared" si="58"/>
        <v>0</v>
      </c>
      <c r="HE46" s="532"/>
      <c r="HF46" s="532">
        <v>0</v>
      </c>
      <c r="HG46" s="532">
        <v>0</v>
      </c>
      <c r="HH46" s="532">
        <v>0</v>
      </c>
      <c r="HI46" s="532">
        <v>0</v>
      </c>
      <c r="HJ46" s="532">
        <f t="shared" si="59"/>
        <v>0</v>
      </c>
      <c r="HK46" s="532"/>
      <c r="HL46" s="532"/>
      <c r="HM46" s="532"/>
      <c r="HN46" s="532"/>
      <c r="HO46" s="532"/>
      <c r="HP46" s="532"/>
      <c r="HQ46" s="532"/>
    </row>
    <row r="47" spans="1:225" s="531" customFormat="1">
      <c r="A47" s="29" t="s">
        <v>96</v>
      </c>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475"/>
      <c r="BT47" s="475"/>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344">
        <f>SUM(DH39:DH46)</f>
        <v>-4.6660000000000004</v>
      </c>
      <c r="DI47" s="344">
        <f>SUM(DI39:DI46)</f>
        <v>-4.2769999999999992</v>
      </c>
      <c r="DJ47" s="344">
        <f>SUM(DJ39:DJ46)</f>
        <v>-2.1479999999999997</v>
      </c>
      <c r="DK47" s="344">
        <f>SUM(DK39:DK46)</f>
        <v>-128.596</v>
      </c>
      <c r="DL47" s="344">
        <f>SUM(DL39:DL46)</f>
        <v>-139.68699999999998</v>
      </c>
      <c r="DM47" s="344"/>
      <c r="DN47" s="344">
        <f>SUM(DN39:DN46)</f>
        <v>-3.1960000000000002</v>
      </c>
      <c r="DO47" s="344">
        <f>SUM(DO39:DO46)</f>
        <v>-3.0419999999999994</v>
      </c>
      <c r="DP47" s="344">
        <f>SUM(DP39:DP46)</f>
        <v>-7.3159999999999998</v>
      </c>
      <c r="DQ47" s="344">
        <f>SUM(DQ39:DQ46)</f>
        <v>-6.0760000000000005</v>
      </c>
      <c r="DR47" s="344">
        <f>SUM(DR39:DR46)</f>
        <v>-19.63</v>
      </c>
      <c r="DS47" s="344"/>
      <c r="DT47" s="344">
        <f>SUM(DT39:DT46)</f>
        <v>-41.707999999999998</v>
      </c>
      <c r="DU47" s="344">
        <f>SUM(DU39:DU46)</f>
        <v>-18.163</v>
      </c>
      <c r="DV47" s="344">
        <f>SUM(DV39:DV46)</f>
        <v>-70.716000000000008</v>
      </c>
      <c r="DW47" s="344">
        <f>SUM(DW39:DW46)</f>
        <v>-28.853999999999999</v>
      </c>
      <c r="DX47" s="344">
        <f>SUM(DX39:DX46)</f>
        <v>-159.441</v>
      </c>
      <c r="DY47" s="344"/>
      <c r="DZ47" s="344">
        <f>SUM(DZ39:DZ46)</f>
        <v>-154.68799999999999</v>
      </c>
      <c r="EA47" s="344">
        <f>SUM(EA39:EA46)</f>
        <v>-453.40999999999997</v>
      </c>
      <c r="EB47" s="344">
        <f>SUM(EB39:EB46)</f>
        <v>-14.686000000000014</v>
      </c>
      <c r="EC47" s="344">
        <f>SUM(EC39:EC46)</f>
        <v>-9.5829999999999771</v>
      </c>
      <c r="ED47" s="344">
        <f>SUM(ED39:ED46)</f>
        <v>-632.36699999999996</v>
      </c>
      <c r="EE47" s="344"/>
      <c r="EF47" s="344">
        <f>SUM(EF39:EF46)</f>
        <v>12.052</v>
      </c>
      <c r="EG47" s="344">
        <f>SUM(EG39:EG46)</f>
        <v>-6.2739999999999991</v>
      </c>
      <c r="EH47" s="344">
        <f>SUM(EH39:EH46)</f>
        <v>-4.198000000000004</v>
      </c>
      <c r="EI47" s="344">
        <f>SUM(EI39:EI46)</f>
        <v>-1.0629999999999953</v>
      </c>
      <c r="EJ47" s="344">
        <f>SUM(EJ39:EJ46)</f>
        <v>0.51699999999999768</v>
      </c>
      <c r="EK47" s="344"/>
      <c r="EL47" s="344">
        <f>SUM(EL39:EL46)</f>
        <v>23.741999999999997</v>
      </c>
      <c r="EM47" s="344">
        <f>SUM(EM39:EM46)</f>
        <v>14.949000000000005</v>
      </c>
      <c r="EN47" s="344">
        <f>SUM(EN39:EN46)</f>
        <v>20.820999999999991</v>
      </c>
      <c r="EO47" s="344">
        <f>SUM(EO39:EO46)</f>
        <v>17.195000000000011</v>
      </c>
      <c r="EP47" s="344">
        <f>SUM(EP39:EP46)</f>
        <v>76.707000000000008</v>
      </c>
      <c r="EQ47" s="344"/>
      <c r="ER47" s="344">
        <f>SUM(ER39:ER46)</f>
        <v>14.524999999999999</v>
      </c>
      <c r="ES47" s="344">
        <f>SUM(ES39:ES46)</f>
        <v>7.3129999999999988</v>
      </c>
      <c r="ET47" s="344">
        <f>SUM(ET39:ET46)</f>
        <v>-3.5159999999999982</v>
      </c>
      <c r="EU47" s="344">
        <f>SUM(EU39:EU46)</f>
        <v>-5.4670000000000023</v>
      </c>
      <c r="EV47" s="344">
        <f>SUM(EV39:EV46)</f>
        <v>12.854999999999997</v>
      </c>
      <c r="EW47" s="344"/>
      <c r="EX47" s="344">
        <f>SUM(EX39:EX46)</f>
        <v>3.5600000000000005</v>
      </c>
      <c r="EY47" s="344">
        <f>SUM(EY39:EY46)</f>
        <v>-9.3140000000000001</v>
      </c>
      <c r="EZ47" s="344">
        <f>SUM(EZ39:EZ46)</f>
        <v>-0.2770000000000028</v>
      </c>
      <c r="FA47" s="559">
        <f>SUM(FA39:FA46)</f>
        <v>-13.863</v>
      </c>
      <c r="FB47" s="344">
        <f>SUM(FB39:FB46)</f>
        <v>-19.894000000000002</v>
      </c>
      <c r="FC47" s="344"/>
      <c r="FD47" s="559">
        <f>SUM(FD39:FD46)</f>
        <v>-8.9512499999999999</v>
      </c>
      <c r="FE47" s="344">
        <f>SUM(FE39:FE46)</f>
        <v>-8.9512499999999999</v>
      </c>
      <c r="FF47" s="344">
        <f>SUM(FF39:FF46)</f>
        <v>-8.9512499999999999</v>
      </c>
      <c r="FG47" s="344">
        <f>SUM(FG39:FG46)</f>
        <v>-8.9512500000000017</v>
      </c>
      <c r="FH47" s="344">
        <f>SUM(FH39:FH46)</f>
        <v>-35.805</v>
      </c>
      <c r="FI47" s="344"/>
      <c r="FJ47" s="344">
        <f>SUM(FJ39:FJ46)</f>
        <v>-9.7121062499999997</v>
      </c>
      <c r="FK47" s="344">
        <f>SUM(FK39:FK46)</f>
        <v>-9.7121062499999997</v>
      </c>
      <c r="FL47" s="344">
        <f>SUM(FL39:FL46)</f>
        <v>-9.7121062499999997</v>
      </c>
      <c r="FM47" s="344">
        <f>SUM(FM39:FM46)</f>
        <v>-9.7121062499999979</v>
      </c>
      <c r="FN47" s="344">
        <f>SUM(FN39:FN46)</f>
        <v>-38.848424999999999</v>
      </c>
      <c r="FO47" s="344"/>
      <c r="FP47" s="344">
        <f>SUM(FP39:FP46)</f>
        <v>-10.537635281249999</v>
      </c>
      <c r="FQ47" s="344">
        <f>SUM(FQ39:FQ46)</f>
        <v>-10.537635281249999</v>
      </c>
      <c r="FR47" s="344">
        <f>SUM(FR39:FR46)</f>
        <v>-10.537635281249999</v>
      </c>
      <c r="FS47" s="344">
        <f>SUM(FS39:FS46)</f>
        <v>-10.537635281249997</v>
      </c>
      <c r="FT47" s="344">
        <f>SUM(FT39:FT46)</f>
        <v>-42.150541124999997</v>
      </c>
      <c r="FU47" s="344"/>
      <c r="FV47" s="344">
        <f>SUM(FV39:FV46)</f>
        <v>-11.433334280156249</v>
      </c>
      <c r="FW47" s="344">
        <f>SUM(FW39:FW46)</f>
        <v>-11.433334280156251</v>
      </c>
      <c r="FX47" s="344">
        <f>SUM(FX39:FX46)</f>
        <v>-11.433334280156249</v>
      </c>
      <c r="FY47" s="344">
        <f>SUM(FY39:FY46)</f>
        <v>-11.433334280156245</v>
      </c>
      <c r="FZ47" s="344">
        <f>SUM(FZ39:FZ46)</f>
        <v>-45.733337120624995</v>
      </c>
      <c r="GA47" s="344"/>
      <c r="GB47" s="344">
        <f>SUM(GB39:GB46)</f>
        <v>-12.405167693969529</v>
      </c>
      <c r="GC47" s="344">
        <f>SUM(GC39:GC46)</f>
        <v>-12.405167693969529</v>
      </c>
      <c r="GD47" s="344">
        <f>SUM(GD39:GD46)</f>
        <v>-12.405167693969529</v>
      </c>
      <c r="GE47" s="344">
        <f>SUM(GE39:GE46)</f>
        <v>-12.405167693969531</v>
      </c>
      <c r="GF47" s="344">
        <f>SUM(GF39:GF46)</f>
        <v>-49.620670775878118</v>
      </c>
      <c r="GG47" s="344"/>
      <c r="GH47" s="344">
        <f>SUM(GH39:GH46)</f>
        <v>-13.459606947956939</v>
      </c>
      <c r="GI47" s="344">
        <f>SUM(GI39:GI46)</f>
        <v>-13.459606947956937</v>
      </c>
      <c r="GJ47" s="344">
        <f>SUM(GJ39:GJ46)</f>
        <v>-13.459606947956939</v>
      </c>
      <c r="GK47" s="344">
        <f>SUM(GK39:GK46)</f>
        <v>-13.459606947956942</v>
      </c>
      <c r="GL47" s="344">
        <f>SUM(GL39:GL46)</f>
        <v>-53.838427791827755</v>
      </c>
      <c r="GM47" s="344"/>
      <c r="GN47" s="344">
        <f>SUM(GN39:GN46)</f>
        <v>-14.603673538533277</v>
      </c>
      <c r="GO47" s="344">
        <f>SUM(GO39:GO46)</f>
        <v>-14.603673538533277</v>
      </c>
      <c r="GP47" s="344">
        <f>SUM(GP39:GP46)</f>
        <v>-14.603673538533277</v>
      </c>
      <c r="GQ47" s="344">
        <f>SUM(GQ39:GQ46)</f>
        <v>-14.603673538533279</v>
      </c>
      <c r="GR47" s="344">
        <f>SUM(GR39:GR46)</f>
        <v>-58.414694154133109</v>
      </c>
      <c r="GS47" s="344"/>
      <c r="GT47" s="344">
        <f>SUM(GT39:GT46)</f>
        <v>-15.844985789308605</v>
      </c>
      <c r="GU47" s="344">
        <f>SUM(GU39:GU46)</f>
        <v>-15.844985789308604</v>
      </c>
      <c r="GV47" s="344">
        <f>SUM(GV39:GV46)</f>
        <v>-15.844985789308605</v>
      </c>
      <c r="GW47" s="344">
        <f>SUM(GW39:GW46)</f>
        <v>-15.844985789308609</v>
      </c>
      <c r="GX47" s="344">
        <f>SUM(GX39:GX46)</f>
        <v>-63.379943157234422</v>
      </c>
      <c r="GY47" s="344"/>
      <c r="GZ47" s="344">
        <f>SUM(GZ39:GZ46)</f>
        <v>-17.191809581399838</v>
      </c>
      <c r="HA47" s="344">
        <f>SUM(HA39:HA46)</f>
        <v>-17.191809581399838</v>
      </c>
      <c r="HB47" s="344">
        <f>SUM(HB39:HB46)</f>
        <v>-17.191809581399838</v>
      </c>
      <c r="HC47" s="344">
        <f>SUM(HC39:HC46)</f>
        <v>-17.191809581399838</v>
      </c>
      <c r="HD47" s="344">
        <f>SUM(HD39:HD46)</f>
        <v>-68.767238325599351</v>
      </c>
      <c r="HE47" s="344"/>
      <c r="HF47" s="344">
        <f>SUM(HF39:HF46)</f>
        <v>-18.653113395818824</v>
      </c>
      <c r="HG47" s="344">
        <f>SUM(HG39:HG46)</f>
        <v>-18.653113395818824</v>
      </c>
      <c r="HH47" s="344">
        <f>SUM(HH39:HH46)</f>
        <v>-18.653113395818824</v>
      </c>
      <c r="HI47" s="344">
        <f>SUM(HI39:HI46)</f>
        <v>-18.653113395818821</v>
      </c>
      <c r="HJ47" s="344">
        <f>SUM(HJ39:HJ46)</f>
        <v>-74.612453583275297</v>
      </c>
      <c r="HK47" s="344"/>
      <c r="HL47" s="344"/>
      <c r="HM47" s="344"/>
      <c r="HN47" s="344"/>
      <c r="HO47" s="344"/>
      <c r="HP47" s="344"/>
      <c r="HQ47" s="344"/>
    </row>
    <row r="48" spans="1:2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107"/>
      <c r="BM48" s="30"/>
      <c r="BN48" s="30"/>
      <c r="BO48" s="30"/>
      <c r="BP48" s="30"/>
      <c r="BQ48" s="30"/>
      <c r="BR48" s="30"/>
      <c r="BS48" s="477"/>
      <c r="BT48" s="477"/>
      <c r="BU48" s="30"/>
      <c r="BV48" s="30"/>
      <c r="BW48" s="30"/>
      <c r="BX48" s="118"/>
      <c r="BY48" s="107"/>
      <c r="BZ48" s="30"/>
      <c r="CA48" s="30"/>
      <c r="CB48" s="30"/>
      <c r="CC48" s="30"/>
      <c r="CD48" s="118"/>
      <c r="CE48" s="118"/>
      <c r="CF48" s="30"/>
      <c r="CG48" s="30"/>
      <c r="CH48" s="30"/>
      <c r="CI48" s="30"/>
      <c r="CJ48" s="30"/>
      <c r="CK48" s="118"/>
      <c r="CL48" s="30"/>
      <c r="CM48" s="30"/>
      <c r="CN48" s="30"/>
      <c r="CO48" s="30"/>
      <c r="CP48" s="30"/>
      <c r="CQ48" s="30"/>
      <c r="CR48" s="30"/>
      <c r="CS48" s="30"/>
      <c r="CT48" s="30"/>
      <c r="CU48" s="30"/>
      <c r="CV48" s="30"/>
      <c r="CW48" s="30"/>
      <c r="CX48" s="30"/>
      <c r="CY48" s="30"/>
      <c r="CZ48" s="30"/>
      <c r="DA48" s="30"/>
      <c r="DB48" s="30"/>
      <c r="DC48" s="30"/>
      <c r="DD48" s="30"/>
      <c r="DE48" s="30"/>
      <c r="DF48" s="30"/>
      <c r="DG48" s="30"/>
      <c r="DH48" s="485"/>
      <c r="DI48" s="485"/>
      <c r="DJ48" s="485"/>
      <c r="DK48" s="485"/>
      <c r="DL48" s="485"/>
      <c r="DM48" s="485"/>
      <c r="DN48" s="485"/>
      <c r="DO48" s="485"/>
      <c r="DP48" s="485"/>
      <c r="DQ48" s="485"/>
      <c r="DR48" s="485"/>
      <c r="DS48" s="485"/>
      <c r="DT48" s="485"/>
      <c r="DU48" s="485"/>
      <c r="DV48" s="485"/>
      <c r="DW48" s="485"/>
      <c r="DX48" s="485"/>
      <c r="DY48" s="485"/>
      <c r="DZ48" s="485"/>
      <c r="EA48" s="485"/>
      <c r="EB48" s="485"/>
      <c r="EC48" s="485"/>
      <c r="ED48" s="485"/>
      <c r="EE48" s="485"/>
      <c r="EF48" s="485"/>
      <c r="EG48" s="485"/>
      <c r="EH48" s="485"/>
      <c r="EI48" s="485"/>
      <c r="EJ48" s="485"/>
      <c r="EK48" s="485"/>
      <c r="EL48" s="485"/>
      <c r="EM48" s="485"/>
      <c r="EN48" s="485"/>
      <c r="EO48" s="485"/>
      <c r="EP48" s="485"/>
      <c r="EQ48" s="485"/>
      <c r="ER48" s="485"/>
      <c r="ES48" s="485"/>
      <c r="ET48" s="354"/>
      <c r="EU48" s="354"/>
      <c r="EV48" s="485"/>
      <c r="EW48" s="485"/>
      <c r="EX48" s="485"/>
      <c r="EY48" s="485"/>
      <c r="EZ48" s="485"/>
      <c r="FA48" s="557"/>
      <c r="FB48" s="485"/>
      <c r="FC48" s="485"/>
      <c r="FD48" s="557"/>
      <c r="FE48" s="485"/>
      <c r="FF48" s="485"/>
      <c r="FG48" s="485"/>
      <c r="FH48" s="485"/>
      <c r="FI48" s="485"/>
      <c r="FJ48" s="485"/>
      <c r="FK48" s="485"/>
      <c r="FL48" s="485"/>
      <c r="FM48" s="485"/>
      <c r="FN48" s="485"/>
      <c r="FO48" s="485"/>
      <c r="FP48" s="485"/>
      <c r="FQ48" s="485"/>
      <c r="FR48" s="485"/>
      <c r="FS48" s="485"/>
      <c r="FT48" s="485"/>
      <c r="FU48" s="485"/>
      <c r="FV48" s="485"/>
      <c r="FW48" s="485"/>
      <c r="FX48" s="485"/>
      <c r="FY48" s="485"/>
      <c r="FZ48" s="485"/>
      <c r="GA48" s="485"/>
      <c r="GB48" s="485"/>
      <c r="GC48" s="485"/>
      <c r="GD48" s="485"/>
      <c r="GE48" s="485"/>
      <c r="GF48" s="485"/>
      <c r="GG48" s="485"/>
      <c r="GH48" s="485"/>
      <c r="GI48" s="485"/>
      <c r="GJ48" s="485"/>
      <c r="GK48" s="485"/>
      <c r="GL48" s="485"/>
      <c r="GM48" s="485"/>
      <c r="GN48" s="485"/>
      <c r="GO48" s="485"/>
      <c r="GP48" s="485"/>
      <c r="GQ48" s="485"/>
      <c r="GR48" s="485"/>
      <c r="GS48" s="485"/>
      <c r="GT48" s="485"/>
      <c r="GU48" s="485"/>
      <c r="GV48" s="485"/>
      <c r="GW48" s="485"/>
      <c r="GX48" s="485"/>
      <c r="GY48" s="485"/>
      <c r="GZ48" s="485"/>
      <c r="HA48" s="485"/>
      <c r="HB48" s="485"/>
      <c r="HC48" s="485"/>
      <c r="HD48" s="485"/>
      <c r="HE48" s="485"/>
      <c r="HF48" s="485"/>
      <c r="HG48" s="485"/>
      <c r="HH48" s="485"/>
      <c r="HI48" s="485"/>
      <c r="HJ48" s="485"/>
      <c r="HK48" s="485"/>
      <c r="HL48" s="485"/>
      <c r="HM48" s="485"/>
      <c r="HN48" s="485"/>
      <c r="HO48" s="485"/>
      <c r="HP48" s="485"/>
      <c r="HQ48" s="485"/>
    </row>
    <row r="49" spans="1:225">
      <c r="A49" s="29" t="s">
        <v>97</v>
      </c>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107"/>
      <c r="BM49" s="30"/>
      <c r="BN49" s="30"/>
      <c r="BO49" s="30"/>
      <c r="BP49" s="30"/>
      <c r="BQ49" s="30"/>
      <c r="BR49" s="30"/>
      <c r="BS49" s="118"/>
      <c r="BT49" s="118"/>
      <c r="BU49" s="30"/>
      <c r="BV49" s="30"/>
      <c r="BW49" s="30"/>
      <c r="BX49" s="118"/>
      <c r="BY49" s="30"/>
      <c r="BZ49" s="30"/>
      <c r="CA49" s="30"/>
      <c r="CB49" s="30"/>
      <c r="CC49" s="30"/>
      <c r="CD49" s="118"/>
      <c r="CE49" s="118"/>
      <c r="CF49" s="30"/>
      <c r="CG49" s="30"/>
      <c r="CH49" s="30"/>
      <c r="CI49" s="30"/>
      <c r="CJ49" s="30"/>
      <c r="CK49" s="118"/>
      <c r="CL49" s="30"/>
      <c r="CM49" s="30"/>
      <c r="CN49" s="30"/>
      <c r="CO49" s="30"/>
      <c r="CP49" s="30"/>
      <c r="CQ49" s="30"/>
      <c r="CR49" s="30"/>
      <c r="CS49" s="30"/>
      <c r="CT49" s="30"/>
      <c r="CU49" s="30"/>
      <c r="CV49" s="30"/>
      <c r="CW49" s="107"/>
      <c r="CX49" s="107"/>
      <c r="CY49" s="30"/>
      <c r="CZ49" s="30"/>
      <c r="DA49" s="30"/>
      <c r="DB49" s="30"/>
      <c r="DC49" s="107"/>
      <c r="DD49" s="107"/>
      <c r="DE49" s="107"/>
      <c r="DF49" s="30"/>
      <c r="DG49" s="30"/>
      <c r="DH49" s="485"/>
      <c r="DI49" s="485"/>
      <c r="DJ49" s="485"/>
      <c r="DK49" s="485"/>
      <c r="DL49" s="485"/>
      <c r="DM49" s="485"/>
      <c r="DN49" s="485"/>
      <c r="DO49" s="485"/>
      <c r="DP49" s="485"/>
      <c r="DQ49" s="485"/>
      <c r="DR49" s="485"/>
      <c r="DS49" s="485"/>
      <c r="DT49" s="485"/>
      <c r="DU49" s="485"/>
      <c r="DV49" s="485"/>
      <c r="DW49" s="485"/>
      <c r="DX49" s="485"/>
      <c r="DY49" s="485"/>
      <c r="DZ49" s="485"/>
      <c r="EA49" s="485"/>
      <c r="EB49" s="485"/>
      <c r="EC49" s="485"/>
      <c r="ED49" s="485"/>
      <c r="EE49" s="485"/>
      <c r="EF49" s="485"/>
      <c r="EG49" s="485"/>
      <c r="EH49" s="485"/>
      <c r="EI49" s="485"/>
      <c r="EJ49" s="485"/>
      <c r="EK49" s="485"/>
      <c r="EL49" s="485"/>
      <c r="EM49" s="485"/>
      <c r="EN49" s="485"/>
      <c r="EO49" s="485"/>
      <c r="EP49" s="485"/>
      <c r="EQ49" s="485"/>
      <c r="ER49" s="485"/>
      <c r="ES49" s="485"/>
      <c r="ET49" s="354"/>
      <c r="EU49" s="354"/>
      <c r="EV49" s="485"/>
      <c r="EW49" s="485"/>
      <c r="EX49" s="485"/>
      <c r="EY49" s="485"/>
      <c r="EZ49" s="485"/>
      <c r="FA49" s="557"/>
      <c r="FB49" s="485"/>
      <c r="FC49" s="485"/>
      <c r="FD49" s="557"/>
      <c r="FE49" s="485"/>
      <c r="FF49" s="485"/>
      <c r="FG49" s="485"/>
      <c r="FH49" s="485"/>
      <c r="FI49" s="485"/>
      <c r="FJ49" s="485"/>
      <c r="FK49" s="485"/>
      <c r="FL49" s="485"/>
      <c r="FM49" s="485"/>
      <c r="FN49" s="485"/>
      <c r="FO49" s="485"/>
      <c r="FP49" s="485"/>
      <c r="FQ49" s="485"/>
      <c r="FR49" s="485"/>
      <c r="FS49" s="485"/>
      <c r="FT49" s="485"/>
      <c r="FU49" s="485"/>
      <c r="FV49" s="485"/>
      <c r="FW49" s="485"/>
      <c r="FX49" s="485"/>
      <c r="FY49" s="485"/>
      <c r="FZ49" s="485"/>
      <c r="GA49" s="485"/>
      <c r="GB49" s="485"/>
      <c r="GC49" s="485"/>
      <c r="GD49" s="485"/>
      <c r="GE49" s="485"/>
      <c r="GF49" s="485"/>
      <c r="GG49" s="485"/>
      <c r="GH49" s="485"/>
      <c r="GI49" s="485"/>
      <c r="GJ49" s="485"/>
      <c r="GK49" s="485"/>
      <c r="GL49" s="485"/>
      <c r="GM49" s="485"/>
      <c r="GN49" s="485"/>
      <c r="GO49" s="485"/>
      <c r="GP49" s="485"/>
      <c r="GQ49" s="485"/>
      <c r="GR49" s="485"/>
      <c r="GS49" s="485"/>
      <c r="GT49" s="485"/>
      <c r="GU49" s="485"/>
      <c r="GV49" s="485"/>
      <c r="GW49" s="485"/>
      <c r="GX49" s="485"/>
      <c r="GY49" s="485"/>
      <c r="GZ49" s="485"/>
      <c r="HA49" s="485"/>
      <c r="HB49" s="485"/>
      <c r="HC49" s="485"/>
      <c r="HD49" s="485"/>
      <c r="HE49" s="485"/>
      <c r="HF49" s="485"/>
      <c r="HG49" s="485"/>
      <c r="HH49" s="485"/>
      <c r="HI49" s="485"/>
      <c r="HJ49" s="485"/>
      <c r="HK49" s="485"/>
      <c r="HL49" s="485"/>
      <c r="HM49" s="485"/>
      <c r="HN49" s="485"/>
      <c r="HO49" s="485"/>
      <c r="HP49" s="485"/>
      <c r="HQ49" s="485"/>
    </row>
    <row r="50" spans="1:225">
      <c r="A50" s="30"/>
      <c r="B50" s="30" t="s">
        <v>602</v>
      </c>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118"/>
      <c r="BT50" s="118"/>
      <c r="BU50" s="30"/>
      <c r="BV50" s="30"/>
      <c r="BW50" s="30"/>
      <c r="BX50" s="118"/>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485">
        <f>SUM(DH51:DH55)</f>
        <v>-6.3380000000000001</v>
      </c>
      <c r="DI50" s="485">
        <f>SUM(DI51:DI55)</f>
        <v>39.063000000000002</v>
      </c>
      <c r="DJ50" s="485">
        <f>SUM(DJ51:DJ55)</f>
        <v>-31.312000000000001</v>
      </c>
      <c r="DK50" s="485">
        <f>SUM(DK51:DK55)</f>
        <v>3.6869999999999998</v>
      </c>
      <c r="DL50" s="485">
        <f>SUM(DH50:DK50)</f>
        <v>5.0999999999999996</v>
      </c>
      <c r="DM50" s="485"/>
      <c r="DN50" s="485">
        <f>SUM(DN51:DN55)</f>
        <v>-1.968</v>
      </c>
      <c r="DO50" s="485">
        <f>SUM(DO51:DO55)</f>
        <v>0.21800000000000352</v>
      </c>
      <c r="DP50" s="485">
        <f>SUM(DP51:DP55)</f>
        <v>0</v>
      </c>
      <c r="DQ50" s="485">
        <f>SUM(DQ51:DQ55)</f>
        <v>-2.5</v>
      </c>
      <c r="DR50" s="485">
        <f>SUM(DN50:DQ50)</f>
        <v>-4.2499999999999964</v>
      </c>
      <c r="DS50" s="485"/>
      <c r="DT50" s="485">
        <f>SUM(DT51:DT55)</f>
        <v>-1.25</v>
      </c>
      <c r="DU50" s="485">
        <f>SUM(DU51:DU55)</f>
        <v>98.085999999999999</v>
      </c>
      <c r="DV50" s="485">
        <f>SUM(DV51:DV55)</f>
        <v>9.0000000000003411E-2</v>
      </c>
      <c r="DW50" s="485">
        <f>SUM(DW51:DW55)</f>
        <v>0</v>
      </c>
      <c r="DX50" s="485">
        <f>SUM(DT50:DW50)</f>
        <v>96.926000000000002</v>
      </c>
      <c r="DY50" s="485"/>
      <c r="DZ50" s="485">
        <f>SUM(DZ51:DZ55)</f>
        <v>334.41</v>
      </c>
      <c r="EA50" s="485">
        <f>SUM(EA51:EA55)</f>
        <v>0</v>
      </c>
      <c r="EB50" s="485">
        <f>SUM(EB51:EB55)</f>
        <v>0</v>
      </c>
      <c r="EC50" s="485">
        <f>SUM(EC51:EC55)</f>
        <v>0</v>
      </c>
      <c r="ED50" s="485">
        <f>SUM(DZ50:EC50)</f>
        <v>334.41</v>
      </c>
      <c r="EE50" s="485"/>
      <c r="EF50" s="485">
        <f>SUM(EF51:EF55)</f>
        <v>0</v>
      </c>
      <c r="EG50" s="485">
        <f>SUM(EG51:EG55)</f>
        <v>0</v>
      </c>
      <c r="EH50" s="485">
        <f>SUM(EH51:EH55)</f>
        <v>0</v>
      </c>
      <c r="EI50" s="485">
        <f>SUM(EI51:EI55)</f>
        <v>0</v>
      </c>
      <c r="EJ50" s="485">
        <f>SUM(EF50:EI50)</f>
        <v>0</v>
      </c>
      <c r="EK50" s="485"/>
      <c r="EL50" s="485">
        <f>SUM(EL51:EL55)</f>
        <v>0</v>
      </c>
      <c r="EM50" s="485">
        <f>SUM(EM51:EM55)</f>
        <v>0</v>
      </c>
      <c r="EN50" s="485">
        <f>SUM(EN51:EN55)</f>
        <v>0</v>
      </c>
      <c r="EO50" s="485">
        <f>SUM(EO51:EO55)</f>
        <v>0</v>
      </c>
      <c r="EP50" s="485">
        <f>SUM(EL50:EO50)</f>
        <v>0</v>
      </c>
      <c r="EQ50" s="485"/>
      <c r="ER50" s="485">
        <f>SUM(ER51:ER55)</f>
        <v>0</v>
      </c>
      <c r="ES50" s="485">
        <v>0</v>
      </c>
      <c r="ET50" s="354">
        <v>0</v>
      </c>
      <c r="EU50" s="485">
        <v>0</v>
      </c>
      <c r="EV50" s="485">
        <f>SUM(ER50:EU50)</f>
        <v>0</v>
      </c>
      <c r="EW50" s="485"/>
      <c r="EX50" s="485">
        <f>SUM(EX51:EX55)</f>
        <v>0</v>
      </c>
      <c r="EY50" s="485">
        <f>-201.25-EX50</f>
        <v>-201.25</v>
      </c>
      <c r="EZ50" s="485">
        <f>-201.25-EY50-EX50</f>
        <v>0</v>
      </c>
      <c r="FA50" s="557">
        <f>'Other Accts'!FA41-'Other Accts'!EZ41</f>
        <v>9.4599999999957163E-2</v>
      </c>
      <c r="FB50" s="485">
        <f>SUM(EX50:FA50)</f>
        <v>-201.15540000000004</v>
      </c>
      <c r="FC50" s="485"/>
      <c r="FD50" s="557">
        <f>'Other Accts'!FD41-'Other Accts'!FA41</f>
        <v>0.30889999999999418</v>
      </c>
      <c r="FE50" s="485">
        <f>'Other Accts'!FE41-'Other Accts'!FD41</f>
        <v>0.30890000000005102</v>
      </c>
      <c r="FF50" s="485">
        <f>'Other Accts'!FF41-'Other Accts'!FE41</f>
        <v>0.30889999999999418</v>
      </c>
      <c r="FG50" s="485">
        <f>'Other Accts'!FG41-'Other Accts'!FF41</f>
        <v>0.30889999999999418</v>
      </c>
      <c r="FH50" s="485">
        <f>SUM(FD50:FG50)</f>
        <v>1.2356000000000336</v>
      </c>
      <c r="FI50" s="485"/>
      <c r="FJ50" s="485">
        <f>'Other Accts'!FJ41-'Other Accts'!FG41</f>
        <v>0.30889999999999418</v>
      </c>
      <c r="FK50" s="485">
        <f>'Other Accts'!FK41-'Other Accts'!FJ41</f>
        <v>0.30889999999999418</v>
      </c>
      <c r="FL50" s="485">
        <f>'Other Accts'!FL41-'Other Accts'!FK41</f>
        <v>0.30889999999999418</v>
      </c>
      <c r="FM50" s="485">
        <f>'Other Accts'!FM41-'Other Accts'!FL41</f>
        <v>345.30889999999999</v>
      </c>
      <c r="FN50" s="485">
        <f>SUM(FJ50:FM50)</f>
        <v>346.23559999999998</v>
      </c>
      <c r="FO50" s="485"/>
      <c r="FP50" s="485">
        <f>'Other Accts'!FP41-'Other Accts'!FM41</f>
        <v>0.30889999999999418</v>
      </c>
      <c r="FQ50" s="485">
        <f>'Other Accts'!FQ41-'Other Accts'!FP41</f>
        <v>0.30889999999999418</v>
      </c>
      <c r="FR50" s="485">
        <f>'Other Accts'!FR41-'Other Accts'!FQ41</f>
        <v>0.30889999999999418</v>
      </c>
      <c r="FS50" s="485">
        <f>'Other Accts'!FS41-'Other Accts'!FR41</f>
        <v>-344.96849999999995</v>
      </c>
      <c r="FT50" s="485">
        <f>SUM(FP50:FS50)</f>
        <v>-344.04179999999997</v>
      </c>
      <c r="FU50" s="485"/>
      <c r="FV50" s="485">
        <f>'Other Accts'!FV41-'Other Accts'!FS41</f>
        <v>0</v>
      </c>
      <c r="FW50" s="485">
        <f>'Other Accts'!FW41-'Other Accts'!FV41</f>
        <v>0</v>
      </c>
      <c r="FX50" s="485">
        <f>'Other Accts'!FX41-'Other Accts'!FW41</f>
        <v>0</v>
      </c>
      <c r="FY50" s="485">
        <f>'Other Accts'!FY41-'Other Accts'!FX41</f>
        <v>0</v>
      </c>
      <c r="FZ50" s="485">
        <f>SUM(FV50:FY50)</f>
        <v>0</v>
      </c>
      <c r="GA50" s="485"/>
      <c r="GB50" s="485">
        <f>'Other Accts'!GB41-'Other Accts'!FY41</f>
        <v>0</v>
      </c>
      <c r="GC50" s="485">
        <f>'Other Accts'!GC41-'Other Accts'!GB41</f>
        <v>0</v>
      </c>
      <c r="GD50" s="485">
        <f>'Other Accts'!GD41-'Other Accts'!GC41</f>
        <v>0</v>
      </c>
      <c r="GE50" s="485">
        <f>'Other Accts'!GE41-'Other Accts'!GD41</f>
        <v>0</v>
      </c>
      <c r="GF50" s="485">
        <f>SUM(GB50:GE50)</f>
        <v>0</v>
      </c>
      <c r="GG50" s="485"/>
      <c r="GH50" s="485">
        <f>'Other Accts'!GH41-'Other Accts'!GE41</f>
        <v>0</v>
      </c>
      <c r="GI50" s="485">
        <f>'Other Accts'!GI41-'Other Accts'!GH41</f>
        <v>0</v>
      </c>
      <c r="GJ50" s="485">
        <f>'Other Accts'!GJ41-'Other Accts'!GI41</f>
        <v>0</v>
      </c>
      <c r="GK50" s="485">
        <f>'Other Accts'!GK41-'Other Accts'!GJ41</f>
        <v>-345</v>
      </c>
      <c r="GL50" s="485">
        <f>SUM(GH50:GK50)</f>
        <v>-345</v>
      </c>
      <c r="GM50" s="485"/>
      <c r="GN50" s="485">
        <f>'Other Accts'!GN41-'Other Accts'!GK41</f>
        <v>0</v>
      </c>
      <c r="GO50" s="485">
        <f>'Other Accts'!GO41-'Other Accts'!GN41</f>
        <v>0</v>
      </c>
      <c r="GP50" s="485">
        <f>'Other Accts'!GP41-'Other Accts'!GO41</f>
        <v>0</v>
      </c>
      <c r="GQ50" s="485">
        <f>'Other Accts'!GQ41-'Other Accts'!GP41</f>
        <v>0</v>
      </c>
      <c r="GR50" s="485">
        <f>SUM(GN50:GQ50)</f>
        <v>0</v>
      </c>
      <c r="GS50" s="485"/>
      <c r="GT50" s="485">
        <f>'Other Accts'!GT41-'Other Accts'!GQ41</f>
        <v>0</v>
      </c>
      <c r="GU50" s="485">
        <f>'Other Accts'!GU41-'Other Accts'!GT41</f>
        <v>0</v>
      </c>
      <c r="GV50" s="485">
        <f>'Other Accts'!GV41-'Other Accts'!GU41</f>
        <v>0</v>
      </c>
      <c r="GW50" s="485">
        <f>'Other Accts'!GW41-'Other Accts'!GV41</f>
        <v>0</v>
      </c>
      <c r="GX50" s="485">
        <f>SUM(GT50:GW50)</f>
        <v>0</v>
      </c>
      <c r="GY50" s="485"/>
      <c r="GZ50" s="485">
        <f>'Other Accts'!GZ41-'Other Accts'!GW41</f>
        <v>0</v>
      </c>
      <c r="HA50" s="485">
        <f>'Other Accts'!HA41-'Other Accts'!GZ41</f>
        <v>0</v>
      </c>
      <c r="HB50" s="485">
        <f>'Other Accts'!HB41-'Other Accts'!HA41</f>
        <v>0</v>
      </c>
      <c r="HC50" s="485">
        <f>'Other Accts'!HC41-'Other Accts'!HB41</f>
        <v>0</v>
      </c>
      <c r="HD50" s="485">
        <f>SUM(GZ50:HC50)</f>
        <v>0</v>
      </c>
      <c r="HE50" s="485"/>
      <c r="HF50" s="485">
        <f>'Other Accts'!HF41-'Other Accts'!HC41</f>
        <v>0</v>
      </c>
      <c r="HG50" s="485">
        <f>'Other Accts'!HG41-'Other Accts'!HF41</f>
        <v>0</v>
      </c>
      <c r="HH50" s="485">
        <f>'Other Accts'!HH41-'Other Accts'!HG41</f>
        <v>0</v>
      </c>
      <c r="HI50" s="485">
        <f>'Other Accts'!HI41-'Other Accts'!HH41</f>
        <v>0</v>
      </c>
      <c r="HJ50" s="485">
        <f>SUM(HF50:HI50)</f>
        <v>0</v>
      </c>
      <c r="HK50" s="485"/>
      <c r="HL50" s="485"/>
      <c r="HM50" s="485"/>
      <c r="HN50" s="485"/>
      <c r="HO50" s="485"/>
      <c r="HP50" s="485"/>
      <c r="HQ50" s="485"/>
    </row>
    <row r="51" spans="1:225" outlineLevel="1">
      <c r="A51" s="29"/>
      <c r="B51" s="30" t="s">
        <v>548</v>
      </c>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107"/>
      <c r="BM51" s="30"/>
      <c r="BN51" s="30"/>
      <c r="BO51" s="30"/>
      <c r="BP51" s="30"/>
      <c r="BQ51" s="30"/>
      <c r="BR51" s="30"/>
      <c r="BS51" s="118"/>
      <c r="BT51" s="118"/>
      <c r="BU51" s="30"/>
      <c r="BV51" s="30"/>
      <c r="BW51" s="30"/>
      <c r="BX51" s="118"/>
      <c r="BY51" s="30"/>
      <c r="BZ51" s="30"/>
      <c r="CA51" s="30"/>
      <c r="CB51" s="30"/>
      <c r="CC51" s="30"/>
      <c r="CD51" s="118"/>
      <c r="CE51" s="118"/>
      <c r="CF51" s="30"/>
      <c r="CG51" s="30"/>
      <c r="CH51" s="30"/>
      <c r="CI51" s="30"/>
      <c r="CJ51" s="30"/>
      <c r="CK51" s="118"/>
      <c r="CL51" s="30"/>
      <c r="CM51" s="30"/>
      <c r="CN51" s="30"/>
      <c r="CO51" s="30"/>
      <c r="CP51" s="30"/>
      <c r="CQ51" s="30"/>
      <c r="CR51" s="30"/>
      <c r="CS51" s="30"/>
      <c r="CT51" s="30"/>
      <c r="CU51" s="30"/>
      <c r="CV51" s="30"/>
      <c r="CW51" s="107"/>
      <c r="CX51" s="107"/>
      <c r="CY51" s="30"/>
      <c r="CZ51" s="30"/>
      <c r="DA51" s="30"/>
      <c r="DB51" s="30"/>
      <c r="DC51" s="107"/>
      <c r="DD51" s="107"/>
      <c r="DE51" s="107"/>
      <c r="DF51" s="30"/>
      <c r="DG51" s="30"/>
      <c r="DH51" s="485">
        <f>-6.338</f>
        <v>-6.3380000000000001</v>
      </c>
      <c r="DI51" s="485">
        <f>-7.275--6.338</f>
        <v>-0.93700000000000028</v>
      </c>
      <c r="DJ51" s="485">
        <f>-35.4--7.275</f>
        <v>-28.125</v>
      </c>
      <c r="DK51" s="485">
        <f>-35.4--35.4</f>
        <v>0</v>
      </c>
      <c r="DL51" s="485">
        <f>SUM(DH51:DK51)</f>
        <v>-35.4</v>
      </c>
      <c r="DM51" s="485"/>
      <c r="DN51" s="485">
        <f>0</f>
        <v>0</v>
      </c>
      <c r="DO51" s="485">
        <f>-5-0</f>
        <v>-5</v>
      </c>
      <c r="DP51" s="485">
        <f>-5--5</f>
        <v>0</v>
      </c>
      <c r="DQ51" s="485">
        <f>-5--5</f>
        <v>0</v>
      </c>
      <c r="DR51" s="485">
        <f>SUM(DN51:DQ51)</f>
        <v>-5</v>
      </c>
      <c r="DS51" s="485"/>
      <c r="DT51" s="485"/>
      <c r="DU51" s="485"/>
      <c r="DV51" s="485"/>
      <c r="DW51" s="485"/>
      <c r="DX51" s="485"/>
      <c r="DY51" s="485"/>
      <c r="DZ51" s="485"/>
      <c r="EA51" s="485"/>
      <c r="EB51" s="485"/>
      <c r="EC51" s="485"/>
      <c r="ED51" s="485"/>
      <c r="EE51" s="485"/>
      <c r="EF51" s="485"/>
      <c r="EG51" s="485"/>
      <c r="EH51" s="485"/>
      <c r="EI51" s="485"/>
      <c r="EJ51" s="485"/>
      <c r="EK51" s="485"/>
      <c r="EL51" s="485"/>
      <c r="EM51" s="485"/>
      <c r="EN51" s="485"/>
      <c r="EO51" s="485"/>
      <c r="EP51" s="485"/>
      <c r="EQ51" s="485"/>
      <c r="ER51" s="485"/>
      <c r="ES51" s="485"/>
      <c r="ET51" s="354"/>
      <c r="EU51" s="485"/>
      <c r="EV51" s="485"/>
      <c r="EW51" s="485"/>
      <c r="EX51" s="485"/>
      <c r="EY51" s="485"/>
      <c r="EZ51" s="485"/>
      <c r="FA51" s="557"/>
      <c r="FB51" s="485"/>
      <c r="FC51" s="485"/>
      <c r="FD51" s="557"/>
      <c r="FE51" s="485"/>
      <c r="FF51" s="485"/>
      <c r="FG51" s="485"/>
      <c r="FH51" s="485"/>
      <c r="FI51" s="485"/>
      <c r="FJ51" s="485"/>
      <c r="FK51" s="485"/>
      <c r="FL51" s="485"/>
      <c r="FM51" s="485"/>
      <c r="FN51" s="485"/>
      <c r="FO51" s="485"/>
      <c r="FP51" s="485"/>
      <c r="FQ51" s="485"/>
      <c r="FR51" s="485"/>
      <c r="FS51" s="485"/>
      <c r="FT51" s="485"/>
      <c r="FU51" s="485"/>
      <c r="FV51" s="485"/>
      <c r="FW51" s="485"/>
      <c r="FX51" s="485"/>
      <c r="FY51" s="485"/>
      <c r="FZ51" s="485"/>
      <c r="GA51" s="485"/>
      <c r="GB51" s="485"/>
      <c r="GC51" s="485"/>
      <c r="GD51" s="485"/>
      <c r="GE51" s="485"/>
      <c r="GF51" s="485"/>
      <c r="GG51" s="485"/>
      <c r="GH51" s="485"/>
      <c r="GI51" s="485"/>
      <c r="GJ51" s="485"/>
      <c r="GK51" s="485"/>
      <c r="GL51" s="485"/>
      <c r="GM51" s="485"/>
      <c r="GN51" s="485"/>
      <c r="GO51" s="485"/>
      <c r="GP51" s="485"/>
      <c r="GQ51" s="485"/>
      <c r="GR51" s="485"/>
      <c r="GS51" s="485"/>
      <c r="GT51" s="485"/>
      <c r="GU51" s="485"/>
      <c r="GV51" s="485"/>
      <c r="GW51" s="485"/>
      <c r="GX51" s="485"/>
      <c r="GY51" s="485"/>
      <c r="GZ51" s="485"/>
      <c r="HA51" s="485"/>
      <c r="HB51" s="485"/>
      <c r="HC51" s="485"/>
      <c r="HD51" s="485"/>
      <c r="HE51" s="485"/>
      <c r="HF51" s="485"/>
      <c r="HG51" s="485"/>
      <c r="HH51" s="485"/>
      <c r="HI51" s="485"/>
      <c r="HJ51" s="485"/>
      <c r="HK51" s="485"/>
      <c r="HL51" s="485"/>
      <c r="HM51" s="485"/>
      <c r="HN51" s="485"/>
      <c r="HO51" s="485"/>
      <c r="HP51" s="485"/>
      <c r="HQ51" s="485"/>
    </row>
    <row r="52" spans="1:225" outlineLevel="1">
      <c r="A52" s="30"/>
      <c r="B52" s="30" t="s">
        <v>515</v>
      </c>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107"/>
      <c r="BM52" s="30"/>
      <c r="BN52" s="30"/>
      <c r="BO52" s="30"/>
      <c r="BP52" s="30"/>
      <c r="BQ52" s="30"/>
      <c r="BR52" s="30"/>
      <c r="BS52" s="118"/>
      <c r="BT52" s="118"/>
      <c r="BU52" s="30"/>
      <c r="BV52" s="30"/>
      <c r="BW52" s="30"/>
      <c r="BX52" s="118"/>
      <c r="BY52" s="30"/>
      <c r="BZ52" s="30"/>
      <c r="CA52" s="30"/>
      <c r="CB52" s="30"/>
      <c r="CC52" s="30"/>
      <c r="CD52" s="118"/>
      <c r="CE52" s="118"/>
      <c r="CF52" s="30"/>
      <c r="CG52" s="30"/>
      <c r="CH52" s="30"/>
      <c r="CI52" s="30"/>
      <c r="CJ52" s="30"/>
      <c r="CK52" s="118"/>
      <c r="CL52" s="30"/>
      <c r="CM52" s="30"/>
      <c r="CN52" s="30"/>
      <c r="CO52" s="30"/>
      <c r="CP52" s="30"/>
      <c r="CQ52" s="30"/>
      <c r="CR52" s="30"/>
      <c r="CS52" s="30"/>
      <c r="CT52" s="30"/>
      <c r="CU52" s="30"/>
      <c r="CV52" s="30"/>
      <c r="CW52" s="107"/>
      <c r="CX52" s="107"/>
      <c r="CY52" s="30"/>
      <c r="CZ52" s="30"/>
      <c r="DA52" s="30"/>
      <c r="DB52" s="30"/>
      <c r="DC52" s="107"/>
      <c r="DD52" s="107"/>
      <c r="DE52" s="107"/>
      <c r="DF52" s="30"/>
      <c r="DG52" s="30"/>
      <c r="DH52" s="485">
        <f>0</f>
        <v>0</v>
      </c>
      <c r="DI52" s="485">
        <f>30-0</f>
        <v>30</v>
      </c>
      <c r="DJ52" s="485">
        <f>30-30</f>
        <v>0</v>
      </c>
      <c r="DK52" s="485">
        <f>30-30</f>
        <v>0</v>
      </c>
      <c r="DL52" s="485">
        <f t="shared" ref="DL52:DL61" si="66">SUM(DH52:DK52)</f>
        <v>30</v>
      </c>
      <c r="DM52" s="485"/>
      <c r="DN52" s="485">
        <f>0</f>
        <v>0</v>
      </c>
      <c r="DO52" s="485">
        <f>100-0</f>
        <v>100</v>
      </c>
      <c r="DP52" s="485">
        <f>100-100</f>
        <v>0</v>
      </c>
      <c r="DQ52" s="485">
        <f>100-100</f>
        <v>0</v>
      </c>
      <c r="DR52" s="485">
        <f t="shared" ref="DR52:DR61" si="67">SUM(DN52:DQ52)</f>
        <v>100</v>
      </c>
      <c r="DS52" s="485"/>
      <c r="DT52" s="485">
        <f>0</f>
        <v>0</v>
      </c>
      <c r="DU52" s="485">
        <f>0-0</f>
        <v>0</v>
      </c>
      <c r="DV52" s="485">
        <f>0-0</f>
        <v>0</v>
      </c>
      <c r="DW52" s="485">
        <f>0-0</f>
        <v>0</v>
      </c>
      <c r="DX52" s="485">
        <f t="shared" ref="DX52:DX61" si="68">SUM(DT52:DW52)</f>
        <v>0</v>
      </c>
      <c r="DY52" s="485"/>
      <c r="DZ52" s="485">
        <f>0</f>
        <v>0</v>
      </c>
      <c r="EA52" s="485">
        <f t="shared" ref="EA52:EC54" si="69">0-0</f>
        <v>0</v>
      </c>
      <c r="EB52" s="485">
        <f t="shared" si="69"/>
        <v>0</v>
      </c>
      <c r="EC52" s="485">
        <f t="shared" si="69"/>
        <v>0</v>
      </c>
      <c r="ED52" s="485">
        <f t="shared" ref="ED52:ED60" si="70">SUM(DZ52:EC52)</f>
        <v>0</v>
      </c>
      <c r="EE52" s="485"/>
      <c r="EF52" s="485">
        <f>0</f>
        <v>0</v>
      </c>
      <c r="EG52" s="485">
        <f t="shared" ref="EG52:EI56" si="71">0-0</f>
        <v>0</v>
      </c>
      <c r="EH52" s="485">
        <f t="shared" si="71"/>
        <v>0</v>
      </c>
      <c r="EI52" s="485">
        <f t="shared" si="71"/>
        <v>0</v>
      </c>
      <c r="EJ52" s="485">
        <f t="shared" ref="EJ52:EJ61" si="72">SUM(EF52:EI52)</f>
        <v>0</v>
      </c>
      <c r="EK52" s="485"/>
      <c r="EL52" s="485">
        <f>0</f>
        <v>0</v>
      </c>
      <c r="EM52" s="485">
        <f t="shared" ref="EM52:EO56" si="73">0-0</f>
        <v>0</v>
      </c>
      <c r="EN52" s="485">
        <f t="shared" si="73"/>
        <v>0</v>
      </c>
      <c r="EO52" s="485">
        <f t="shared" si="73"/>
        <v>0</v>
      </c>
      <c r="EP52" s="485">
        <f t="shared" ref="EP52:EP61" si="74">SUM(EL52:EO52)</f>
        <v>0</v>
      </c>
      <c r="EQ52" s="485"/>
      <c r="ER52" s="485">
        <v>0</v>
      </c>
      <c r="ES52" s="485">
        <v>0</v>
      </c>
      <c r="ET52" s="354">
        <v>0</v>
      </c>
      <c r="EU52" s="485">
        <v>0</v>
      </c>
      <c r="EV52" s="485">
        <f>SUM(ER52:EU52)</f>
        <v>0</v>
      </c>
      <c r="EW52" s="485"/>
      <c r="EX52" s="485">
        <v>0</v>
      </c>
      <c r="EY52" s="485">
        <v>0</v>
      </c>
      <c r="EZ52" s="485">
        <v>0</v>
      </c>
      <c r="FA52" s="557">
        <v>0</v>
      </c>
      <c r="FB52" s="485">
        <f t="shared" ref="FB52:FB61" si="75">SUM(EX52:FA52)</f>
        <v>0</v>
      </c>
      <c r="FC52" s="485"/>
      <c r="FD52" s="557">
        <v>0</v>
      </c>
      <c r="FE52" s="485">
        <v>0</v>
      </c>
      <c r="FF52" s="485">
        <v>0</v>
      </c>
      <c r="FG52" s="485">
        <v>0</v>
      </c>
      <c r="FH52" s="485">
        <f>SUM(FD52:FG52)</f>
        <v>0</v>
      </c>
      <c r="FI52" s="485"/>
      <c r="FJ52" s="485">
        <v>0</v>
      </c>
      <c r="FK52" s="485">
        <v>0</v>
      </c>
      <c r="FL52" s="485">
        <v>0</v>
      </c>
      <c r="FM52" s="485">
        <v>0</v>
      </c>
      <c r="FN52" s="485">
        <f>SUM(FJ52:FM52)</f>
        <v>0</v>
      </c>
      <c r="FO52" s="485"/>
      <c r="FP52" s="485">
        <v>0</v>
      </c>
      <c r="FQ52" s="485">
        <v>0</v>
      </c>
      <c r="FR52" s="485">
        <v>0</v>
      </c>
      <c r="FS52" s="485">
        <v>0</v>
      </c>
      <c r="FT52" s="485">
        <f>SUM(FP52:FS52)</f>
        <v>0</v>
      </c>
      <c r="FU52" s="485"/>
      <c r="FV52" s="485">
        <v>0</v>
      </c>
      <c r="FW52" s="485">
        <v>0</v>
      </c>
      <c r="FX52" s="485">
        <v>0</v>
      </c>
      <c r="FY52" s="485">
        <v>0</v>
      </c>
      <c r="FZ52" s="485">
        <f>SUM(FV52:FY52)</f>
        <v>0</v>
      </c>
      <c r="GA52" s="485"/>
      <c r="GB52" s="485">
        <v>0</v>
      </c>
      <c r="GC52" s="485">
        <v>0</v>
      </c>
      <c r="GD52" s="485">
        <v>0</v>
      </c>
      <c r="GE52" s="485">
        <v>0</v>
      </c>
      <c r="GF52" s="485">
        <f>SUM(GB52:GE52)</f>
        <v>0</v>
      </c>
      <c r="GG52" s="485"/>
      <c r="GH52" s="485">
        <v>0</v>
      </c>
      <c r="GI52" s="485">
        <v>0</v>
      </c>
      <c r="GJ52" s="485">
        <v>0</v>
      </c>
      <c r="GK52" s="485">
        <v>0</v>
      </c>
      <c r="GL52" s="485">
        <f>SUM(GH52:GK52)</f>
        <v>0</v>
      </c>
      <c r="GM52" s="485"/>
      <c r="GN52" s="485">
        <v>0</v>
      </c>
      <c r="GO52" s="485">
        <v>0</v>
      </c>
      <c r="GP52" s="485">
        <v>0</v>
      </c>
      <c r="GQ52" s="485">
        <v>0</v>
      </c>
      <c r="GR52" s="485">
        <f>SUM(GN52:GQ52)</f>
        <v>0</v>
      </c>
      <c r="GS52" s="485"/>
      <c r="GT52" s="485">
        <v>0</v>
      </c>
      <c r="GU52" s="485">
        <v>0</v>
      </c>
      <c r="GV52" s="485">
        <v>0</v>
      </c>
      <c r="GW52" s="485">
        <v>0</v>
      </c>
      <c r="GX52" s="485">
        <f>SUM(GT52:GW52)</f>
        <v>0</v>
      </c>
      <c r="GY52" s="485"/>
      <c r="GZ52" s="485">
        <v>0</v>
      </c>
      <c r="HA52" s="485">
        <v>0</v>
      </c>
      <c r="HB52" s="485">
        <v>0</v>
      </c>
      <c r="HC52" s="485">
        <v>0</v>
      </c>
      <c r="HD52" s="485">
        <f>SUM(GZ52:HC52)</f>
        <v>0</v>
      </c>
      <c r="HE52" s="485"/>
      <c r="HF52" s="485">
        <v>0</v>
      </c>
      <c r="HG52" s="485">
        <v>0</v>
      </c>
      <c r="HH52" s="485">
        <v>0</v>
      </c>
      <c r="HI52" s="485">
        <v>0</v>
      </c>
      <c r="HJ52" s="485">
        <f>SUM(HF52:HI52)</f>
        <v>0</v>
      </c>
      <c r="HK52" s="485"/>
      <c r="HL52" s="485"/>
      <c r="HM52" s="485"/>
      <c r="HN52" s="485"/>
      <c r="HO52" s="485"/>
      <c r="HP52" s="485"/>
      <c r="HQ52" s="485"/>
    </row>
    <row r="53" spans="1:225" outlineLevel="1">
      <c r="A53" s="30"/>
      <c r="B53" s="30" t="s">
        <v>516</v>
      </c>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107"/>
      <c r="BM53" s="30"/>
      <c r="BN53" s="30"/>
      <c r="BO53" s="30"/>
      <c r="BP53" s="30"/>
      <c r="BQ53" s="30"/>
      <c r="BR53" s="30"/>
      <c r="BS53" s="118"/>
      <c r="BT53" s="118"/>
      <c r="BU53" s="30"/>
      <c r="BV53" s="30"/>
      <c r="BW53" s="30"/>
      <c r="BX53" s="118"/>
      <c r="BY53" s="30"/>
      <c r="BZ53" s="30"/>
      <c r="CA53" s="30"/>
      <c r="CB53" s="30"/>
      <c r="CC53" s="30"/>
      <c r="CD53" s="118"/>
      <c r="CE53" s="118"/>
      <c r="CF53" s="30"/>
      <c r="CG53" s="30"/>
      <c r="CH53" s="30"/>
      <c r="CI53" s="30"/>
      <c r="CJ53" s="30"/>
      <c r="CK53" s="118"/>
      <c r="CL53" s="30"/>
      <c r="CM53" s="30"/>
      <c r="CN53" s="30"/>
      <c r="CO53" s="30"/>
      <c r="CP53" s="30"/>
      <c r="CQ53" s="30"/>
      <c r="CR53" s="30"/>
      <c r="CS53" s="30"/>
      <c r="CT53" s="30"/>
      <c r="CU53" s="30"/>
      <c r="CV53" s="30"/>
      <c r="CW53" s="107"/>
      <c r="CX53" s="107"/>
      <c r="CY53" s="30"/>
      <c r="CZ53" s="30"/>
      <c r="DA53" s="30"/>
      <c r="DB53" s="30"/>
      <c r="DC53" s="107"/>
      <c r="DD53" s="107"/>
      <c r="DE53" s="107"/>
      <c r="DF53" s="30"/>
      <c r="DG53" s="30"/>
      <c r="DH53" s="485">
        <f>0</f>
        <v>0</v>
      </c>
      <c r="DI53" s="485">
        <f>0-0</f>
        <v>0</v>
      </c>
      <c r="DJ53" s="485">
        <f>-3.187-0</f>
        <v>-3.1869999999999998</v>
      </c>
      <c r="DK53" s="485">
        <f>-4.5--3.187</f>
        <v>-1.3130000000000002</v>
      </c>
      <c r="DL53" s="485">
        <f t="shared" si="66"/>
        <v>-4.5</v>
      </c>
      <c r="DM53" s="485"/>
      <c r="DN53" s="485">
        <f>-1.968</f>
        <v>-1.968</v>
      </c>
      <c r="DO53" s="485">
        <f>-96.75--1.968</f>
        <v>-94.781999999999996</v>
      </c>
      <c r="DP53" s="485">
        <f>-96.75--96.75</f>
        <v>0</v>
      </c>
      <c r="DQ53" s="485">
        <f>-99.25--96.75</f>
        <v>-2.5</v>
      </c>
      <c r="DR53" s="485">
        <f t="shared" si="67"/>
        <v>-99.25</v>
      </c>
      <c r="DS53" s="485"/>
      <c r="DT53" s="485">
        <f>-1.25</f>
        <v>-1.25</v>
      </c>
      <c r="DU53" s="485">
        <f>-97.54--1.25</f>
        <v>-96.29</v>
      </c>
      <c r="DV53" s="485">
        <f>-97.54--97.54</f>
        <v>0</v>
      </c>
      <c r="DW53" s="485">
        <f>-97.54--97.54</f>
        <v>0</v>
      </c>
      <c r="DX53" s="485">
        <f t="shared" si="68"/>
        <v>-97.54</v>
      </c>
      <c r="DY53" s="485"/>
      <c r="DZ53" s="485">
        <f>0</f>
        <v>0</v>
      </c>
      <c r="EA53" s="485">
        <f t="shared" si="69"/>
        <v>0</v>
      </c>
      <c r="EB53" s="485">
        <f t="shared" si="69"/>
        <v>0</v>
      </c>
      <c r="EC53" s="485">
        <f t="shared" si="69"/>
        <v>0</v>
      </c>
      <c r="ED53" s="485">
        <f t="shared" si="70"/>
        <v>0</v>
      </c>
      <c r="EE53" s="485"/>
      <c r="EF53" s="485">
        <f>0</f>
        <v>0</v>
      </c>
      <c r="EG53" s="485">
        <f t="shared" si="71"/>
        <v>0</v>
      </c>
      <c r="EH53" s="485">
        <f t="shared" si="71"/>
        <v>0</v>
      </c>
      <c r="EI53" s="485">
        <f t="shared" si="71"/>
        <v>0</v>
      </c>
      <c r="EJ53" s="485">
        <f t="shared" si="72"/>
        <v>0</v>
      </c>
      <c r="EK53" s="485"/>
      <c r="EL53" s="485">
        <f>0</f>
        <v>0</v>
      </c>
      <c r="EM53" s="485">
        <f t="shared" si="73"/>
        <v>0</v>
      </c>
      <c r="EN53" s="485">
        <f t="shared" si="73"/>
        <v>0</v>
      </c>
      <c r="EO53" s="485">
        <f t="shared" si="73"/>
        <v>0</v>
      </c>
      <c r="EP53" s="485">
        <f t="shared" si="74"/>
        <v>0</v>
      </c>
      <c r="EQ53" s="485"/>
      <c r="ER53" s="485">
        <v>0</v>
      </c>
      <c r="ES53" s="485">
        <v>0</v>
      </c>
      <c r="ET53" s="354">
        <v>0</v>
      </c>
      <c r="EU53" s="485">
        <v>0</v>
      </c>
      <c r="EV53" s="485">
        <f>SUM(ER53:EU53)</f>
        <v>0</v>
      </c>
      <c r="EW53" s="485"/>
      <c r="EX53" s="485">
        <v>0</v>
      </c>
      <c r="EY53" s="485">
        <v>0</v>
      </c>
      <c r="EZ53" s="485">
        <v>0</v>
      </c>
      <c r="FA53" s="557">
        <v>0</v>
      </c>
      <c r="FB53" s="485">
        <f t="shared" si="75"/>
        <v>0</v>
      </c>
      <c r="FC53" s="485"/>
      <c r="FD53" s="557">
        <v>0</v>
      </c>
      <c r="FE53" s="485">
        <v>0</v>
      </c>
      <c r="FF53" s="485">
        <v>0</v>
      </c>
      <c r="FG53" s="485">
        <v>0</v>
      </c>
      <c r="FH53" s="485">
        <f>SUM(FD53:FG53)</f>
        <v>0</v>
      </c>
      <c r="FI53" s="485"/>
      <c r="FJ53" s="485">
        <v>0</v>
      </c>
      <c r="FK53" s="485">
        <v>0</v>
      </c>
      <c r="FL53" s="485">
        <v>0</v>
      </c>
      <c r="FM53" s="485">
        <v>0</v>
      </c>
      <c r="FN53" s="485">
        <f>SUM(FJ53:FM53)</f>
        <v>0</v>
      </c>
      <c r="FO53" s="485"/>
      <c r="FP53" s="485">
        <v>0</v>
      </c>
      <c r="FQ53" s="485">
        <v>0</v>
      </c>
      <c r="FR53" s="485">
        <v>0</v>
      </c>
      <c r="FS53" s="485">
        <v>0</v>
      </c>
      <c r="FT53" s="485">
        <f>SUM(FP53:FS53)</f>
        <v>0</v>
      </c>
      <c r="FU53" s="485"/>
      <c r="FV53" s="485">
        <v>0</v>
      </c>
      <c r="FW53" s="485">
        <v>0</v>
      </c>
      <c r="FX53" s="485">
        <v>0</v>
      </c>
      <c r="FY53" s="485">
        <v>0</v>
      </c>
      <c r="FZ53" s="485">
        <f>SUM(FV53:FY53)</f>
        <v>0</v>
      </c>
      <c r="GA53" s="485"/>
      <c r="GB53" s="485">
        <v>0</v>
      </c>
      <c r="GC53" s="485">
        <v>0</v>
      </c>
      <c r="GD53" s="485">
        <v>0</v>
      </c>
      <c r="GE53" s="485">
        <v>0</v>
      </c>
      <c r="GF53" s="485">
        <f>SUM(GB53:GE53)</f>
        <v>0</v>
      </c>
      <c r="GG53" s="485"/>
      <c r="GH53" s="485">
        <v>0</v>
      </c>
      <c r="GI53" s="485">
        <v>0</v>
      </c>
      <c r="GJ53" s="485">
        <v>0</v>
      </c>
      <c r="GK53" s="485">
        <v>0</v>
      </c>
      <c r="GL53" s="485">
        <f>SUM(GH53:GK53)</f>
        <v>0</v>
      </c>
      <c r="GM53" s="485"/>
      <c r="GN53" s="485">
        <v>0</v>
      </c>
      <c r="GO53" s="485">
        <v>0</v>
      </c>
      <c r="GP53" s="485">
        <v>0</v>
      </c>
      <c r="GQ53" s="485">
        <v>0</v>
      </c>
      <c r="GR53" s="485">
        <f>SUM(GN53:GQ53)</f>
        <v>0</v>
      </c>
      <c r="GS53" s="485"/>
      <c r="GT53" s="485">
        <v>0</v>
      </c>
      <c r="GU53" s="485">
        <v>0</v>
      </c>
      <c r="GV53" s="485">
        <v>0</v>
      </c>
      <c r="GW53" s="485">
        <v>0</v>
      </c>
      <c r="GX53" s="485">
        <f>SUM(GT53:GW53)</f>
        <v>0</v>
      </c>
      <c r="GY53" s="485"/>
      <c r="GZ53" s="485">
        <v>0</v>
      </c>
      <c r="HA53" s="485">
        <v>0</v>
      </c>
      <c r="HB53" s="485">
        <v>0</v>
      </c>
      <c r="HC53" s="485">
        <v>0</v>
      </c>
      <c r="HD53" s="485">
        <f>SUM(GZ53:HC53)</f>
        <v>0</v>
      </c>
      <c r="HE53" s="485"/>
      <c r="HF53" s="485">
        <v>0</v>
      </c>
      <c r="HG53" s="485">
        <v>0</v>
      </c>
      <c r="HH53" s="485">
        <v>0</v>
      </c>
      <c r="HI53" s="485">
        <v>0</v>
      </c>
      <c r="HJ53" s="485">
        <f>SUM(HF53:HI53)</f>
        <v>0</v>
      </c>
      <c r="HK53" s="485"/>
      <c r="HL53" s="485"/>
      <c r="HM53" s="485"/>
      <c r="HN53" s="485"/>
      <c r="HO53" s="485"/>
      <c r="HP53" s="485"/>
      <c r="HQ53" s="485"/>
    </row>
    <row r="54" spans="1:225" outlineLevel="1">
      <c r="A54" s="30"/>
      <c r="B54" s="30" t="s">
        <v>517</v>
      </c>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107"/>
      <c r="BM54" s="30"/>
      <c r="BN54" s="30"/>
      <c r="BO54" s="30"/>
      <c r="BP54" s="30"/>
      <c r="BQ54" s="30"/>
      <c r="BR54" s="30"/>
      <c r="BS54" s="118"/>
      <c r="BT54" s="118"/>
      <c r="BU54" s="30"/>
      <c r="BV54" s="30"/>
      <c r="BW54" s="30"/>
      <c r="BX54" s="118"/>
      <c r="BY54" s="30"/>
      <c r="BZ54" s="30"/>
      <c r="CA54" s="30"/>
      <c r="CB54" s="30"/>
      <c r="CC54" s="30"/>
      <c r="CD54" s="118"/>
      <c r="CE54" s="118"/>
      <c r="CF54" s="30"/>
      <c r="CG54" s="30"/>
      <c r="CH54" s="30"/>
      <c r="CI54" s="30"/>
      <c r="CJ54" s="30"/>
      <c r="CK54" s="118"/>
      <c r="CL54" s="30"/>
      <c r="CM54" s="30"/>
      <c r="CN54" s="30"/>
      <c r="CO54" s="30"/>
      <c r="CP54" s="30"/>
      <c r="CQ54" s="30"/>
      <c r="CR54" s="30"/>
      <c r="CS54" s="30"/>
      <c r="CT54" s="30"/>
      <c r="CU54" s="30"/>
      <c r="CV54" s="30"/>
      <c r="CW54" s="107"/>
      <c r="CX54" s="107"/>
      <c r="CY54" s="30"/>
      <c r="CZ54" s="30"/>
      <c r="DA54" s="30"/>
      <c r="DB54" s="30"/>
      <c r="DC54" s="107"/>
      <c r="DD54" s="107"/>
      <c r="DE54" s="107"/>
      <c r="DF54" s="30"/>
      <c r="DG54" s="30"/>
      <c r="DH54" s="485">
        <f>0</f>
        <v>0</v>
      </c>
      <c r="DI54" s="485">
        <f>10-0</f>
        <v>10</v>
      </c>
      <c r="DJ54" s="485">
        <f>10-10</f>
        <v>0</v>
      </c>
      <c r="DK54" s="485">
        <f>15-10</f>
        <v>5</v>
      </c>
      <c r="DL54" s="485">
        <f t="shared" si="66"/>
        <v>15</v>
      </c>
      <c r="DM54" s="485"/>
      <c r="DN54" s="485">
        <f>0</f>
        <v>0</v>
      </c>
      <c r="DO54" s="485">
        <f>0-0</f>
        <v>0</v>
      </c>
      <c r="DP54" s="485">
        <f>0-0</f>
        <v>0</v>
      </c>
      <c r="DQ54" s="485">
        <f>0-0</f>
        <v>0</v>
      </c>
      <c r="DR54" s="485">
        <f t="shared" si="67"/>
        <v>0</v>
      </c>
      <c r="DS54" s="485"/>
      <c r="DT54" s="485">
        <f>0</f>
        <v>0</v>
      </c>
      <c r="DU54" s="485">
        <f>0-0</f>
        <v>0</v>
      </c>
      <c r="DV54" s="485">
        <f>0-0</f>
        <v>0</v>
      </c>
      <c r="DW54" s="485">
        <f>0-0</f>
        <v>0</v>
      </c>
      <c r="DX54" s="485">
        <f t="shared" si="68"/>
        <v>0</v>
      </c>
      <c r="DY54" s="485"/>
      <c r="DZ54" s="485">
        <f>0</f>
        <v>0</v>
      </c>
      <c r="EA54" s="485">
        <f t="shared" si="69"/>
        <v>0</v>
      </c>
      <c r="EB54" s="485">
        <f t="shared" si="69"/>
        <v>0</v>
      </c>
      <c r="EC54" s="485">
        <f t="shared" si="69"/>
        <v>0</v>
      </c>
      <c r="ED54" s="485">
        <f t="shared" si="70"/>
        <v>0</v>
      </c>
      <c r="EE54" s="485"/>
      <c r="EF54" s="485">
        <f>0</f>
        <v>0</v>
      </c>
      <c r="EG54" s="485">
        <f t="shared" si="71"/>
        <v>0</v>
      </c>
      <c r="EH54" s="485">
        <f t="shared" si="71"/>
        <v>0</v>
      </c>
      <c r="EI54" s="485">
        <f t="shared" si="71"/>
        <v>0</v>
      </c>
      <c r="EJ54" s="485">
        <f t="shared" si="72"/>
        <v>0</v>
      </c>
      <c r="EK54" s="485"/>
      <c r="EL54" s="485">
        <f>0</f>
        <v>0</v>
      </c>
      <c r="EM54" s="485">
        <f t="shared" si="73"/>
        <v>0</v>
      </c>
      <c r="EN54" s="485">
        <f t="shared" si="73"/>
        <v>0</v>
      </c>
      <c r="EO54" s="485">
        <f t="shared" si="73"/>
        <v>0</v>
      </c>
      <c r="EP54" s="485">
        <f t="shared" si="74"/>
        <v>0</v>
      </c>
      <c r="EQ54" s="485"/>
      <c r="ER54" s="485">
        <v>0</v>
      </c>
      <c r="ES54" s="485">
        <v>0</v>
      </c>
      <c r="ET54" s="354">
        <v>0</v>
      </c>
      <c r="EU54" s="485">
        <v>0</v>
      </c>
      <c r="EV54" s="485">
        <f>SUM(ER54:EU54)</f>
        <v>0</v>
      </c>
      <c r="EW54" s="485"/>
      <c r="EX54" s="485">
        <v>0</v>
      </c>
      <c r="EY54" s="485">
        <v>0</v>
      </c>
      <c r="EZ54" s="485">
        <v>0</v>
      </c>
      <c r="FA54" s="557">
        <v>0</v>
      </c>
      <c r="FB54" s="485">
        <f t="shared" si="75"/>
        <v>0</v>
      </c>
      <c r="FC54" s="485"/>
      <c r="FD54" s="557">
        <v>0</v>
      </c>
      <c r="FE54" s="485">
        <v>0</v>
      </c>
      <c r="FF54" s="485">
        <v>0</v>
      </c>
      <c r="FG54" s="485">
        <v>0</v>
      </c>
      <c r="FH54" s="485">
        <f>SUM(FD54:FG54)</f>
        <v>0</v>
      </c>
      <c r="FI54" s="485"/>
      <c r="FJ54" s="485">
        <v>0</v>
      </c>
      <c r="FK54" s="485">
        <v>0</v>
      </c>
      <c r="FL54" s="485">
        <v>0</v>
      </c>
      <c r="FM54" s="485">
        <v>0</v>
      </c>
      <c r="FN54" s="485">
        <f>SUM(FJ54:FM54)</f>
        <v>0</v>
      </c>
      <c r="FO54" s="485"/>
      <c r="FP54" s="485">
        <v>0</v>
      </c>
      <c r="FQ54" s="485">
        <v>0</v>
      </c>
      <c r="FR54" s="485">
        <v>0</v>
      </c>
      <c r="FS54" s="485">
        <v>0</v>
      </c>
      <c r="FT54" s="485">
        <f>SUM(FP54:FS54)</f>
        <v>0</v>
      </c>
      <c r="FU54" s="485"/>
      <c r="FV54" s="485">
        <v>0</v>
      </c>
      <c r="FW54" s="485">
        <v>0</v>
      </c>
      <c r="FX54" s="485">
        <v>0</v>
      </c>
      <c r="FY54" s="485">
        <v>0</v>
      </c>
      <c r="FZ54" s="485">
        <f>SUM(FV54:FY54)</f>
        <v>0</v>
      </c>
      <c r="GA54" s="485"/>
      <c r="GB54" s="485">
        <v>0</v>
      </c>
      <c r="GC54" s="485">
        <v>0</v>
      </c>
      <c r="GD54" s="485">
        <v>0</v>
      </c>
      <c r="GE54" s="485">
        <v>0</v>
      </c>
      <c r="GF54" s="485">
        <f>SUM(GB54:GE54)</f>
        <v>0</v>
      </c>
      <c r="GG54" s="485"/>
      <c r="GH54" s="485">
        <v>0</v>
      </c>
      <c r="GI54" s="485">
        <v>0</v>
      </c>
      <c r="GJ54" s="485">
        <v>0</v>
      </c>
      <c r="GK54" s="485">
        <v>0</v>
      </c>
      <c r="GL54" s="485">
        <f>SUM(GH54:GK54)</f>
        <v>0</v>
      </c>
      <c r="GM54" s="485"/>
      <c r="GN54" s="485">
        <v>0</v>
      </c>
      <c r="GO54" s="485">
        <v>0</v>
      </c>
      <c r="GP54" s="485">
        <v>0</v>
      </c>
      <c r="GQ54" s="485">
        <v>0</v>
      </c>
      <c r="GR54" s="485">
        <f>SUM(GN54:GQ54)</f>
        <v>0</v>
      </c>
      <c r="GS54" s="485"/>
      <c r="GT54" s="485">
        <v>0</v>
      </c>
      <c r="GU54" s="485">
        <v>0</v>
      </c>
      <c r="GV54" s="485">
        <v>0</v>
      </c>
      <c r="GW54" s="485">
        <v>0</v>
      </c>
      <c r="GX54" s="485">
        <f>SUM(GT54:GW54)</f>
        <v>0</v>
      </c>
      <c r="GY54" s="485"/>
      <c r="GZ54" s="485">
        <v>0</v>
      </c>
      <c r="HA54" s="485">
        <v>0</v>
      </c>
      <c r="HB54" s="485">
        <v>0</v>
      </c>
      <c r="HC54" s="485">
        <v>0</v>
      </c>
      <c r="HD54" s="485">
        <f>SUM(GZ54:HC54)</f>
        <v>0</v>
      </c>
      <c r="HE54" s="485"/>
      <c r="HF54" s="485">
        <v>0</v>
      </c>
      <c r="HG54" s="485">
        <v>0</v>
      </c>
      <c r="HH54" s="485">
        <v>0</v>
      </c>
      <c r="HI54" s="485">
        <v>0</v>
      </c>
      <c r="HJ54" s="485">
        <f>SUM(HF54:HI54)</f>
        <v>0</v>
      </c>
      <c r="HK54" s="485"/>
      <c r="HL54" s="485"/>
      <c r="HM54" s="485"/>
      <c r="HN54" s="485"/>
      <c r="HO54" s="485"/>
      <c r="HP54" s="485"/>
      <c r="HQ54" s="485"/>
    </row>
    <row r="55" spans="1:225" outlineLevel="1">
      <c r="A55" s="30"/>
      <c r="B55" s="30" t="s">
        <v>522</v>
      </c>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118"/>
      <c r="BT55" s="118"/>
      <c r="BU55" s="30"/>
      <c r="BV55" s="30"/>
      <c r="BW55" s="30"/>
      <c r="BX55" s="118"/>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485">
        <f>0</f>
        <v>0</v>
      </c>
      <c r="DI55" s="485">
        <f>0-0</f>
        <v>0</v>
      </c>
      <c r="DJ55" s="485">
        <f>0-0</f>
        <v>0</v>
      </c>
      <c r="DK55" s="485">
        <f>0-0</f>
        <v>0</v>
      </c>
      <c r="DL55" s="485">
        <f t="shared" si="66"/>
        <v>0</v>
      </c>
      <c r="DM55" s="485"/>
      <c r="DN55" s="485">
        <f>0</f>
        <v>0</v>
      </c>
      <c r="DO55" s="485">
        <f t="shared" ref="DO55:DQ56" si="76">0-0</f>
        <v>0</v>
      </c>
      <c r="DP55" s="485">
        <f t="shared" si="76"/>
        <v>0</v>
      </c>
      <c r="DQ55" s="485">
        <f t="shared" si="76"/>
        <v>0</v>
      </c>
      <c r="DR55" s="485">
        <f t="shared" si="67"/>
        <v>0</v>
      </c>
      <c r="DS55" s="485"/>
      <c r="DT55" s="485">
        <f>0</f>
        <v>0</v>
      </c>
      <c r="DU55" s="485">
        <f>194.376-0</f>
        <v>194.376</v>
      </c>
      <c r="DV55" s="485">
        <f>194.466-194.376</f>
        <v>9.0000000000003411E-2</v>
      </c>
      <c r="DW55" s="485">
        <f>194.466-194.466</f>
        <v>0</v>
      </c>
      <c r="DX55" s="485">
        <f t="shared" si="68"/>
        <v>194.46600000000001</v>
      </c>
      <c r="DY55" s="485"/>
      <c r="DZ55" s="485">
        <f>334.41</f>
        <v>334.41</v>
      </c>
      <c r="EA55" s="485">
        <f>334.41-334.41</f>
        <v>0</v>
      </c>
      <c r="EB55" s="485">
        <f>334.41-334.41</f>
        <v>0</v>
      </c>
      <c r="EC55" s="485">
        <f>334.41-334.41</f>
        <v>0</v>
      </c>
      <c r="ED55" s="485">
        <f t="shared" si="70"/>
        <v>334.41</v>
      </c>
      <c r="EE55" s="485"/>
      <c r="EF55" s="485">
        <f>0</f>
        <v>0</v>
      </c>
      <c r="EG55" s="485">
        <f t="shared" si="71"/>
        <v>0</v>
      </c>
      <c r="EH55" s="485">
        <f t="shared" si="71"/>
        <v>0</v>
      </c>
      <c r="EI55" s="485">
        <f t="shared" si="71"/>
        <v>0</v>
      </c>
      <c r="EJ55" s="485">
        <f t="shared" si="72"/>
        <v>0</v>
      </c>
      <c r="EK55" s="485"/>
      <c r="EL55" s="485">
        <f>0</f>
        <v>0</v>
      </c>
      <c r="EM55" s="485">
        <f t="shared" si="73"/>
        <v>0</v>
      </c>
      <c r="EN55" s="485">
        <f t="shared" si="73"/>
        <v>0</v>
      </c>
      <c r="EO55" s="485">
        <f t="shared" si="73"/>
        <v>0</v>
      </c>
      <c r="EP55" s="485">
        <f t="shared" si="74"/>
        <v>0</v>
      </c>
      <c r="EQ55" s="485"/>
      <c r="ER55" s="485">
        <v>0</v>
      </c>
      <c r="ES55" s="485">
        <v>0</v>
      </c>
      <c r="ET55" s="354">
        <v>0</v>
      </c>
      <c r="EU55" s="485"/>
      <c r="EV55" s="485">
        <f t="shared" ref="EV55:EV60" si="77">SUM(ER55:EU55)</f>
        <v>0</v>
      </c>
      <c r="EW55" s="485"/>
      <c r="EX55" s="485">
        <v>0</v>
      </c>
      <c r="EY55" s="485"/>
      <c r="EZ55" s="485"/>
      <c r="FA55" s="557"/>
      <c r="FB55" s="485">
        <f t="shared" si="75"/>
        <v>0</v>
      </c>
      <c r="FC55" s="485"/>
      <c r="FD55" s="557"/>
      <c r="FE55" s="485"/>
      <c r="FF55" s="485"/>
      <c r="FG55" s="485"/>
      <c r="FH55" s="485">
        <f t="shared" ref="FH55:FH60" si="78">SUM(FD55:FG55)</f>
        <v>0</v>
      </c>
      <c r="FI55" s="485"/>
      <c r="FJ55" s="485"/>
      <c r="FK55" s="485"/>
      <c r="FL55" s="485"/>
      <c r="FM55" s="485"/>
      <c r="FN55" s="485">
        <f t="shared" ref="FN55:FN60" si="79">SUM(FJ55:FM55)</f>
        <v>0</v>
      </c>
      <c r="FO55" s="485"/>
      <c r="FP55" s="485"/>
      <c r="FQ55" s="485"/>
      <c r="FR55" s="485"/>
      <c r="FS55" s="485"/>
      <c r="FT55" s="485">
        <f t="shared" ref="FT55:FT60" si="80">SUM(FP55:FS55)</f>
        <v>0</v>
      </c>
      <c r="FU55" s="485"/>
      <c r="FV55" s="485"/>
      <c r="FW55" s="485"/>
      <c r="FX55" s="485"/>
      <c r="FY55" s="485"/>
      <c r="FZ55" s="485">
        <f t="shared" ref="FZ55:FZ60" si="81">SUM(FV55:FY55)</f>
        <v>0</v>
      </c>
      <c r="GA55" s="485"/>
      <c r="GB55" s="485"/>
      <c r="GC55" s="485"/>
      <c r="GD55" s="485"/>
      <c r="GE55" s="485"/>
      <c r="GF55" s="485">
        <f t="shared" ref="GF55:GF60" si="82">SUM(GB55:GE55)</f>
        <v>0</v>
      </c>
      <c r="GG55" s="485"/>
      <c r="GH55" s="485"/>
      <c r="GI55" s="485"/>
      <c r="GJ55" s="485"/>
      <c r="GK55" s="485"/>
      <c r="GL55" s="485">
        <f t="shared" ref="GL55:GL60" si="83">SUM(GH55:GK55)</f>
        <v>0</v>
      </c>
      <c r="GM55" s="485"/>
      <c r="GN55" s="485"/>
      <c r="GO55" s="485"/>
      <c r="GP55" s="485"/>
      <c r="GQ55" s="485"/>
      <c r="GR55" s="485">
        <f t="shared" ref="GR55:GR60" si="84">SUM(GN55:GQ55)</f>
        <v>0</v>
      </c>
      <c r="GS55" s="485"/>
      <c r="GT55" s="485"/>
      <c r="GU55" s="485"/>
      <c r="GV55" s="485"/>
      <c r="GW55" s="485"/>
      <c r="GX55" s="485">
        <f t="shared" ref="GX55:GX60" si="85">SUM(GT55:GW55)</f>
        <v>0</v>
      </c>
      <c r="GY55" s="485"/>
      <c r="GZ55" s="485"/>
      <c r="HA55" s="485"/>
      <c r="HB55" s="485"/>
      <c r="HC55" s="485"/>
      <c r="HD55" s="485">
        <f t="shared" ref="HD55:HD60" si="86">SUM(GZ55:HC55)</f>
        <v>0</v>
      </c>
      <c r="HE55" s="485"/>
      <c r="HF55" s="485"/>
      <c r="HG55" s="485"/>
      <c r="HH55" s="485"/>
      <c r="HI55" s="485"/>
      <c r="HJ55" s="485">
        <f t="shared" ref="HJ55:HJ60" si="87">SUM(HF55:HI55)</f>
        <v>0</v>
      </c>
      <c r="HK55" s="485"/>
      <c r="HL55" s="485"/>
      <c r="HM55" s="485"/>
      <c r="HN55" s="485"/>
      <c r="HO55" s="485"/>
      <c r="HP55" s="485"/>
      <c r="HQ55" s="485"/>
    </row>
    <row r="56" spans="1:225">
      <c r="A56" s="30"/>
      <c r="B56" s="30" t="s">
        <v>519</v>
      </c>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118"/>
      <c r="BT56" s="118"/>
      <c r="BU56" s="30"/>
      <c r="BV56" s="30"/>
      <c r="BW56" s="30"/>
      <c r="BX56" s="118"/>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485">
        <f>0</f>
        <v>0</v>
      </c>
      <c r="DI56" s="485">
        <f>-50.096-0</f>
        <v>-50.095999999999997</v>
      </c>
      <c r="DJ56" s="485">
        <f>-50.096--50.096</f>
        <v>0</v>
      </c>
      <c r="DK56" s="485">
        <f>-50.096--50.096</f>
        <v>0</v>
      </c>
      <c r="DL56" s="485">
        <f>SUM(DH56:DK56)</f>
        <v>-50.095999999999997</v>
      </c>
      <c r="DM56" s="485"/>
      <c r="DN56" s="485">
        <f>0</f>
        <v>0</v>
      </c>
      <c r="DO56" s="485">
        <f t="shared" si="76"/>
        <v>0</v>
      </c>
      <c r="DP56" s="485">
        <f t="shared" si="76"/>
        <v>0</v>
      </c>
      <c r="DQ56" s="485">
        <f t="shared" si="76"/>
        <v>0</v>
      </c>
      <c r="DR56" s="485">
        <f>SUM(DN56:DQ56)</f>
        <v>0</v>
      </c>
      <c r="DS56" s="485"/>
      <c r="DT56" s="485">
        <f>0</f>
        <v>0</v>
      </c>
      <c r="DU56" s="485">
        <f>0-0</f>
        <v>0</v>
      </c>
      <c r="DV56" s="485">
        <f>0-0</f>
        <v>0</v>
      </c>
      <c r="DW56" s="485">
        <f>0-0</f>
        <v>0</v>
      </c>
      <c r="DX56" s="485">
        <f>SUM(DT56:DW56)</f>
        <v>0</v>
      </c>
      <c r="DY56" s="485"/>
      <c r="DZ56" s="485">
        <f>0</f>
        <v>0</v>
      </c>
      <c r="EA56" s="485">
        <f>0-0</f>
        <v>0</v>
      </c>
      <c r="EB56" s="485">
        <f>0-0</f>
        <v>0</v>
      </c>
      <c r="EC56" s="485">
        <f>0-0</f>
        <v>0</v>
      </c>
      <c r="ED56" s="485">
        <f>SUM(DZ56:EC56)</f>
        <v>0</v>
      </c>
      <c r="EE56" s="485"/>
      <c r="EF56" s="485">
        <f>0</f>
        <v>0</v>
      </c>
      <c r="EG56" s="485">
        <f t="shared" si="71"/>
        <v>0</v>
      </c>
      <c r="EH56" s="485">
        <f t="shared" si="71"/>
        <v>0</v>
      </c>
      <c r="EI56" s="485">
        <f t="shared" si="71"/>
        <v>0</v>
      </c>
      <c r="EJ56" s="485">
        <f>SUM(EF56:EI56)</f>
        <v>0</v>
      </c>
      <c r="EK56" s="485"/>
      <c r="EL56" s="485">
        <f>0</f>
        <v>0</v>
      </c>
      <c r="EM56" s="485">
        <f t="shared" si="73"/>
        <v>0</v>
      </c>
      <c r="EN56" s="485">
        <f t="shared" si="73"/>
        <v>0</v>
      </c>
      <c r="EO56" s="485">
        <f t="shared" si="73"/>
        <v>0</v>
      </c>
      <c r="EP56" s="485">
        <f>SUM(EL56:EO56)</f>
        <v>0</v>
      </c>
      <c r="EQ56" s="485"/>
      <c r="ER56" s="485">
        <v>0</v>
      </c>
      <c r="ES56" s="485">
        <v>0</v>
      </c>
      <c r="ET56" s="354">
        <v>0</v>
      </c>
      <c r="EU56" s="485">
        <v>0</v>
      </c>
      <c r="EV56" s="485">
        <f t="shared" si="77"/>
        <v>0</v>
      </c>
      <c r="EW56" s="485"/>
      <c r="EX56" s="485">
        <v>0</v>
      </c>
      <c r="EY56" s="485"/>
      <c r="EZ56" s="485"/>
      <c r="FA56" s="557"/>
      <c r="FB56" s="485">
        <f t="shared" si="75"/>
        <v>0</v>
      </c>
      <c r="FC56" s="485"/>
      <c r="FD56" s="557"/>
      <c r="FE56" s="485"/>
      <c r="FF56" s="485"/>
      <c r="FG56" s="485"/>
      <c r="FH56" s="485">
        <f t="shared" si="78"/>
        <v>0</v>
      </c>
      <c r="FI56" s="485"/>
      <c r="FJ56" s="485"/>
      <c r="FK56" s="485"/>
      <c r="FL56" s="485"/>
      <c r="FM56" s="485"/>
      <c r="FN56" s="485">
        <f t="shared" si="79"/>
        <v>0</v>
      </c>
      <c r="FO56" s="485"/>
      <c r="FP56" s="485"/>
      <c r="FQ56" s="485"/>
      <c r="FR56" s="485"/>
      <c r="FS56" s="485"/>
      <c r="FT56" s="485">
        <f t="shared" si="80"/>
        <v>0</v>
      </c>
      <c r="FU56" s="485"/>
      <c r="FV56" s="485"/>
      <c r="FW56" s="485"/>
      <c r="FX56" s="485"/>
      <c r="FY56" s="485"/>
      <c r="FZ56" s="485">
        <f t="shared" si="81"/>
        <v>0</v>
      </c>
      <c r="GA56" s="485"/>
      <c r="GB56" s="485"/>
      <c r="GC56" s="485"/>
      <c r="GD56" s="485"/>
      <c r="GE56" s="485"/>
      <c r="GF56" s="485">
        <f t="shared" si="82"/>
        <v>0</v>
      </c>
      <c r="GG56" s="485"/>
      <c r="GH56" s="485"/>
      <c r="GI56" s="485"/>
      <c r="GJ56" s="485"/>
      <c r="GK56" s="485"/>
      <c r="GL56" s="485">
        <f t="shared" si="83"/>
        <v>0</v>
      </c>
      <c r="GM56" s="485"/>
      <c r="GN56" s="485"/>
      <c r="GO56" s="485"/>
      <c r="GP56" s="485"/>
      <c r="GQ56" s="485"/>
      <c r="GR56" s="485">
        <f t="shared" si="84"/>
        <v>0</v>
      </c>
      <c r="GS56" s="485"/>
      <c r="GT56" s="485"/>
      <c r="GU56" s="485"/>
      <c r="GV56" s="485"/>
      <c r="GW56" s="485"/>
      <c r="GX56" s="485">
        <f t="shared" si="85"/>
        <v>0</v>
      </c>
      <c r="GY56" s="485"/>
      <c r="GZ56" s="485"/>
      <c r="HA56" s="485"/>
      <c r="HB56" s="485"/>
      <c r="HC56" s="485"/>
      <c r="HD56" s="485">
        <f t="shared" si="86"/>
        <v>0</v>
      </c>
      <c r="HE56" s="485"/>
      <c r="HF56" s="485"/>
      <c r="HG56" s="485"/>
      <c r="HH56" s="485"/>
      <c r="HI56" s="485"/>
      <c r="HJ56" s="485">
        <f t="shared" si="87"/>
        <v>0</v>
      </c>
      <c r="HK56" s="485"/>
      <c r="HL56" s="485"/>
      <c r="HM56" s="485"/>
      <c r="HN56" s="485"/>
      <c r="HO56" s="485"/>
      <c r="HP56" s="485"/>
      <c r="HQ56" s="485"/>
    </row>
    <row r="57" spans="1:225">
      <c r="A57" s="30"/>
      <c r="B57" s="30" t="s">
        <v>520</v>
      </c>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118"/>
      <c r="BT57" s="118"/>
      <c r="BU57" s="30"/>
      <c r="BV57" s="30"/>
      <c r="BW57" s="30"/>
      <c r="BX57" s="118"/>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485">
        <f>0.483</f>
        <v>0.48299999999999998</v>
      </c>
      <c r="DI57" s="485">
        <f>5.588-0.483</f>
        <v>5.1050000000000004</v>
      </c>
      <c r="DJ57" s="485">
        <f>141.445-5.588</f>
        <v>135.857</v>
      </c>
      <c r="DK57" s="485">
        <f>9.023-141.445</f>
        <v>-132.422</v>
      </c>
      <c r="DL57" s="485">
        <f>SUM(DH57:DK57)</f>
        <v>9.0229999999999961</v>
      </c>
      <c r="DM57" s="485"/>
      <c r="DN57" s="485">
        <f>4.248</f>
        <v>4.2480000000000002</v>
      </c>
      <c r="DO57" s="485">
        <f>8.061-4.248</f>
        <v>3.8129999999999997</v>
      </c>
      <c r="DP57" s="485">
        <f>10.132-8.061</f>
        <v>2.0709999999999997</v>
      </c>
      <c r="DQ57" s="485">
        <f>11.202-10.132</f>
        <v>1.0700000000000003</v>
      </c>
      <c r="DR57" s="485">
        <f>SUM(DN57:DQ57)</f>
        <v>11.202</v>
      </c>
      <c r="DS57" s="485"/>
      <c r="DT57" s="485">
        <f>3.465</f>
        <v>3.4649999999999999</v>
      </c>
      <c r="DU57" s="485">
        <f>5.469-3.465</f>
        <v>2.0040000000000004</v>
      </c>
      <c r="DV57" s="485">
        <f>10.761-5.469</f>
        <v>5.2919999999999989</v>
      </c>
      <c r="DW57" s="485">
        <f>20.31-10.761</f>
        <v>9.5489999999999995</v>
      </c>
      <c r="DX57" s="485">
        <f>SUM(DT57:DW57)</f>
        <v>20.309999999999999</v>
      </c>
      <c r="DY57" s="485"/>
      <c r="DZ57" s="485">
        <f>2.617</f>
        <v>2.617</v>
      </c>
      <c r="EA57" s="485">
        <f>8.045-2.617</f>
        <v>5.4279999999999999</v>
      </c>
      <c r="EB57" s="485">
        <f>12.11-8.045</f>
        <v>4.0649999999999995</v>
      </c>
      <c r="EC57" s="485">
        <f>15.08-12.11</f>
        <v>2.9700000000000006</v>
      </c>
      <c r="ED57" s="485">
        <f>SUM(DZ57:EC57)</f>
        <v>15.08</v>
      </c>
      <c r="EE57" s="485"/>
      <c r="EF57" s="485">
        <f>6.403</f>
        <v>6.4029999999999996</v>
      </c>
      <c r="EG57" s="485">
        <f>7.642-6.403</f>
        <v>1.2390000000000008</v>
      </c>
      <c r="EH57" s="485">
        <f>10.733-7.642</f>
        <v>3.0910000000000002</v>
      </c>
      <c r="EI57" s="485">
        <f>12.587-10.733</f>
        <v>1.8539999999999992</v>
      </c>
      <c r="EJ57" s="485">
        <f>SUM(EF57:EI57)</f>
        <v>12.587</v>
      </c>
      <c r="EK57" s="485"/>
      <c r="EL57" s="485">
        <f>1.411</f>
        <v>1.411</v>
      </c>
      <c r="EM57" s="485">
        <f>1.504-1.411</f>
        <v>9.2999999999999972E-2</v>
      </c>
      <c r="EN57" s="485">
        <f>3.35-1.504</f>
        <v>1.8460000000000001</v>
      </c>
      <c r="EO57" s="485">
        <f>4.624-3.35</f>
        <v>1.2739999999999996</v>
      </c>
      <c r="EP57" s="485">
        <f>SUM(EL57:EO57)</f>
        <v>4.6239999999999997</v>
      </c>
      <c r="EQ57" s="485"/>
      <c r="ER57" s="485">
        <v>0.81599999999999995</v>
      </c>
      <c r="ES57" s="485">
        <f>2.782-ER57</f>
        <v>1.9660000000000002</v>
      </c>
      <c r="ET57" s="354">
        <f>3.959-ES57-ER57</f>
        <v>1.177</v>
      </c>
      <c r="EU57" s="354">
        <f>4.646-ER57-ES57-ET57</f>
        <v>0.68699999999999983</v>
      </c>
      <c r="EV57" s="485">
        <f t="shared" si="77"/>
        <v>4.6459999999999999</v>
      </c>
      <c r="EW57" s="485"/>
      <c r="EX57" s="485">
        <v>0.94899999999999995</v>
      </c>
      <c r="EY57" s="354">
        <f>-0.234-EX57</f>
        <v>-1.1830000000000001</v>
      </c>
      <c r="EZ57" s="354">
        <f>0.531-EY57-EX57</f>
        <v>0.76500000000000001</v>
      </c>
      <c r="FA57" s="547">
        <f>BS!FA68*BS!FA74*0.33</f>
        <v>0</v>
      </c>
      <c r="FB57" s="485">
        <f t="shared" si="75"/>
        <v>0.53099999999999992</v>
      </c>
      <c r="FC57" s="485"/>
      <c r="FD57" s="547">
        <f>BS!FD68*BS!FD74*0.33</f>
        <v>0</v>
      </c>
      <c r="FE57" s="354">
        <f>BS!FE68*BS!FE74*0.33</f>
        <v>0</v>
      </c>
      <c r="FF57" s="354">
        <f>BS!FF68*BS!FF74*0.33</f>
        <v>0</v>
      </c>
      <c r="FG57" s="354">
        <f>BS!FG68*BS!FG74*0.33</f>
        <v>0</v>
      </c>
      <c r="FH57" s="485">
        <f t="shared" si="78"/>
        <v>0</v>
      </c>
      <c r="FI57" s="485"/>
      <c r="FJ57" s="354">
        <f>BS!FJ68*BS!FJ74*0.33</f>
        <v>0</v>
      </c>
      <c r="FK57" s="354">
        <f>BS!FK68*BS!FK74*0.33</f>
        <v>0</v>
      </c>
      <c r="FL57" s="354">
        <f>BS!FL68*BS!FL74*0.33</f>
        <v>0</v>
      </c>
      <c r="FM57" s="354">
        <f>BS!FM68*BS!FM74*0.33</f>
        <v>0</v>
      </c>
      <c r="FN57" s="485">
        <f t="shared" si="79"/>
        <v>0</v>
      </c>
      <c r="FO57" s="485"/>
      <c r="FP57" s="354">
        <f>BS!FP68*BS!FP74*0.33</f>
        <v>0</v>
      </c>
      <c r="FQ57" s="354">
        <f>BS!FQ68*BS!FQ74*0.33</f>
        <v>0</v>
      </c>
      <c r="FR57" s="354">
        <f>BS!FR68*BS!FR74*0.33</f>
        <v>0</v>
      </c>
      <c r="FS57" s="354">
        <f>BS!FS68*BS!FS74*0.33</f>
        <v>0</v>
      </c>
      <c r="FT57" s="485">
        <f t="shared" si="80"/>
        <v>0</v>
      </c>
      <c r="FU57" s="485"/>
      <c r="FV57" s="354">
        <f>BS!FV68*BS!FV74*0.33</f>
        <v>0</v>
      </c>
      <c r="FW57" s="354">
        <f>BS!FW68*BS!FW74*0.33</f>
        <v>0</v>
      </c>
      <c r="FX57" s="354">
        <f>BS!FX68*BS!FX74*0.33</f>
        <v>0</v>
      </c>
      <c r="FY57" s="354">
        <f>BS!FY68*BS!FY74*0.33</f>
        <v>0</v>
      </c>
      <c r="FZ57" s="485">
        <f t="shared" si="81"/>
        <v>0</v>
      </c>
      <c r="GA57" s="485"/>
      <c r="GB57" s="354">
        <f>BS!GB68*BS!GB74*0.33</f>
        <v>0</v>
      </c>
      <c r="GC57" s="354">
        <f>BS!GC68*BS!GC74*0.33</f>
        <v>0</v>
      </c>
      <c r="GD57" s="354">
        <f>BS!GD68*BS!GD74*0.33</f>
        <v>0</v>
      </c>
      <c r="GE57" s="354">
        <f>BS!GE68*BS!GE74*0.33</f>
        <v>0</v>
      </c>
      <c r="GF57" s="485">
        <f t="shared" si="82"/>
        <v>0</v>
      </c>
      <c r="GG57" s="485"/>
      <c r="GH57" s="354">
        <f>BS!GH68*BS!GH74*0.33</f>
        <v>0</v>
      </c>
      <c r="GI57" s="354">
        <f>BS!GI68*BS!GI74*0.33</f>
        <v>0</v>
      </c>
      <c r="GJ57" s="354">
        <f>BS!GJ68*BS!GJ74*0.33</f>
        <v>0</v>
      </c>
      <c r="GK57" s="354">
        <f>BS!GK68*BS!GK74*0.33</f>
        <v>0</v>
      </c>
      <c r="GL57" s="485">
        <f t="shared" si="83"/>
        <v>0</v>
      </c>
      <c r="GM57" s="485"/>
      <c r="GN57" s="354">
        <f>BS!GN68*BS!GN74*0.33</f>
        <v>0</v>
      </c>
      <c r="GO57" s="354">
        <f>BS!GO68*BS!GO74*0.33</f>
        <v>0</v>
      </c>
      <c r="GP57" s="354">
        <f>BS!GP68*BS!GP74*0.33</f>
        <v>0</v>
      </c>
      <c r="GQ57" s="354">
        <f>BS!GQ68*BS!GQ74*0.33</f>
        <v>0</v>
      </c>
      <c r="GR57" s="485">
        <f t="shared" si="84"/>
        <v>0</v>
      </c>
      <c r="GS57" s="485"/>
      <c r="GT57" s="354">
        <f>BS!GT68*BS!GT74*0.33</f>
        <v>0</v>
      </c>
      <c r="GU57" s="354">
        <f>BS!GU68*BS!GU74*0.33</f>
        <v>0</v>
      </c>
      <c r="GV57" s="354">
        <f>BS!GV68*BS!GV74*0.33</f>
        <v>0</v>
      </c>
      <c r="GW57" s="354">
        <f>BS!GW68*BS!GW74*0.33</f>
        <v>0</v>
      </c>
      <c r="GX57" s="485">
        <f t="shared" si="85"/>
        <v>0</v>
      </c>
      <c r="GY57" s="485"/>
      <c r="GZ57" s="354">
        <f>BS!GZ68*BS!GZ74*0.33</f>
        <v>0</v>
      </c>
      <c r="HA57" s="354">
        <f>BS!HA68*BS!HA74*0.33</f>
        <v>0</v>
      </c>
      <c r="HB57" s="354">
        <f>BS!HB68*BS!HB74*0.33</f>
        <v>0</v>
      </c>
      <c r="HC57" s="354">
        <f>BS!HC68*BS!HC74*0.33</f>
        <v>0</v>
      </c>
      <c r="HD57" s="485">
        <f t="shared" si="86"/>
        <v>0</v>
      </c>
      <c r="HE57" s="485"/>
      <c r="HF57" s="354">
        <f>BS!HF68*BS!HF74*0.33</f>
        <v>0</v>
      </c>
      <c r="HG57" s="354">
        <f>BS!HG68*BS!HG74*0.33</f>
        <v>0</v>
      </c>
      <c r="HH57" s="354">
        <f>BS!HH68*BS!HH74*0.33</f>
        <v>0</v>
      </c>
      <c r="HI57" s="354">
        <f>BS!HI68*BS!HI74*0.33</f>
        <v>0</v>
      </c>
      <c r="HJ57" s="485">
        <f t="shared" si="87"/>
        <v>0</v>
      </c>
      <c r="HK57" s="485"/>
      <c r="HL57" s="485"/>
      <c r="HM57" s="485"/>
      <c r="HN57" s="485"/>
      <c r="HO57" s="485"/>
      <c r="HP57" s="485"/>
      <c r="HQ57" s="485"/>
    </row>
    <row r="58" spans="1:225">
      <c r="A58" s="30"/>
      <c r="B58" s="30" t="s">
        <v>521</v>
      </c>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118"/>
      <c r="BT58" s="118"/>
      <c r="BU58" s="30"/>
      <c r="BV58" s="30"/>
      <c r="BW58" s="30"/>
      <c r="BX58" s="118"/>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485">
        <f>0</f>
        <v>0</v>
      </c>
      <c r="DI58" s="485">
        <f>0-0</f>
        <v>0</v>
      </c>
      <c r="DJ58" s="485">
        <f>0-0</f>
        <v>0</v>
      </c>
      <c r="DK58" s="485">
        <f>135.071-0</f>
        <v>135.071</v>
      </c>
      <c r="DL58" s="485">
        <f>SUM(DH58:DK58)</f>
        <v>135.071</v>
      </c>
      <c r="DM58" s="485"/>
      <c r="DN58" s="485">
        <f>0</f>
        <v>0</v>
      </c>
      <c r="DO58" s="485">
        <f>160.774-0</f>
        <v>160.774</v>
      </c>
      <c r="DP58" s="485">
        <f>160.774-160.774</f>
        <v>0</v>
      </c>
      <c r="DQ58" s="485">
        <f>160.774-160.774</f>
        <v>0</v>
      </c>
      <c r="DR58" s="485">
        <f>SUM(DN58:DQ58)</f>
        <v>160.774</v>
      </c>
      <c r="DS58" s="485"/>
      <c r="DT58" s="485">
        <f>0</f>
        <v>0</v>
      </c>
      <c r="DU58" s="485">
        <f>127.288-0</f>
        <v>127.288</v>
      </c>
      <c r="DV58" s="485">
        <f>127.293-127.288</f>
        <v>5.0000000000096634E-3</v>
      </c>
      <c r="DW58" s="485">
        <f>127.293-127.293</f>
        <v>0</v>
      </c>
      <c r="DX58" s="485">
        <f>SUM(DT58:DW58)</f>
        <v>127.29300000000001</v>
      </c>
      <c r="DY58" s="485"/>
      <c r="DZ58" s="485">
        <f>218.29</f>
        <v>218.29</v>
      </c>
      <c r="EA58" s="485">
        <f>418.273-218.29</f>
        <v>199.98300000000003</v>
      </c>
      <c r="EB58" s="485">
        <f>408.133-418.273</f>
        <v>-10.140000000000043</v>
      </c>
      <c r="EC58" s="485">
        <f>408.133-408.133</f>
        <v>0</v>
      </c>
      <c r="ED58" s="485">
        <f>SUM(DZ58:EC58)</f>
        <v>408.13299999999998</v>
      </c>
      <c r="EE58" s="485"/>
      <c r="EF58" s="485">
        <f>0</f>
        <v>0</v>
      </c>
      <c r="EG58" s="485">
        <f>0-0</f>
        <v>0</v>
      </c>
      <c r="EH58" s="485">
        <f>0-0</f>
        <v>0</v>
      </c>
      <c r="EI58" s="485">
        <f>0-0</f>
        <v>0</v>
      </c>
      <c r="EJ58" s="485">
        <f>SUM(EF58:EI58)</f>
        <v>0</v>
      </c>
      <c r="EK58" s="485"/>
      <c r="EL58" s="485">
        <f>0</f>
        <v>0</v>
      </c>
      <c r="EM58" s="485">
        <f>0-0</f>
        <v>0</v>
      </c>
      <c r="EN58" s="485">
        <f>0-0</f>
        <v>0</v>
      </c>
      <c r="EO58" s="485">
        <f>0-0</f>
        <v>0</v>
      </c>
      <c r="EP58" s="485">
        <f>SUM(EL58:EO58)</f>
        <v>0</v>
      </c>
      <c r="EQ58" s="485"/>
      <c r="ER58" s="485">
        <v>0</v>
      </c>
      <c r="ES58" s="485">
        <v>0</v>
      </c>
      <c r="ET58" s="354">
        <v>0</v>
      </c>
      <c r="EU58" s="354">
        <v>0</v>
      </c>
      <c r="EV58" s="485">
        <f t="shared" si="77"/>
        <v>0</v>
      </c>
      <c r="EW58" s="485"/>
      <c r="EX58" s="485">
        <v>0</v>
      </c>
      <c r="EY58" s="485"/>
      <c r="EZ58" s="485"/>
      <c r="FA58" s="557"/>
      <c r="FB58" s="485">
        <f t="shared" si="75"/>
        <v>0</v>
      </c>
      <c r="FC58" s="485"/>
      <c r="FD58" s="557"/>
      <c r="FE58" s="485"/>
      <c r="FF58" s="485"/>
      <c r="FG58" s="485"/>
      <c r="FH58" s="485">
        <f t="shared" si="78"/>
        <v>0</v>
      </c>
      <c r="FI58" s="485"/>
      <c r="FJ58" s="485"/>
      <c r="FK58" s="485"/>
      <c r="FL58" s="485"/>
      <c r="FM58" s="485"/>
      <c r="FN58" s="485">
        <f t="shared" si="79"/>
        <v>0</v>
      </c>
      <c r="FO58" s="485"/>
      <c r="FP58" s="485"/>
      <c r="FQ58" s="485"/>
      <c r="FR58" s="485"/>
      <c r="FS58" s="485"/>
      <c r="FT58" s="485">
        <f t="shared" si="80"/>
        <v>0</v>
      </c>
      <c r="FU58" s="485"/>
      <c r="FV58" s="485"/>
      <c r="FW58" s="485"/>
      <c r="FX58" s="485"/>
      <c r="FY58" s="485"/>
      <c r="FZ58" s="485">
        <f t="shared" si="81"/>
        <v>0</v>
      </c>
      <c r="GA58" s="485"/>
      <c r="GB58" s="485"/>
      <c r="GC58" s="485"/>
      <c r="GD58" s="485"/>
      <c r="GE58" s="485"/>
      <c r="GF58" s="485">
        <f t="shared" si="82"/>
        <v>0</v>
      </c>
      <c r="GG58" s="485"/>
      <c r="GH58" s="485"/>
      <c r="GI58" s="485"/>
      <c r="GJ58" s="485"/>
      <c r="GK58" s="485"/>
      <c r="GL58" s="485">
        <f t="shared" si="83"/>
        <v>0</v>
      </c>
      <c r="GM58" s="485"/>
      <c r="GN58" s="485"/>
      <c r="GO58" s="485"/>
      <c r="GP58" s="485"/>
      <c r="GQ58" s="485"/>
      <c r="GR58" s="485">
        <f t="shared" si="84"/>
        <v>0</v>
      </c>
      <c r="GS58" s="485"/>
      <c r="GT58" s="485"/>
      <c r="GU58" s="485"/>
      <c r="GV58" s="485"/>
      <c r="GW58" s="485"/>
      <c r="GX58" s="485">
        <f t="shared" si="85"/>
        <v>0</v>
      </c>
      <c r="GY58" s="485"/>
      <c r="GZ58" s="485"/>
      <c r="HA58" s="485"/>
      <c r="HB58" s="485"/>
      <c r="HC58" s="485"/>
      <c r="HD58" s="485">
        <f t="shared" si="86"/>
        <v>0</v>
      </c>
      <c r="HE58" s="485"/>
      <c r="HF58" s="485"/>
      <c r="HG58" s="485"/>
      <c r="HH58" s="485"/>
      <c r="HI58" s="485"/>
      <c r="HJ58" s="485">
        <f t="shared" si="87"/>
        <v>0</v>
      </c>
      <c r="HK58" s="485"/>
      <c r="HL58" s="485"/>
      <c r="HM58" s="485"/>
      <c r="HN58" s="485"/>
      <c r="HO58" s="485"/>
      <c r="HP58" s="485"/>
      <c r="HQ58" s="485"/>
    </row>
    <row r="59" spans="1:225">
      <c r="A59" s="30"/>
      <c r="B59" s="30" t="s">
        <v>518</v>
      </c>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118"/>
      <c r="BT59" s="118"/>
      <c r="BU59" s="30"/>
      <c r="BV59" s="30"/>
      <c r="BW59" s="30"/>
      <c r="BX59" s="118"/>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485">
        <f>-1.394</f>
        <v>-1.3939999999999999</v>
      </c>
      <c r="DI59" s="485">
        <f>-3.014--1.394</f>
        <v>-1.6199999999999999</v>
      </c>
      <c r="DJ59" s="485">
        <f>-4.774--3.014</f>
        <v>-1.7600000000000002</v>
      </c>
      <c r="DK59" s="485">
        <f>-6.563--4.774</f>
        <v>-1.7889999999999997</v>
      </c>
      <c r="DL59" s="485">
        <f>SUM(DH59:DK59)</f>
        <v>-6.5629999999999997</v>
      </c>
      <c r="DM59" s="485"/>
      <c r="DN59" s="485">
        <f>-1.797</f>
        <v>-1.7969999999999999</v>
      </c>
      <c r="DO59" s="485">
        <f>-3.644--1.797</f>
        <v>-1.8470000000000002</v>
      </c>
      <c r="DP59" s="485">
        <f>-5.481--3.644</f>
        <v>-1.8369999999999997</v>
      </c>
      <c r="DQ59" s="485">
        <f>-7.201--5.481</f>
        <v>-1.7199999999999998</v>
      </c>
      <c r="DR59" s="485">
        <f>SUM(DN59:DQ59)</f>
        <v>-7.2009999999999996</v>
      </c>
      <c r="DS59" s="485"/>
      <c r="DT59" s="485">
        <f>-1.598</f>
        <v>-1.5980000000000001</v>
      </c>
      <c r="DU59" s="485">
        <f>-3.059--1.598</f>
        <v>-1.4610000000000001</v>
      </c>
      <c r="DV59" s="485">
        <f>-4.331--3.059</f>
        <v>-1.2720000000000002</v>
      </c>
      <c r="DW59" s="485">
        <f>-5.615--4.331</f>
        <v>-1.2839999999999998</v>
      </c>
      <c r="DX59" s="485">
        <f>SUM(DT59:DW59)</f>
        <v>-5.6150000000000002</v>
      </c>
      <c r="DY59" s="485"/>
      <c r="DZ59" s="485">
        <f>-1.091</f>
        <v>-1.091</v>
      </c>
      <c r="EA59" s="485">
        <f>-1.892--1.091</f>
        <v>-0.80099999999999993</v>
      </c>
      <c r="EB59" s="485">
        <f>-2.537--1.892</f>
        <v>-0.64500000000000002</v>
      </c>
      <c r="EC59" s="485">
        <f>-3.047--2.537</f>
        <v>-0.51000000000000023</v>
      </c>
      <c r="ED59" s="485">
        <f>SUM(DZ59:EC59)</f>
        <v>-3.0470000000000002</v>
      </c>
      <c r="EE59" s="485"/>
      <c r="EF59" s="485">
        <f>-0.346</f>
        <v>-0.34599999999999997</v>
      </c>
      <c r="EG59" s="485">
        <f>-0.574--0.346</f>
        <v>-0.22799999999999998</v>
      </c>
      <c r="EH59" s="485">
        <f>-0.706--0.574</f>
        <v>-0.13200000000000001</v>
      </c>
      <c r="EI59" s="485">
        <f>-0.758--0.706</f>
        <v>-5.2000000000000046E-2</v>
      </c>
      <c r="EJ59" s="485">
        <f>SUM(EF59:EI59)</f>
        <v>-0.75800000000000001</v>
      </c>
      <c r="EK59" s="485"/>
      <c r="EL59" s="485">
        <f>-0.032</f>
        <v>-3.2000000000000001E-2</v>
      </c>
      <c r="EM59" s="485">
        <f>-0.061--0.032</f>
        <v>-2.8999999999999998E-2</v>
      </c>
      <c r="EN59" s="485">
        <f>-0.066--0.061</f>
        <v>-5.0000000000000044E-3</v>
      </c>
      <c r="EO59" s="485">
        <f>-0.07--0.066</f>
        <v>-4.0000000000000036E-3</v>
      </c>
      <c r="EP59" s="485">
        <f>SUM(EL59:EO59)</f>
        <v>-7.0000000000000007E-2</v>
      </c>
      <c r="EQ59" s="485"/>
      <c r="ER59" s="485">
        <v>0</v>
      </c>
      <c r="ES59" s="485">
        <v>0</v>
      </c>
      <c r="ET59" s="354">
        <v>0</v>
      </c>
      <c r="EU59" s="354">
        <v>0</v>
      </c>
      <c r="EV59" s="485">
        <f t="shared" si="77"/>
        <v>0</v>
      </c>
      <c r="EW59" s="485"/>
      <c r="EX59" s="485">
        <v>0</v>
      </c>
      <c r="EY59" s="485"/>
      <c r="EZ59" s="485"/>
      <c r="FA59" s="557"/>
      <c r="FB59" s="485">
        <f t="shared" si="75"/>
        <v>0</v>
      </c>
      <c r="FC59" s="485"/>
      <c r="FD59" s="557"/>
      <c r="FE59" s="485"/>
      <c r="FF59" s="485"/>
      <c r="FG59" s="485"/>
      <c r="FH59" s="485">
        <f t="shared" si="78"/>
        <v>0</v>
      </c>
      <c r="FI59" s="485"/>
      <c r="FJ59" s="485"/>
      <c r="FK59" s="485"/>
      <c r="FL59" s="485"/>
      <c r="FM59" s="485"/>
      <c r="FN59" s="485">
        <f t="shared" si="79"/>
        <v>0</v>
      </c>
      <c r="FO59" s="485"/>
      <c r="FP59" s="485"/>
      <c r="FQ59" s="485"/>
      <c r="FR59" s="485"/>
      <c r="FS59" s="485"/>
      <c r="FT59" s="485">
        <f t="shared" si="80"/>
        <v>0</v>
      </c>
      <c r="FU59" s="485"/>
      <c r="FV59" s="485"/>
      <c r="FW59" s="485"/>
      <c r="FX59" s="485"/>
      <c r="FY59" s="485"/>
      <c r="FZ59" s="485">
        <f t="shared" si="81"/>
        <v>0</v>
      </c>
      <c r="GA59" s="485"/>
      <c r="GB59" s="485"/>
      <c r="GC59" s="485"/>
      <c r="GD59" s="485"/>
      <c r="GE59" s="485"/>
      <c r="GF59" s="485">
        <f t="shared" si="82"/>
        <v>0</v>
      </c>
      <c r="GG59" s="485"/>
      <c r="GH59" s="485"/>
      <c r="GI59" s="485"/>
      <c r="GJ59" s="485"/>
      <c r="GK59" s="485"/>
      <c r="GL59" s="485">
        <f t="shared" si="83"/>
        <v>0</v>
      </c>
      <c r="GM59" s="485"/>
      <c r="GN59" s="485"/>
      <c r="GO59" s="485"/>
      <c r="GP59" s="485"/>
      <c r="GQ59" s="485"/>
      <c r="GR59" s="485">
        <f t="shared" si="84"/>
        <v>0</v>
      </c>
      <c r="GS59" s="485"/>
      <c r="GT59" s="485"/>
      <c r="GU59" s="485"/>
      <c r="GV59" s="485"/>
      <c r="GW59" s="485"/>
      <c r="GX59" s="485">
        <f t="shared" si="85"/>
        <v>0</v>
      </c>
      <c r="GY59" s="485"/>
      <c r="GZ59" s="485"/>
      <c r="HA59" s="485"/>
      <c r="HB59" s="485"/>
      <c r="HC59" s="485"/>
      <c r="HD59" s="485">
        <f t="shared" si="86"/>
        <v>0</v>
      </c>
      <c r="HE59" s="485"/>
      <c r="HF59" s="485"/>
      <c r="HG59" s="485"/>
      <c r="HH59" s="485"/>
      <c r="HI59" s="485"/>
      <c r="HJ59" s="485">
        <f t="shared" si="87"/>
        <v>0</v>
      </c>
      <c r="HK59" s="485"/>
      <c r="HL59" s="485"/>
      <c r="HM59" s="485"/>
      <c r="HN59" s="485"/>
      <c r="HO59" s="485"/>
      <c r="HP59" s="485"/>
      <c r="HQ59" s="485"/>
    </row>
    <row r="60" spans="1:225">
      <c r="A60" s="30"/>
      <c r="B60" s="30" t="s">
        <v>540</v>
      </c>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118"/>
      <c r="BT60" s="118"/>
      <c r="BU60" s="30"/>
      <c r="BV60" s="30"/>
      <c r="BW60" s="30"/>
      <c r="BX60" s="118"/>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485"/>
      <c r="DI60" s="485"/>
      <c r="DJ60" s="485"/>
      <c r="DK60" s="485"/>
      <c r="DL60" s="485">
        <f t="shared" si="66"/>
        <v>0</v>
      </c>
      <c r="DM60" s="485"/>
      <c r="DN60" s="485"/>
      <c r="DO60" s="485"/>
      <c r="DP60" s="485"/>
      <c r="DQ60" s="485"/>
      <c r="DR60" s="485">
        <f t="shared" si="67"/>
        <v>0</v>
      </c>
      <c r="DS60" s="485"/>
      <c r="DT60" s="485"/>
      <c r="DU60" s="485"/>
      <c r="DV60" s="485"/>
      <c r="DW60" s="485"/>
      <c r="DX60" s="485">
        <f t="shared" si="68"/>
        <v>0</v>
      </c>
      <c r="DY60" s="485"/>
      <c r="DZ60" s="485"/>
      <c r="EA60" s="485"/>
      <c r="EB60" s="485"/>
      <c r="EC60" s="485"/>
      <c r="ED60" s="485">
        <f t="shared" si="70"/>
        <v>0</v>
      </c>
      <c r="EE60" s="485"/>
      <c r="EF60" s="485"/>
      <c r="EG60" s="485"/>
      <c r="EH60" s="485"/>
      <c r="EI60" s="485"/>
      <c r="EJ60" s="485">
        <f t="shared" si="72"/>
        <v>0</v>
      </c>
      <c r="EK60" s="485"/>
      <c r="EL60" s="485"/>
      <c r="EM60" s="485"/>
      <c r="EN60" s="485"/>
      <c r="EO60" s="485"/>
      <c r="EP60" s="485">
        <f t="shared" si="74"/>
        <v>0</v>
      </c>
      <c r="EQ60" s="485"/>
      <c r="ER60" s="485">
        <v>0</v>
      </c>
      <c r="ES60" s="485">
        <v>0</v>
      </c>
      <c r="ET60" s="354">
        <v>0</v>
      </c>
      <c r="EU60" s="354">
        <v>0</v>
      </c>
      <c r="EV60" s="485">
        <f t="shared" si="77"/>
        <v>0</v>
      </c>
      <c r="EW60" s="485"/>
      <c r="EX60" s="485">
        <v>0</v>
      </c>
      <c r="EY60" s="485"/>
      <c r="EZ60" s="485"/>
      <c r="FA60" s="557"/>
      <c r="FB60" s="485">
        <f t="shared" si="75"/>
        <v>0</v>
      </c>
      <c r="FC60" s="485"/>
      <c r="FD60" s="557"/>
      <c r="FE60" s="485"/>
      <c r="FF60" s="485"/>
      <c r="FG60" s="485"/>
      <c r="FH60" s="485">
        <f t="shared" si="78"/>
        <v>0</v>
      </c>
      <c r="FI60" s="485"/>
      <c r="FJ60" s="485"/>
      <c r="FK60" s="485"/>
      <c r="FL60" s="485"/>
      <c r="FM60" s="485"/>
      <c r="FN60" s="485">
        <f t="shared" si="79"/>
        <v>0</v>
      </c>
      <c r="FO60" s="485"/>
      <c r="FP60" s="485"/>
      <c r="FQ60" s="485"/>
      <c r="FR60" s="485"/>
      <c r="FS60" s="485"/>
      <c r="FT60" s="485">
        <f t="shared" si="80"/>
        <v>0</v>
      </c>
      <c r="FU60" s="485"/>
      <c r="FV60" s="485"/>
      <c r="FW60" s="485"/>
      <c r="FX60" s="485"/>
      <c r="FY60" s="485"/>
      <c r="FZ60" s="485">
        <f t="shared" si="81"/>
        <v>0</v>
      </c>
      <c r="GA60" s="485"/>
      <c r="GB60" s="485"/>
      <c r="GC60" s="485"/>
      <c r="GD60" s="485"/>
      <c r="GE60" s="485"/>
      <c r="GF60" s="485">
        <f t="shared" si="82"/>
        <v>0</v>
      </c>
      <c r="GG60" s="485"/>
      <c r="GH60" s="485"/>
      <c r="GI60" s="485"/>
      <c r="GJ60" s="485"/>
      <c r="GK60" s="485"/>
      <c r="GL60" s="485">
        <f t="shared" si="83"/>
        <v>0</v>
      </c>
      <c r="GM60" s="485"/>
      <c r="GN60" s="485"/>
      <c r="GO60" s="485"/>
      <c r="GP60" s="485"/>
      <c r="GQ60" s="485"/>
      <c r="GR60" s="485">
        <f t="shared" si="84"/>
        <v>0</v>
      </c>
      <c r="GS60" s="485"/>
      <c r="GT60" s="485"/>
      <c r="GU60" s="485"/>
      <c r="GV60" s="485"/>
      <c r="GW60" s="485"/>
      <c r="GX60" s="485">
        <f t="shared" si="85"/>
        <v>0</v>
      </c>
      <c r="GY60" s="485"/>
      <c r="GZ60" s="485"/>
      <c r="HA60" s="485"/>
      <c r="HB60" s="485"/>
      <c r="HC60" s="485"/>
      <c r="HD60" s="485">
        <f t="shared" si="86"/>
        <v>0</v>
      </c>
      <c r="HE60" s="485"/>
      <c r="HF60" s="485"/>
      <c r="HG60" s="485"/>
      <c r="HH60" s="485"/>
      <c r="HI60" s="485"/>
      <c r="HJ60" s="485">
        <f t="shared" si="87"/>
        <v>0</v>
      </c>
      <c r="HK60" s="485"/>
      <c r="HL60" s="485"/>
      <c r="HM60" s="485"/>
      <c r="HN60" s="485"/>
      <c r="HO60" s="485"/>
      <c r="HP60" s="485"/>
      <c r="HQ60" s="485"/>
    </row>
    <row r="61" spans="1:225" s="512" customFormat="1">
      <c r="A61" s="30"/>
      <c r="B61" s="30" t="s">
        <v>553</v>
      </c>
      <c r="C61" s="30"/>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119"/>
      <c r="BT61" s="119"/>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474"/>
      <c r="DG61" s="36"/>
      <c r="DH61" s="532">
        <f>0</f>
        <v>0</v>
      </c>
      <c r="DI61" s="532">
        <f>-0.576-0</f>
        <v>-0.57599999999999996</v>
      </c>
      <c r="DJ61" s="532">
        <f>-0.576--0.576</f>
        <v>0</v>
      </c>
      <c r="DK61" s="532">
        <f>-0.576--0.576</f>
        <v>0</v>
      </c>
      <c r="DL61" s="532">
        <f t="shared" si="66"/>
        <v>-0.57599999999999996</v>
      </c>
      <c r="DM61" s="532"/>
      <c r="DN61" s="532">
        <f>0</f>
        <v>0</v>
      </c>
      <c r="DO61" s="532">
        <f>-0.954-0</f>
        <v>-0.95399999999999996</v>
      </c>
      <c r="DP61" s="532">
        <f>-1.051--0.954</f>
        <v>-9.6999999999999975E-2</v>
      </c>
      <c r="DQ61" s="532">
        <f>-1.059--1.051</f>
        <v>-8.0000000000000071E-3</v>
      </c>
      <c r="DR61" s="532">
        <f t="shared" si="67"/>
        <v>-1.0589999999999999</v>
      </c>
      <c r="DS61" s="532"/>
      <c r="DT61" s="485">
        <f>0</f>
        <v>0</v>
      </c>
      <c r="DU61" s="485">
        <f>-3.317-0</f>
        <v>-3.3170000000000002</v>
      </c>
      <c r="DV61" s="485">
        <f>-3.317--3.317</f>
        <v>0</v>
      </c>
      <c r="DW61" s="485">
        <f>-3.317--3.317</f>
        <v>0</v>
      </c>
      <c r="DX61" s="532">
        <f t="shared" si="68"/>
        <v>-3.3170000000000002</v>
      </c>
      <c r="DY61" s="532"/>
      <c r="DZ61" s="485">
        <f>-29.291</f>
        <v>-29.291</v>
      </c>
      <c r="EA61" s="485">
        <f>-29.291--29.291</f>
        <v>0</v>
      </c>
      <c r="EB61" s="485">
        <f>-29.291--29.291</f>
        <v>0</v>
      </c>
      <c r="EC61" s="485">
        <f>-29.291--29.291</f>
        <v>0</v>
      </c>
      <c r="ED61" s="485">
        <f>SUM(DZ61:EC61)</f>
        <v>-29.291</v>
      </c>
      <c r="EE61" s="532"/>
      <c r="EF61" s="532">
        <f>0</f>
        <v>0</v>
      </c>
      <c r="EG61" s="532">
        <f>0-0</f>
        <v>0</v>
      </c>
      <c r="EH61" s="532">
        <f>0-0</f>
        <v>0</v>
      </c>
      <c r="EI61" s="532">
        <f>0-0</f>
        <v>0</v>
      </c>
      <c r="EJ61" s="532">
        <f t="shared" si="72"/>
        <v>0</v>
      </c>
      <c r="EK61" s="532"/>
      <c r="EL61" s="532">
        <f>0</f>
        <v>0</v>
      </c>
      <c r="EM61" s="532">
        <f>0-0</f>
        <v>0</v>
      </c>
      <c r="EN61" s="532">
        <f>0-0</f>
        <v>0</v>
      </c>
      <c r="EO61" s="532">
        <f>0-0</f>
        <v>0</v>
      </c>
      <c r="EP61" s="532">
        <f t="shared" si="74"/>
        <v>0</v>
      </c>
      <c r="EQ61" s="532"/>
      <c r="ER61" s="532">
        <v>0</v>
      </c>
      <c r="ES61" s="532">
        <v>0</v>
      </c>
      <c r="ET61" s="532">
        <v>0</v>
      </c>
      <c r="EU61" s="532">
        <v>0</v>
      </c>
      <c r="EV61" s="532">
        <f>SUM(ER61:EU61)</f>
        <v>0</v>
      </c>
      <c r="EW61" s="532"/>
      <c r="EX61" s="532">
        <v>0</v>
      </c>
      <c r="EY61" s="532">
        <v>0</v>
      </c>
      <c r="EZ61" s="532">
        <v>0</v>
      </c>
      <c r="FA61" s="558">
        <v>0</v>
      </c>
      <c r="FB61" s="532">
        <f t="shared" si="75"/>
        <v>0</v>
      </c>
      <c r="FC61" s="532"/>
      <c r="FD61" s="558">
        <v>0</v>
      </c>
      <c r="FE61" s="532">
        <v>0</v>
      </c>
      <c r="FF61" s="532">
        <v>0</v>
      </c>
      <c r="FG61" s="532">
        <v>0</v>
      </c>
      <c r="FH61" s="532">
        <f>SUM(FD61:FG61)</f>
        <v>0</v>
      </c>
      <c r="FI61" s="532"/>
      <c r="FJ61" s="532">
        <v>0</v>
      </c>
      <c r="FK61" s="532">
        <v>0</v>
      </c>
      <c r="FL61" s="532">
        <v>0</v>
      </c>
      <c r="FM61" s="532">
        <v>0</v>
      </c>
      <c r="FN61" s="532">
        <f>SUM(FJ61:FM61)</f>
        <v>0</v>
      </c>
      <c r="FO61" s="532"/>
      <c r="FP61" s="532">
        <v>0</v>
      </c>
      <c r="FQ61" s="532">
        <v>0</v>
      </c>
      <c r="FR61" s="532">
        <v>0</v>
      </c>
      <c r="FS61" s="532">
        <v>0</v>
      </c>
      <c r="FT61" s="532">
        <f>SUM(FP61:FS61)</f>
        <v>0</v>
      </c>
      <c r="FU61" s="532"/>
      <c r="FV61" s="532">
        <v>0</v>
      </c>
      <c r="FW61" s="532">
        <v>0</v>
      </c>
      <c r="FX61" s="532">
        <v>0</v>
      </c>
      <c r="FY61" s="532">
        <v>0</v>
      </c>
      <c r="FZ61" s="532">
        <f>SUM(FV61:FY61)</f>
        <v>0</v>
      </c>
      <c r="GA61" s="532"/>
      <c r="GB61" s="532">
        <v>0</v>
      </c>
      <c r="GC61" s="532">
        <v>0</v>
      </c>
      <c r="GD61" s="532">
        <v>0</v>
      </c>
      <c r="GE61" s="532">
        <v>0</v>
      </c>
      <c r="GF61" s="532">
        <f>SUM(GB61:GE61)</f>
        <v>0</v>
      </c>
      <c r="GG61" s="532"/>
      <c r="GH61" s="532">
        <v>0</v>
      </c>
      <c r="GI61" s="532">
        <v>0</v>
      </c>
      <c r="GJ61" s="532">
        <v>0</v>
      </c>
      <c r="GK61" s="532">
        <v>0</v>
      </c>
      <c r="GL61" s="532">
        <f>SUM(GH61:GK61)</f>
        <v>0</v>
      </c>
      <c r="GM61" s="532"/>
      <c r="GN61" s="532">
        <v>0</v>
      </c>
      <c r="GO61" s="532">
        <v>0</v>
      </c>
      <c r="GP61" s="532">
        <v>0</v>
      </c>
      <c r="GQ61" s="532">
        <v>0</v>
      </c>
      <c r="GR61" s="532">
        <f>SUM(GN61:GQ61)</f>
        <v>0</v>
      </c>
      <c r="GS61" s="532"/>
      <c r="GT61" s="532">
        <v>0</v>
      </c>
      <c r="GU61" s="532">
        <v>0</v>
      </c>
      <c r="GV61" s="532">
        <v>0</v>
      </c>
      <c r="GW61" s="532">
        <v>0</v>
      </c>
      <c r="GX61" s="532">
        <f>SUM(GT61:GW61)</f>
        <v>0</v>
      </c>
      <c r="GY61" s="532"/>
      <c r="GZ61" s="532">
        <v>0</v>
      </c>
      <c r="HA61" s="532">
        <v>0</v>
      </c>
      <c r="HB61" s="532">
        <v>0</v>
      </c>
      <c r="HC61" s="532">
        <v>0</v>
      </c>
      <c r="HD61" s="532">
        <f>SUM(GZ61:HC61)</f>
        <v>0</v>
      </c>
      <c r="HE61" s="532"/>
      <c r="HF61" s="532">
        <v>0</v>
      </c>
      <c r="HG61" s="532">
        <v>0</v>
      </c>
      <c r="HH61" s="532">
        <v>0</v>
      </c>
      <c r="HI61" s="532">
        <v>0</v>
      </c>
      <c r="HJ61" s="532">
        <f>SUM(HF61:HI61)</f>
        <v>0</v>
      </c>
      <c r="HK61" s="532"/>
      <c r="HL61" s="532"/>
      <c r="HM61" s="532"/>
      <c r="HN61" s="532"/>
      <c r="HO61" s="532"/>
      <c r="HP61" s="532"/>
      <c r="HQ61" s="532"/>
    </row>
    <row r="62" spans="1:225" s="531" customFormat="1">
      <c r="A62" s="29" t="s">
        <v>98</v>
      </c>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475"/>
      <c r="BT62" s="475"/>
      <c r="BU62" s="29"/>
      <c r="BV62" s="29"/>
      <c r="BW62" s="29"/>
      <c r="BX62" s="29"/>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29"/>
      <c r="DG62" s="29"/>
      <c r="DH62" s="344">
        <f>SUM(DH50,DH56:DH61)</f>
        <v>-7.2490000000000006</v>
      </c>
      <c r="DI62" s="344">
        <f>SUM(DI50,DI56:DI61)</f>
        <v>-8.1239999999999934</v>
      </c>
      <c r="DJ62" s="344">
        <f>SUM(DJ50,DJ56:DJ61)</f>
        <v>102.785</v>
      </c>
      <c r="DK62" s="344">
        <f>SUM(DK50,DK56:DK61)</f>
        <v>4.547000000000013</v>
      </c>
      <c r="DL62" s="344">
        <f>SUM(DL50,DL56:DL61)</f>
        <v>91.959000000000003</v>
      </c>
      <c r="DM62" s="344"/>
      <c r="DN62" s="344">
        <f>SUM(DN50,DN56:DN61)</f>
        <v>0.48300000000000032</v>
      </c>
      <c r="DO62" s="344">
        <f>SUM(DO50,DO56:DO61)</f>
        <v>162.00399999999999</v>
      </c>
      <c r="DP62" s="344">
        <f>SUM(DP50,DP56:DP61)</f>
        <v>0.13700000000000001</v>
      </c>
      <c r="DQ62" s="344">
        <f>SUM(DQ50,DQ56:DQ61)</f>
        <v>-3.1579999999999995</v>
      </c>
      <c r="DR62" s="344">
        <f>SUM(DR50,DR56:DR61)</f>
        <v>159.46600000000001</v>
      </c>
      <c r="DS62" s="344"/>
      <c r="DT62" s="344">
        <f>SUM(DT50,DT56:DT61)</f>
        <v>0.61699999999999977</v>
      </c>
      <c r="DU62" s="344">
        <f>SUM(DU50,DU56:DU61)</f>
        <v>222.59999999999997</v>
      </c>
      <c r="DV62" s="344">
        <f>SUM(DV50,DV56:DV61)</f>
        <v>4.1150000000000118</v>
      </c>
      <c r="DW62" s="344">
        <f>SUM(DW50,DW56:DW61)</f>
        <v>8.2650000000000006</v>
      </c>
      <c r="DX62" s="344">
        <f>SUM(DX50,DX56:DX61)</f>
        <v>235.59699999999998</v>
      </c>
      <c r="DY62" s="344"/>
      <c r="DZ62" s="344">
        <f>SUM(DZ50,DZ56:DZ61)</f>
        <v>524.93499999999995</v>
      </c>
      <c r="EA62" s="344">
        <f>SUM(EA50,EA56:EA61)</f>
        <v>204.61000000000004</v>
      </c>
      <c r="EB62" s="344">
        <f>SUM(EB50,EB56:EB61)</f>
        <v>-6.7200000000000433</v>
      </c>
      <c r="EC62" s="344">
        <f>SUM(EC50,EC56:EC61)</f>
        <v>2.4600000000000004</v>
      </c>
      <c r="ED62" s="344">
        <f>SUM(ED50,ED56:ED61)</f>
        <v>725.28499999999997</v>
      </c>
      <c r="EE62" s="344"/>
      <c r="EF62" s="344">
        <f>SUM(EF50,EF56:EF61)</f>
        <v>6.0569999999999995</v>
      </c>
      <c r="EG62" s="344">
        <f>SUM(EG50,EG56:EG61)</f>
        <v>1.0110000000000008</v>
      </c>
      <c r="EH62" s="344">
        <f>SUM(EH50,EH56:EH61)</f>
        <v>2.9590000000000001</v>
      </c>
      <c r="EI62" s="344">
        <f>SUM(EI50,EI56:EI61)</f>
        <v>1.8019999999999992</v>
      </c>
      <c r="EJ62" s="344">
        <f>SUM(EJ50,EJ56:EJ61)</f>
        <v>11.829000000000001</v>
      </c>
      <c r="EK62" s="344"/>
      <c r="EL62" s="344">
        <f>SUM(EL50,EL56:EL61)</f>
        <v>1.379</v>
      </c>
      <c r="EM62" s="344">
        <f>SUM(EM50,EM56:EM61)</f>
        <v>6.3999999999999974E-2</v>
      </c>
      <c r="EN62" s="344">
        <f>SUM(EN50,EN56:EN61)</f>
        <v>1.8410000000000002</v>
      </c>
      <c r="EO62" s="344">
        <f>SUM(EO50,EO56:EO61)</f>
        <v>1.2699999999999996</v>
      </c>
      <c r="EP62" s="344">
        <f>SUM(EP50,EP56:EP61)</f>
        <v>4.5539999999999994</v>
      </c>
      <c r="EQ62" s="344"/>
      <c r="ER62" s="344">
        <f>SUM(ER50,ER56:ER61)</f>
        <v>0.81599999999999995</v>
      </c>
      <c r="ES62" s="344">
        <f>SUM(ES50,ES56:ES61)</f>
        <v>1.9660000000000002</v>
      </c>
      <c r="ET62" s="344">
        <f>SUM(ET50,ET56:ET61)</f>
        <v>1.177</v>
      </c>
      <c r="EU62" s="344">
        <f>SUM(EU50,EU56:EU61)</f>
        <v>0.68699999999999983</v>
      </c>
      <c r="EV62" s="344">
        <f>SUM(EV50,EV56:EV61)</f>
        <v>4.6459999999999999</v>
      </c>
      <c r="EW62" s="344"/>
      <c r="EX62" s="344">
        <f>SUM(EX50,EX56:EX61)</f>
        <v>0.94899999999999995</v>
      </c>
      <c r="EY62" s="344">
        <f>SUM(EY50,EY56:EY61)</f>
        <v>-202.43299999999999</v>
      </c>
      <c r="EZ62" s="344">
        <f>SUM(EZ50,EZ56:EZ61)</f>
        <v>0.76500000000000001</v>
      </c>
      <c r="FA62" s="559">
        <f>SUM(FA50,FA56:FA61)</f>
        <v>9.4599999999957163E-2</v>
      </c>
      <c r="FB62" s="344">
        <f>SUM(FB50,FB56:FB61)</f>
        <v>-200.62440000000004</v>
      </c>
      <c r="FC62" s="344"/>
      <c r="FD62" s="559">
        <f>SUM(FD50,FD56:FD61)</f>
        <v>0.30889999999999418</v>
      </c>
      <c r="FE62" s="344">
        <f>SUM(FE50,FE56:FE61)</f>
        <v>0.30890000000005102</v>
      </c>
      <c r="FF62" s="344">
        <f>SUM(FF50,FF56:FF61)</f>
        <v>0.30889999999999418</v>
      </c>
      <c r="FG62" s="344">
        <f>SUM(FG50,FG56:FG61)</f>
        <v>0.30889999999999418</v>
      </c>
      <c r="FH62" s="344">
        <f>SUM(FH50,FH56:FH61)</f>
        <v>1.2356000000000336</v>
      </c>
      <c r="FI62" s="344"/>
      <c r="FJ62" s="344">
        <f>SUM(FJ50,FJ56:FJ61)</f>
        <v>0.30889999999999418</v>
      </c>
      <c r="FK62" s="344">
        <f>SUM(FK50,FK56:FK61)</f>
        <v>0.30889999999999418</v>
      </c>
      <c r="FL62" s="344">
        <f>SUM(FL50,FL56:FL61)</f>
        <v>0.30889999999999418</v>
      </c>
      <c r="FM62" s="344">
        <f>SUM(FM50,FM56:FM61)</f>
        <v>345.30889999999999</v>
      </c>
      <c r="FN62" s="344">
        <f>SUM(FN50,FN56:FN61)</f>
        <v>346.23559999999998</v>
      </c>
      <c r="FO62" s="344"/>
      <c r="FP62" s="344">
        <f>SUM(FP50,FP56:FP61)</f>
        <v>0.30889999999999418</v>
      </c>
      <c r="FQ62" s="344">
        <f>SUM(FQ50,FQ56:FQ61)</f>
        <v>0.30889999999999418</v>
      </c>
      <c r="FR62" s="344">
        <f>SUM(FR50,FR56:FR61)</f>
        <v>0.30889999999999418</v>
      </c>
      <c r="FS62" s="344">
        <f>SUM(FS50,FS56:FS61)</f>
        <v>-344.96849999999995</v>
      </c>
      <c r="FT62" s="344">
        <f>SUM(FT50,FT56:FT61)</f>
        <v>-344.04179999999997</v>
      </c>
      <c r="FU62" s="344"/>
      <c r="FV62" s="344">
        <f>SUM(FV50,FV56:FV61)</f>
        <v>0</v>
      </c>
      <c r="FW62" s="344">
        <f>SUM(FW50,FW56:FW61)</f>
        <v>0</v>
      </c>
      <c r="FX62" s="344">
        <f>SUM(FX50,FX56:FX61)</f>
        <v>0</v>
      </c>
      <c r="FY62" s="344">
        <f>SUM(FY50,FY56:FY61)</f>
        <v>0</v>
      </c>
      <c r="FZ62" s="344">
        <f>SUM(FZ50,FZ56:FZ61)</f>
        <v>0</v>
      </c>
      <c r="GA62" s="344"/>
      <c r="GB62" s="344">
        <f>SUM(GB50,GB56:GB61)</f>
        <v>0</v>
      </c>
      <c r="GC62" s="344">
        <f>SUM(GC50,GC56:GC61)</f>
        <v>0</v>
      </c>
      <c r="GD62" s="344">
        <f>SUM(GD50,GD56:GD61)</f>
        <v>0</v>
      </c>
      <c r="GE62" s="344">
        <f>SUM(GE50,GE56:GE61)</f>
        <v>0</v>
      </c>
      <c r="GF62" s="344">
        <f>SUM(GF50,GF56:GF61)</f>
        <v>0</v>
      </c>
      <c r="GG62" s="344"/>
      <c r="GH62" s="344">
        <f>SUM(GH50,GH56:GH61)</f>
        <v>0</v>
      </c>
      <c r="GI62" s="344">
        <f>SUM(GI50,GI56:GI61)</f>
        <v>0</v>
      </c>
      <c r="GJ62" s="344">
        <f>SUM(GJ50,GJ56:GJ61)</f>
        <v>0</v>
      </c>
      <c r="GK62" s="344">
        <f>SUM(GK50,GK56:GK61)</f>
        <v>-345</v>
      </c>
      <c r="GL62" s="344">
        <f>SUM(GL50,GL56:GL61)</f>
        <v>-345</v>
      </c>
      <c r="GM62" s="344"/>
      <c r="GN62" s="344">
        <f>SUM(GN50,GN56:GN61)</f>
        <v>0</v>
      </c>
      <c r="GO62" s="344">
        <f>SUM(GO50,GO56:GO61)</f>
        <v>0</v>
      </c>
      <c r="GP62" s="344">
        <f>SUM(GP50,GP56:GP61)</f>
        <v>0</v>
      </c>
      <c r="GQ62" s="344">
        <f>SUM(GQ50,GQ56:GQ61)</f>
        <v>0</v>
      </c>
      <c r="GR62" s="344">
        <f>SUM(GR50,GR56:GR61)</f>
        <v>0</v>
      </c>
      <c r="GS62" s="344"/>
      <c r="GT62" s="344">
        <f>SUM(GT50,GT56:GT61)</f>
        <v>0</v>
      </c>
      <c r="GU62" s="344">
        <f>SUM(GU50,GU56:GU61)</f>
        <v>0</v>
      </c>
      <c r="GV62" s="344">
        <f>SUM(GV50,GV56:GV61)</f>
        <v>0</v>
      </c>
      <c r="GW62" s="344">
        <f>SUM(GW50,GW56:GW61)</f>
        <v>0</v>
      </c>
      <c r="GX62" s="344">
        <f>SUM(GX50,GX56:GX61)</f>
        <v>0</v>
      </c>
      <c r="GY62" s="344"/>
      <c r="GZ62" s="344">
        <f>SUM(GZ50,GZ56:GZ61)</f>
        <v>0</v>
      </c>
      <c r="HA62" s="344">
        <f>SUM(HA50,HA56:HA61)</f>
        <v>0</v>
      </c>
      <c r="HB62" s="344">
        <f>SUM(HB50,HB56:HB61)</f>
        <v>0</v>
      </c>
      <c r="HC62" s="344">
        <f>SUM(HC50,HC56:HC61)</f>
        <v>0</v>
      </c>
      <c r="HD62" s="344">
        <f>SUM(HD50,HD56:HD61)</f>
        <v>0</v>
      </c>
      <c r="HE62" s="344"/>
      <c r="HF62" s="344">
        <f>SUM(HF50,HF56:HF61)</f>
        <v>0</v>
      </c>
      <c r="HG62" s="344">
        <f>SUM(HG50,HG56:HG61)</f>
        <v>0</v>
      </c>
      <c r="HH62" s="344">
        <f>SUM(HH50,HH56:HH61)</f>
        <v>0</v>
      </c>
      <c r="HI62" s="344">
        <f>SUM(HI50,HI56:HI61)</f>
        <v>0</v>
      </c>
      <c r="HJ62" s="344">
        <f>SUM(HJ50,HJ56:HJ61)</f>
        <v>0</v>
      </c>
      <c r="HK62" s="344"/>
      <c r="HL62" s="344"/>
      <c r="HM62" s="344"/>
      <c r="HN62" s="344"/>
      <c r="HO62" s="344"/>
      <c r="HP62" s="344"/>
      <c r="HQ62" s="344"/>
    </row>
    <row r="63" spans="1:2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477"/>
      <c r="BT63" s="477"/>
      <c r="BU63" s="477"/>
      <c r="BV63" s="30"/>
      <c r="BW63" s="30"/>
      <c r="BX63" s="30"/>
      <c r="BY63" s="107"/>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107"/>
      <c r="DD63" s="30"/>
      <c r="DE63" s="30"/>
      <c r="DF63" s="30"/>
      <c r="DG63" s="30"/>
      <c r="DH63" s="485"/>
      <c r="DI63" s="485"/>
      <c r="DJ63" s="485"/>
      <c r="DK63" s="485"/>
      <c r="DL63" s="485"/>
      <c r="DM63" s="485"/>
      <c r="DN63" s="485"/>
      <c r="DO63" s="485"/>
      <c r="DP63" s="485"/>
      <c r="DQ63" s="485"/>
      <c r="DR63" s="485"/>
      <c r="DS63" s="485"/>
      <c r="DT63" s="485"/>
      <c r="DU63" s="485"/>
      <c r="DV63" s="485"/>
      <c r="DW63" s="485"/>
      <c r="DX63" s="485"/>
      <c r="DY63" s="485"/>
      <c r="DZ63" s="485"/>
      <c r="EA63" s="485"/>
      <c r="EB63" s="485"/>
      <c r="EC63" s="485"/>
      <c r="ED63" s="485"/>
      <c r="EE63" s="485"/>
      <c r="EF63" s="485"/>
      <c r="EG63" s="485"/>
      <c r="EH63" s="485"/>
      <c r="EI63" s="485"/>
      <c r="EJ63" s="485"/>
      <c r="EK63" s="485"/>
      <c r="EL63" s="485"/>
      <c r="EM63" s="485"/>
      <c r="EN63" s="485"/>
      <c r="EO63" s="485"/>
      <c r="EP63" s="485"/>
      <c r="EQ63" s="485"/>
      <c r="ER63" s="485"/>
      <c r="ES63" s="485"/>
      <c r="ET63" s="485"/>
      <c r="EU63" s="485"/>
      <c r="EV63" s="485"/>
      <c r="EW63" s="485"/>
      <c r="EX63" s="485"/>
      <c r="EY63" s="485"/>
      <c r="EZ63" s="485"/>
      <c r="FA63" s="557"/>
      <c r="FB63" s="485"/>
      <c r="FC63" s="485"/>
      <c r="FD63" s="557"/>
      <c r="FE63" s="485"/>
      <c r="FF63" s="485"/>
      <c r="FG63" s="485"/>
      <c r="FH63" s="485"/>
      <c r="FI63" s="485"/>
      <c r="FJ63" s="485"/>
      <c r="FK63" s="485"/>
      <c r="FL63" s="485"/>
      <c r="FM63" s="485"/>
      <c r="FN63" s="485"/>
      <c r="FO63" s="485"/>
      <c r="FP63" s="485"/>
      <c r="FQ63" s="485"/>
      <c r="FR63" s="485"/>
      <c r="FS63" s="485"/>
      <c r="FT63" s="485"/>
      <c r="FU63" s="485"/>
      <c r="FV63" s="485"/>
      <c r="FW63" s="485"/>
      <c r="FX63" s="485"/>
      <c r="FY63" s="485"/>
      <c r="FZ63" s="485"/>
      <c r="GA63" s="485"/>
      <c r="GB63" s="485"/>
      <c r="GC63" s="485"/>
      <c r="GD63" s="485"/>
      <c r="GE63" s="485"/>
      <c r="GF63" s="485"/>
      <c r="GG63" s="485"/>
      <c r="GH63" s="485"/>
      <c r="GI63" s="485"/>
      <c r="GJ63" s="485"/>
      <c r="GK63" s="485"/>
      <c r="GL63" s="485"/>
      <c r="GM63" s="485"/>
      <c r="GN63" s="485"/>
      <c r="GO63" s="485"/>
      <c r="GP63" s="485"/>
      <c r="GQ63" s="485"/>
      <c r="GR63" s="485"/>
      <c r="GS63" s="485"/>
      <c r="GT63" s="485"/>
      <c r="GU63" s="485"/>
      <c r="GV63" s="485"/>
      <c r="GW63" s="485"/>
      <c r="GX63" s="485"/>
      <c r="GY63" s="485"/>
      <c r="GZ63" s="485"/>
      <c r="HA63" s="485"/>
      <c r="HB63" s="485"/>
      <c r="HC63" s="485"/>
      <c r="HD63" s="485"/>
      <c r="HE63" s="485"/>
      <c r="HF63" s="485"/>
      <c r="HG63" s="485"/>
      <c r="HH63" s="485"/>
      <c r="HI63" s="485"/>
      <c r="HJ63" s="485"/>
      <c r="HK63" s="485"/>
      <c r="HL63" s="485"/>
      <c r="HM63" s="485"/>
      <c r="HN63" s="485"/>
      <c r="HO63" s="485"/>
      <c r="HP63" s="485"/>
      <c r="HQ63" s="485"/>
    </row>
    <row r="64" spans="1:225" s="531" customFormat="1">
      <c r="A64" s="29" t="s">
        <v>99</v>
      </c>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475"/>
      <c r="BT64" s="475"/>
      <c r="BU64" s="475"/>
      <c r="BV64" s="29"/>
      <c r="BW64" s="29"/>
      <c r="BX64" s="475"/>
      <c r="BY64" s="29"/>
      <c r="BZ64" s="29"/>
      <c r="CA64" s="29"/>
      <c r="CB64" s="29"/>
      <c r="CC64" s="29"/>
      <c r="CD64" s="475"/>
      <c r="CE64" s="29"/>
      <c r="CF64" s="29"/>
      <c r="CG64" s="29"/>
      <c r="CH64" s="29"/>
      <c r="CI64" s="29"/>
      <c r="CJ64" s="475"/>
      <c r="CK64" s="29"/>
      <c r="CL64" s="29"/>
      <c r="CM64" s="29"/>
      <c r="CN64" s="29"/>
      <c r="CO64" s="29"/>
      <c r="CP64" s="29"/>
      <c r="CQ64" s="29"/>
      <c r="CR64" s="29"/>
      <c r="CS64" s="29"/>
      <c r="CT64" s="29"/>
      <c r="CU64" s="29"/>
      <c r="CV64" s="29"/>
      <c r="CW64" s="29"/>
      <c r="CX64" s="29"/>
      <c r="CY64" s="29"/>
      <c r="CZ64" s="29"/>
      <c r="DA64" s="29"/>
      <c r="DB64" s="29"/>
      <c r="DC64" s="29"/>
      <c r="DD64" s="29"/>
      <c r="DE64" s="29"/>
      <c r="DF64" s="29"/>
      <c r="DG64" s="29"/>
      <c r="DH64" s="344">
        <f>DH36+DH47+DH62</f>
        <v>2.3969999999999967</v>
      </c>
      <c r="DI64" s="344">
        <f>DI36+DI47+DI62</f>
        <v>-5.7609999999999921</v>
      </c>
      <c r="DJ64" s="344">
        <f>DJ36+DJ47+DJ62</f>
        <v>109.018</v>
      </c>
      <c r="DK64" s="344">
        <f>DK36+DK47+DK62</f>
        <v>-108.59599999999999</v>
      </c>
      <c r="DL64" s="344">
        <f>DL36+DL47+DL62</f>
        <v>-2.9419999999999789</v>
      </c>
      <c r="DM64" s="344"/>
      <c r="DN64" s="344">
        <f>DN36+DN47+DN62</f>
        <v>3.3840000000000012</v>
      </c>
      <c r="DO64" s="344">
        <f>DO36+DO47+DO62</f>
        <v>154.24099999999999</v>
      </c>
      <c r="DP64" s="344">
        <f>DP36+DP47+DP62</f>
        <v>11.455000000000002</v>
      </c>
      <c r="DQ64" s="344">
        <f>DQ36+DQ47+DQ62</f>
        <v>-5.8749999999999982</v>
      </c>
      <c r="DR64" s="344">
        <f>DR36+DR47+DR62</f>
        <v>163.20500000000001</v>
      </c>
      <c r="DS64" s="344"/>
      <c r="DT64" s="344">
        <f>DT36+DT47+DT62</f>
        <v>-48.024000000000001</v>
      </c>
      <c r="DU64" s="344">
        <f>DU36+DU47+DU62</f>
        <v>206.31899999999996</v>
      </c>
      <c r="DV64" s="344">
        <f>DV36+DV47+DV62</f>
        <v>-66.075000000000003</v>
      </c>
      <c r="DW64" s="344">
        <f>DW36+DW47+DW62</f>
        <v>-14.597999999999999</v>
      </c>
      <c r="DX64" s="344">
        <f>DX36+DX47+DX62</f>
        <v>77.621999999999986</v>
      </c>
      <c r="DY64" s="344"/>
      <c r="DZ64" s="344">
        <f>DZ36+DZ47+DZ62</f>
        <v>372.45699999999999</v>
      </c>
      <c r="EA64" s="344">
        <f>EA36+EA47+EA62</f>
        <v>-250.18999999999991</v>
      </c>
      <c r="EB64" s="344">
        <f>EB36+EB47+EB62</f>
        <v>-29.173000000000052</v>
      </c>
      <c r="EC64" s="344">
        <f>EC36+EC47+EC62</f>
        <v>-26.89899999999998</v>
      </c>
      <c r="ED64" s="344">
        <f>ED36+ED47+ED62</f>
        <v>66.194999999999936</v>
      </c>
      <c r="EE64" s="344"/>
      <c r="EF64" s="344">
        <f>EF36+EF47+EF62</f>
        <v>-10.931000000000001</v>
      </c>
      <c r="EG64" s="344">
        <f>EG36+EG47+EG62</f>
        <v>-22.258999999999997</v>
      </c>
      <c r="EH64" s="344">
        <f>EH36+EH47+EH62</f>
        <v>-17.51100000000001</v>
      </c>
      <c r="EI64" s="344">
        <f>EI36+EI47+EI62</f>
        <v>-2.9459999999999913</v>
      </c>
      <c r="EJ64" s="344">
        <f>EJ36+EJ47+EJ62</f>
        <v>-53.646999999999998</v>
      </c>
      <c r="EK64" s="344"/>
      <c r="EL64" s="344">
        <f>EL36+EL47+EL62</f>
        <v>12.428999999999997</v>
      </c>
      <c r="EM64" s="344">
        <f>EM36+EM47+EM62</f>
        <v>13.465000000000007</v>
      </c>
      <c r="EN64" s="344">
        <f>EN36+EN47+EN62</f>
        <v>17.164999999999999</v>
      </c>
      <c r="EO64" s="344">
        <f>EO36+EO47+EO62</f>
        <v>36.249000000000009</v>
      </c>
      <c r="EP64" s="344">
        <f>EP36+EP47+EP62</f>
        <v>79.308000000000007</v>
      </c>
      <c r="EQ64" s="344"/>
      <c r="ER64" s="344">
        <f>ER36+ER47+ER62</f>
        <v>-10.573999999999996</v>
      </c>
      <c r="ES64" s="344">
        <f>ES36+ES47+ES62</f>
        <v>23.200999999999997</v>
      </c>
      <c r="ET64" s="344">
        <f>ET36+ET47+ET62</f>
        <v>6.8770000000000042</v>
      </c>
      <c r="EU64" s="344">
        <f>EU36+EU47+EU62</f>
        <v>5.0199999999999907</v>
      </c>
      <c r="EV64" s="344">
        <f>EV36+EV47+EV62</f>
        <v>24.523999999999987</v>
      </c>
      <c r="EW64" s="344"/>
      <c r="EX64" s="344">
        <f>EX36+EX47+EX62</f>
        <v>-20.817999999999994</v>
      </c>
      <c r="EY64" s="344">
        <f>EY36+EY47+EY62</f>
        <v>-191.41699999999997</v>
      </c>
      <c r="EZ64" s="344">
        <f>EZ36+EZ47+EZ62</f>
        <v>9.3719999999999928</v>
      </c>
      <c r="FA64" s="559">
        <f>FA36+FA47+FA62</f>
        <v>6.3255530719978239</v>
      </c>
      <c r="FB64" s="344">
        <f>FB36+FB47+FB62</f>
        <v>-196.53744692800217</v>
      </c>
      <c r="FC64" s="344"/>
      <c r="FD64" s="559">
        <f>FD36+FD47+FD62</f>
        <v>1.093032663875702</v>
      </c>
      <c r="FE64" s="344">
        <f>FE36+FE47+FE62</f>
        <v>-0.22403042320553368</v>
      </c>
      <c r="FF64" s="344">
        <f>FF36+FF47+FF62</f>
        <v>5.2030121997258281</v>
      </c>
      <c r="FG64" s="344">
        <f>FG36+FG47+FG62</f>
        <v>8.3388070727233519</v>
      </c>
      <c r="FH64" s="344">
        <f>FH36+FH47+FH62</f>
        <v>14.410821513119352</v>
      </c>
      <c r="FI64" s="344"/>
      <c r="FJ64" s="344">
        <f>FJ36+FJ47+FJ62</f>
        <v>14.187246666766159</v>
      </c>
      <c r="FK64" s="344">
        <f>FK36+FK47+FK62</f>
        <v>6.2474406840820063</v>
      </c>
      <c r="FL64" s="344">
        <f>FL36+FL47+FL62</f>
        <v>6.9521914363175465</v>
      </c>
      <c r="FM64" s="344">
        <f>FM36+FM47+FM62</f>
        <v>350.84140865932795</v>
      </c>
      <c r="FN64" s="344">
        <f>FN36+FN47+FN62</f>
        <v>378.22828744649365</v>
      </c>
      <c r="FO64" s="344"/>
      <c r="FP64" s="344">
        <f>FP36+FP47+FP62</f>
        <v>17.778276736028573</v>
      </c>
      <c r="FQ64" s="344">
        <f>FQ36+FQ47+FQ62</f>
        <v>9.605111348853141</v>
      </c>
      <c r="FR64" s="344">
        <f>FR36+FR47+FR62</f>
        <v>10.690862124586848</v>
      </c>
      <c r="FS64" s="344">
        <f>FS36+FS47+FS62</f>
        <v>-333.41022628915988</v>
      </c>
      <c r="FT64" s="344">
        <f>FT36+FT47+FT62</f>
        <v>-295.33597607969131</v>
      </c>
      <c r="FU64" s="344"/>
      <c r="FV64" s="344">
        <f>FV36+FV47+FV62</f>
        <v>19.831822564662748</v>
      </c>
      <c r="FW64" s="344">
        <f>FW36+FW47+FW62</f>
        <v>9.9294534762011342</v>
      </c>
      <c r="FX64" s="344">
        <f>FX36+FX47+FX62</f>
        <v>11.208783333350649</v>
      </c>
      <c r="FY64" s="344">
        <f>FY36+FY47+FY62</f>
        <v>12.540006654193071</v>
      </c>
      <c r="FZ64" s="344">
        <f>FZ36+FZ47+FZ62</f>
        <v>53.510066028407593</v>
      </c>
      <c r="GA64" s="344"/>
      <c r="GB64" s="344">
        <f>GB36+GB47+GB62</f>
        <v>26.964875992206473</v>
      </c>
      <c r="GC64" s="344">
        <f>GC36+GC47+GC62</f>
        <v>16.232177862024514</v>
      </c>
      <c r="GD64" s="344">
        <f>GD36+GD47+GD62</f>
        <v>17.866282642451111</v>
      </c>
      <c r="GE64" s="344">
        <f>GE36+GE47+GE62</f>
        <v>19.452947090960969</v>
      </c>
      <c r="GF64" s="344">
        <f>GF36+GF47+GF62</f>
        <v>80.516283587643073</v>
      </c>
      <c r="GG64" s="344"/>
      <c r="GH64" s="344">
        <f>GH36+GH47+GH62</f>
        <v>34.42279912173683</v>
      </c>
      <c r="GI64" s="344">
        <f>GI36+GI47+GI62</f>
        <v>23.032338370278765</v>
      </c>
      <c r="GJ64" s="344">
        <f>GJ36+GJ47+GJ62</f>
        <v>25.103653031523894</v>
      </c>
      <c r="GK64" s="344">
        <f>GK36+GK47+GK62</f>
        <v>-316.26779498858701</v>
      </c>
      <c r="GL64" s="344">
        <f>GL36+GL47+GL62</f>
        <v>-233.70900446504754</v>
      </c>
      <c r="GM64" s="344"/>
      <c r="GN64" s="344">
        <f>GN36+GN47+GN62</f>
        <v>44.713670538358706</v>
      </c>
      <c r="GO64" s="344">
        <f>GO36+GO47+GO62</f>
        <v>32.736881710737663</v>
      </c>
      <c r="GP64" s="344">
        <f>GP36+GP47+GP62</f>
        <v>35.244681369142867</v>
      </c>
      <c r="GQ64" s="344">
        <f>GQ36+GQ47+GQ62</f>
        <v>37.452900726982975</v>
      </c>
      <c r="GR64" s="344">
        <f>GR36+GR47+GR62</f>
        <v>150.14813434522219</v>
      </c>
      <c r="GS64" s="344"/>
      <c r="GT64" s="344">
        <f>GT36+GT47+GT62</f>
        <v>53.278527459715605</v>
      </c>
      <c r="GU64" s="344">
        <f>GU36+GU47+GU62</f>
        <v>40.767080875463897</v>
      </c>
      <c r="GV64" s="344">
        <f>GV36+GV47+GV62</f>
        <v>43.760029198617744</v>
      </c>
      <c r="GW64" s="344">
        <f>GW36+GW47+GW62</f>
        <v>46.313603344431826</v>
      </c>
      <c r="GX64" s="344">
        <f>GX36+GX47+GX62</f>
        <v>184.11924087822905</v>
      </c>
      <c r="GY64" s="344"/>
      <c r="GZ64" s="344">
        <f>GZ36+GZ47+GZ62</f>
        <v>63.029442909483294</v>
      </c>
      <c r="HA64" s="344">
        <f>HA36+HA47+HA62</f>
        <v>50.04302844034342</v>
      </c>
      <c r="HB64" s="344">
        <f>HB36+HB47+HB62</f>
        <v>53.56365575863903</v>
      </c>
      <c r="HC64" s="344">
        <f>HC36+HC47+HC62</f>
        <v>56.485418896831391</v>
      </c>
      <c r="HD64" s="344">
        <f>HD36+HD47+HD62</f>
        <v>223.1215460052972</v>
      </c>
      <c r="HE64" s="344"/>
      <c r="HF64" s="344">
        <f>HF36+HF47+HF62</f>
        <v>73.655262295459494</v>
      </c>
      <c r="HG64" s="344">
        <f>HG36+HG47+HG62</f>
        <v>60.251012791023626</v>
      </c>
      <c r="HH64" s="344">
        <f>HH36+HH47+HH62</f>
        <v>64.328862957079224</v>
      </c>
      <c r="HI64" s="344">
        <f>HI36+HI47+HI62</f>
        <v>67.634096230449927</v>
      </c>
      <c r="HJ64" s="344">
        <f>HJ36+HJ47+HJ62</f>
        <v>265.86923427401229</v>
      </c>
      <c r="HK64" s="344"/>
      <c r="HL64" s="344"/>
      <c r="HM64" s="344"/>
      <c r="HN64" s="344"/>
      <c r="HO64" s="344"/>
      <c r="HP64" s="344"/>
      <c r="HQ64" s="344"/>
    </row>
    <row r="65" spans="1:225">
      <c r="A65" s="30"/>
      <c r="B65" s="30" t="s">
        <v>100</v>
      </c>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118"/>
      <c r="BT65" s="118"/>
      <c r="BU65" s="30"/>
      <c r="BV65" s="30"/>
      <c r="BW65" s="30"/>
      <c r="BX65" s="118"/>
      <c r="BY65" s="30"/>
      <c r="BZ65" s="30"/>
      <c r="CA65" s="30"/>
      <c r="CB65" s="30"/>
      <c r="CC65" s="30"/>
      <c r="CD65" s="118"/>
      <c r="CE65" s="30"/>
      <c r="CF65" s="30"/>
      <c r="CG65" s="30"/>
      <c r="CH65" s="30"/>
      <c r="CI65" s="30"/>
      <c r="CJ65" s="118"/>
      <c r="CK65" s="30"/>
      <c r="CL65" s="30"/>
      <c r="CM65" s="30"/>
      <c r="CN65" s="30"/>
      <c r="CO65" s="30"/>
      <c r="CP65" s="30"/>
      <c r="CQ65" s="478"/>
      <c r="CR65" s="30"/>
      <c r="CS65" s="30"/>
      <c r="CT65" s="30"/>
      <c r="CU65" s="30"/>
      <c r="CV65" s="30"/>
      <c r="CW65" s="30"/>
      <c r="CX65" s="478"/>
      <c r="CY65" s="30"/>
      <c r="CZ65" s="30"/>
      <c r="DA65" s="30"/>
      <c r="DB65" s="30"/>
      <c r="DC65" s="30"/>
      <c r="DD65" s="30"/>
      <c r="DE65" s="30"/>
      <c r="DF65" s="30"/>
      <c r="DG65" s="30"/>
      <c r="DH65" s="485">
        <f>-0.045</f>
        <v>-4.4999999999999998E-2</v>
      </c>
      <c r="DI65" s="485">
        <f>-0.022--0.045</f>
        <v>2.3E-2</v>
      </c>
      <c r="DJ65" s="485">
        <f>-0.035--0.022</f>
        <v>-1.3000000000000005E-2</v>
      </c>
      <c r="DK65" s="485">
        <f>-0.068--0.035</f>
        <v>-3.3000000000000002E-2</v>
      </c>
      <c r="DL65" s="485">
        <f>SUM(DH65:DK65)</f>
        <v>-6.8000000000000005E-2</v>
      </c>
      <c r="DM65" s="485"/>
      <c r="DN65" s="485">
        <f>0</f>
        <v>0</v>
      </c>
      <c r="DO65" s="485">
        <f>0-0</f>
        <v>0</v>
      </c>
      <c r="DP65" s="485">
        <f>0-0</f>
        <v>0</v>
      </c>
      <c r="DQ65" s="485">
        <f>0-0</f>
        <v>0</v>
      </c>
      <c r="DR65" s="485">
        <f>SUM(DN65:DQ65)</f>
        <v>0</v>
      </c>
      <c r="DS65" s="485"/>
      <c r="DT65" s="485">
        <f>0</f>
        <v>0</v>
      </c>
      <c r="DU65" s="485">
        <f>0-0</f>
        <v>0</v>
      </c>
      <c r="DV65" s="485">
        <f>0-0</f>
        <v>0</v>
      </c>
      <c r="DW65" s="485">
        <f>0-0</f>
        <v>0</v>
      </c>
      <c r="DX65" s="485">
        <f>SUM(DT65:DW65)</f>
        <v>0</v>
      </c>
      <c r="DY65" s="485"/>
      <c r="DZ65" s="485">
        <f>0</f>
        <v>0</v>
      </c>
      <c r="EA65" s="485">
        <f>0-0</f>
        <v>0</v>
      </c>
      <c r="EB65" s="485">
        <f>0-0</f>
        <v>0</v>
      </c>
      <c r="EC65" s="485">
        <f>0-0</f>
        <v>0</v>
      </c>
      <c r="ED65" s="485">
        <f>SUM(DZ65:EC65)</f>
        <v>0</v>
      </c>
      <c r="EE65" s="485"/>
      <c r="EF65" s="485">
        <f>0</f>
        <v>0</v>
      </c>
      <c r="EG65" s="485">
        <f>0-0</f>
        <v>0</v>
      </c>
      <c r="EH65" s="485">
        <f>0-0</f>
        <v>0</v>
      </c>
      <c r="EI65" s="485">
        <f>0-0</f>
        <v>0</v>
      </c>
      <c r="EJ65" s="485">
        <f>SUM(EF65:EI65)</f>
        <v>0</v>
      </c>
      <c r="EK65" s="485"/>
      <c r="EL65" s="485">
        <f>0</f>
        <v>0</v>
      </c>
      <c r="EM65" s="485">
        <f>0-0</f>
        <v>0</v>
      </c>
      <c r="EN65" s="485">
        <f>0-0</f>
        <v>0</v>
      </c>
      <c r="EO65" s="485">
        <f>0-0</f>
        <v>0</v>
      </c>
      <c r="EP65" s="485">
        <f>SUM(EL65:EO65)</f>
        <v>0</v>
      </c>
      <c r="EQ65" s="485"/>
      <c r="ER65" s="485">
        <v>0</v>
      </c>
      <c r="ES65" s="485">
        <v>0</v>
      </c>
      <c r="ET65" s="485">
        <v>0</v>
      </c>
      <c r="EU65" s="485">
        <v>0</v>
      </c>
      <c r="EV65" s="485">
        <f>SUM(ER65:EU65)</f>
        <v>0</v>
      </c>
      <c r="EW65" s="485"/>
      <c r="EX65" s="485">
        <v>0</v>
      </c>
      <c r="EY65" s="485">
        <v>0</v>
      </c>
      <c r="EZ65" s="485">
        <v>0</v>
      </c>
      <c r="FA65" s="557">
        <v>0</v>
      </c>
      <c r="FB65" s="485">
        <f>SUM(EX65:FA65)</f>
        <v>0</v>
      </c>
      <c r="FC65" s="485"/>
      <c r="FD65" s="557">
        <v>0</v>
      </c>
      <c r="FE65" s="485">
        <v>0</v>
      </c>
      <c r="FF65" s="485">
        <v>0</v>
      </c>
      <c r="FG65" s="485">
        <v>0</v>
      </c>
      <c r="FH65" s="485">
        <f>SUM(FD65:FG65)</f>
        <v>0</v>
      </c>
      <c r="FI65" s="485"/>
      <c r="FJ65" s="485">
        <v>0</v>
      </c>
      <c r="FK65" s="485">
        <v>0</v>
      </c>
      <c r="FL65" s="485">
        <v>0</v>
      </c>
      <c r="FM65" s="485">
        <v>0</v>
      </c>
      <c r="FN65" s="485">
        <f>SUM(FJ65:FM65)</f>
        <v>0</v>
      </c>
      <c r="FO65" s="485"/>
      <c r="FP65" s="485">
        <v>0</v>
      </c>
      <c r="FQ65" s="485">
        <v>0</v>
      </c>
      <c r="FR65" s="485">
        <v>0</v>
      </c>
      <c r="FS65" s="485">
        <v>0</v>
      </c>
      <c r="FT65" s="485">
        <f>SUM(FP65:FS65)</f>
        <v>0</v>
      </c>
      <c r="FU65" s="485"/>
      <c r="FV65" s="485">
        <v>0</v>
      </c>
      <c r="FW65" s="485">
        <v>0</v>
      </c>
      <c r="FX65" s="485">
        <v>0</v>
      </c>
      <c r="FY65" s="485">
        <v>0</v>
      </c>
      <c r="FZ65" s="485">
        <f>SUM(FV65:FY65)</f>
        <v>0</v>
      </c>
      <c r="GA65" s="485"/>
      <c r="GB65" s="485">
        <v>0</v>
      </c>
      <c r="GC65" s="485">
        <v>0</v>
      </c>
      <c r="GD65" s="485">
        <v>0</v>
      </c>
      <c r="GE65" s="485">
        <v>0</v>
      </c>
      <c r="GF65" s="485">
        <f>SUM(GB65:GE65)</f>
        <v>0</v>
      </c>
      <c r="GG65" s="485"/>
      <c r="GH65" s="485">
        <v>0</v>
      </c>
      <c r="GI65" s="485">
        <v>0</v>
      </c>
      <c r="GJ65" s="485">
        <v>0</v>
      </c>
      <c r="GK65" s="485">
        <v>0</v>
      </c>
      <c r="GL65" s="485">
        <f>SUM(GH65:GK65)</f>
        <v>0</v>
      </c>
      <c r="GM65" s="485"/>
      <c r="GN65" s="485">
        <v>0</v>
      </c>
      <c r="GO65" s="485">
        <v>0</v>
      </c>
      <c r="GP65" s="485">
        <v>0</v>
      </c>
      <c r="GQ65" s="485">
        <v>0</v>
      </c>
      <c r="GR65" s="485">
        <f>SUM(GN65:GQ65)</f>
        <v>0</v>
      </c>
      <c r="GS65" s="485"/>
      <c r="GT65" s="485">
        <v>0</v>
      </c>
      <c r="GU65" s="485">
        <v>0</v>
      </c>
      <c r="GV65" s="485">
        <v>0</v>
      </c>
      <c r="GW65" s="485">
        <v>0</v>
      </c>
      <c r="GX65" s="485">
        <f>SUM(GT65:GW65)</f>
        <v>0</v>
      </c>
      <c r="GY65" s="485"/>
      <c r="GZ65" s="485">
        <v>0</v>
      </c>
      <c r="HA65" s="485">
        <v>0</v>
      </c>
      <c r="HB65" s="485">
        <v>0</v>
      </c>
      <c r="HC65" s="485">
        <v>0</v>
      </c>
      <c r="HD65" s="485">
        <f>SUM(GZ65:HC65)</f>
        <v>0</v>
      </c>
      <c r="HE65" s="485"/>
      <c r="HF65" s="485">
        <v>0</v>
      </c>
      <c r="HG65" s="485">
        <v>0</v>
      </c>
      <c r="HH65" s="485">
        <v>0</v>
      </c>
      <c r="HI65" s="485">
        <v>0</v>
      </c>
      <c r="HJ65" s="485">
        <f>SUM(HF65:HI65)</f>
        <v>0</v>
      </c>
      <c r="HK65" s="485"/>
      <c r="HL65" s="485"/>
      <c r="HM65" s="485"/>
      <c r="HN65" s="485"/>
      <c r="HO65" s="485"/>
      <c r="HP65" s="485"/>
      <c r="HQ65" s="485"/>
    </row>
    <row r="66" spans="1:225">
      <c r="A66" s="30" t="s">
        <v>101</v>
      </c>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118"/>
      <c r="BT66" s="118"/>
      <c r="BU66" s="118"/>
      <c r="BV66" s="30"/>
      <c r="BW66" s="30"/>
      <c r="BX66" s="118"/>
      <c r="BY66" s="30"/>
      <c r="BZ66" s="30"/>
      <c r="CA66" s="30"/>
      <c r="CB66" s="30"/>
      <c r="CC66" s="30"/>
      <c r="CD66" s="118"/>
      <c r="CE66" s="30"/>
      <c r="CF66" s="30"/>
      <c r="CG66" s="30"/>
      <c r="CH66" s="30"/>
      <c r="CI66" s="30"/>
      <c r="CJ66" s="118"/>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485">
        <f>DH64+DH65</f>
        <v>2.3519999999999968</v>
      </c>
      <c r="DI66" s="485">
        <f>DI64+DI65</f>
        <v>-5.7379999999999924</v>
      </c>
      <c r="DJ66" s="485">
        <f>DJ64+DJ65</f>
        <v>109.005</v>
      </c>
      <c r="DK66" s="485">
        <f>DK64+DK65</f>
        <v>-108.62899999999999</v>
      </c>
      <c r="DL66" s="485">
        <f>DL64+DL65</f>
        <v>-3.0099999999999789</v>
      </c>
      <c r="DM66" s="485"/>
      <c r="DN66" s="485">
        <f>DN64+DN65</f>
        <v>3.3840000000000012</v>
      </c>
      <c r="DO66" s="485">
        <f>DO64+DO65</f>
        <v>154.24099999999999</v>
      </c>
      <c r="DP66" s="485">
        <f>DP64+DP65</f>
        <v>11.455000000000002</v>
      </c>
      <c r="DQ66" s="485">
        <f>DQ64+DQ65</f>
        <v>-5.8749999999999982</v>
      </c>
      <c r="DR66" s="485">
        <f>DR64+DR65</f>
        <v>163.20500000000001</v>
      </c>
      <c r="DS66" s="485"/>
      <c r="DT66" s="485">
        <f>DT64+DT65</f>
        <v>-48.024000000000001</v>
      </c>
      <c r="DU66" s="485">
        <f>DU64+DU65</f>
        <v>206.31899999999996</v>
      </c>
      <c r="DV66" s="485">
        <f>DV64+DV65</f>
        <v>-66.075000000000003</v>
      </c>
      <c r="DW66" s="485">
        <f>DW64+DW65</f>
        <v>-14.597999999999999</v>
      </c>
      <c r="DX66" s="485">
        <f>DX64+DX65</f>
        <v>77.621999999999986</v>
      </c>
      <c r="DY66" s="485"/>
      <c r="DZ66" s="485">
        <f>DZ64+DZ65</f>
        <v>372.45699999999999</v>
      </c>
      <c r="EA66" s="485">
        <f>EA64+EA65</f>
        <v>-250.18999999999991</v>
      </c>
      <c r="EB66" s="485">
        <f>EB64+EB65</f>
        <v>-29.173000000000052</v>
      </c>
      <c r="EC66" s="485">
        <f>EC64+EC65</f>
        <v>-26.89899999999998</v>
      </c>
      <c r="ED66" s="485">
        <f>ED64+ED65</f>
        <v>66.194999999999936</v>
      </c>
      <c r="EE66" s="485"/>
      <c r="EF66" s="485">
        <f>EF64+EF65</f>
        <v>-10.931000000000001</v>
      </c>
      <c r="EG66" s="485">
        <f>EG64+EG65</f>
        <v>-22.258999999999997</v>
      </c>
      <c r="EH66" s="485">
        <f>EH64+EH65</f>
        <v>-17.51100000000001</v>
      </c>
      <c r="EI66" s="485">
        <f>EI64+EI65</f>
        <v>-2.9459999999999913</v>
      </c>
      <c r="EJ66" s="485">
        <f>EJ64+EJ65</f>
        <v>-53.646999999999998</v>
      </c>
      <c r="EK66" s="485"/>
      <c r="EL66" s="485">
        <f>EL64+EL65</f>
        <v>12.428999999999997</v>
      </c>
      <c r="EM66" s="485">
        <f>EM64+EM65</f>
        <v>13.465000000000007</v>
      </c>
      <c r="EN66" s="485">
        <f>EN64+EN65</f>
        <v>17.164999999999999</v>
      </c>
      <c r="EO66" s="485">
        <f>EO64+EO65</f>
        <v>36.249000000000009</v>
      </c>
      <c r="EP66" s="485">
        <f>EP64+EP65</f>
        <v>79.308000000000007</v>
      </c>
      <c r="EQ66" s="485"/>
      <c r="ER66" s="485">
        <f>ER64+ER65</f>
        <v>-10.573999999999996</v>
      </c>
      <c r="ES66" s="485">
        <f>ES64+ES65</f>
        <v>23.200999999999997</v>
      </c>
      <c r="ET66" s="485">
        <f>ET64+ET65</f>
        <v>6.8770000000000042</v>
      </c>
      <c r="EU66" s="485">
        <f>EU64+EU65</f>
        <v>5.0199999999999907</v>
      </c>
      <c r="EV66" s="485">
        <f>EV64+EV65</f>
        <v>24.523999999999987</v>
      </c>
      <c r="EW66" s="485"/>
      <c r="EX66" s="485">
        <f>EX64+EX65</f>
        <v>-20.817999999999994</v>
      </c>
      <c r="EY66" s="485">
        <f>EY64+EY65</f>
        <v>-191.41699999999997</v>
      </c>
      <c r="EZ66" s="485">
        <f>EZ64+EZ65</f>
        <v>9.3719999999999928</v>
      </c>
      <c r="FA66" s="557">
        <f>FA64+FA65</f>
        <v>6.3255530719978239</v>
      </c>
      <c r="FB66" s="485">
        <f>FB64+FB65</f>
        <v>-196.53744692800217</v>
      </c>
      <c r="FC66" s="485"/>
      <c r="FD66" s="557">
        <f>FD64+FD65</f>
        <v>1.093032663875702</v>
      </c>
      <c r="FE66" s="485">
        <f>FE64+FE65</f>
        <v>-0.22403042320553368</v>
      </c>
      <c r="FF66" s="485">
        <f>FF64+FF65</f>
        <v>5.2030121997258281</v>
      </c>
      <c r="FG66" s="485">
        <f>FG64+FG65</f>
        <v>8.3388070727233519</v>
      </c>
      <c r="FH66" s="485">
        <f>FH64+FH65</f>
        <v>14.410821513119352</v>
      </c>
      <c r="FI66" s="485"/>
      <c r="FJ66" s="485">
        <f>FJ64+FJ65</f>
        <v>14.187246666766159</v>
      </c>
      <c r="FK66" s="485">
        <f>FK64+FK65</f>
        <v>6.2474406840820063</v>
      </c>
      <c r="FL66" s="485">
        <f>FL64+FL65</f>
        <v>6.9521914363175465</v>
      </c>
      <c r="FM66" s="485">
        <f>FM64+FM65</f>
        <v>350.84140865932795</v>
      </c>
      <c r="FN66" s="485">
        <f>FN64+FN65</f>
        <v>378.22828744649365</v>
      </c>
      <c r="FO66" s="485"/>
      <c r="FP66" s="485">
        <f>FP64+FP65</f>
        <v>17.778276736028573</v>
      </c>
      <c r="FQ66" s="485">
        <f>FQ64+FQ65</f>
        <v>9.605111348853141</v>
      </c>
      <c r="FR66" s="485">
        <f>FR64+FR65</f>
        <v>10.690862124586848</v>
      </c>
      <c r="FS66" s="485">
        <f>FS64+FS65</f>
        <v>-333.41022628915988</v>
      </c>
      <c r="FT66" s="485">
        <f>FT64+FT65</f>
        <v>-295.33597607969131</v>
      </c>
      <c r="FU66" s="485"/>
      <c r="FV66" s="485">
        <f>FV64+FV65</f>
        <v>19.831822564662748</v>
      </c>
      <c r="FW66" s="485">
        <f>FW64+FW65</f>
        <v>9.9294534762011342</v>
      </c>
      <c r="FX66" s="485">
        <f>FX64+FX65</f>
        <v>11.208783333350649</v>
      </c>
      <c r="FY66" s="485">
        <f>FY64+FY65</f>
        <v>12.540006654193071</v>
      </c>
      <c r="FZ66" s="485">
        <f>FZ64+FZ65</f>
        <v>53.510066028407593</v>
      </c>
      <c r="GA66" s="485"/>
      <c r="GB66" s="485">
        <f>GB64+GB65</f>
        <v>26.964875992206473</v>
      </c>
      <c r="GC66" s="485">
        <f>GC64+GC65</f>
        <v>16.232177862024514</v>
      </c>
      <c r="GD66" s="485">
        <f>GD64+GD65</f>
        <v>17.866282642451111</v>
      </c>
      <c r="GE66" s="485">
        <f>GE64+GE65</f>
        <v>19.452947090960969</v>
      </c>
      <c r="GF66" s="485">
        <f>GF64+GF65</f>
        <v>80.516283587643073</v>
      </c>
      <c r="GG66" s="485"/>
      <c r="GH66" s="485">
        <f>GH64+GH65</f>
        <v>34.42279912173683</v>
      </c>
      <c r="GI66" s="485">
        <f>GI64+GI65</f>
        <v>23.032338370278765</v>
      </c>
      <c r="GJ66" s="485">
        <f>GJ64+GJ65</f>
        <v>25.103653031523894</v>
      </c>
      <c r="GK66" s="485">
        <f>GK64+GK65</f>
        <v>-316.26779498858701</v>
      </c>
      <c r="GL66" s="485">
        <f>GL64+GL65</f>
        <v>-233.70900446504754</v>
      </c>
      <c r="GM66" s="485"/>
      <c r="GN66" s="485">
        <f>GN64+GN65</f>
        <v>44.713670538358706</v>
      </c>
      <c r="GO66" s="485">
        <f>GO64+GO65</f>
        <v>32.736881710737663</v>
      </c>
      <c r="GP66" s="485">
        <f>GP64+GP65</f>
        <v>35.244681369142867</v>
      </c>
      <c r="GQ66" s="485">
        <f>GQ64+GQ65</f>
        <v>37.452900726982975</v>
      </c>
      <c r="GR66" s="485">
        <f>GR64+GR65</f>
        <v>150.14813434522219</v>
      </c>
      <c r="GS66" s="485"/>
      <c r="GT66" s="485">
        <f>GT64+GT65</f>
        <v>53.278527459715605</v>
      </c>
      <c r="GU66" s="485">
        <f>GU64+GU65</f>
        <v>40.767080875463897</v>
      </c>
      <c r="GV66" s="485">
        <f>GV64+GV65</f>
        <v>43.760029198617744</v>
      </c>
      <c r="GW66" s="485">
        <f>GW64+GW65</f>
        <v>46.313603344431826</v>
      </c>
      <c r="GX66" s="485">
        <f>GX64+GX65</f>
        <v>184.11924087822905</v>
      </c>
      <c r="GY66" s="485"/>
      <c r="GZ66" s="485">
        <f>GZ64+GZ65</f>
        <v>63.029442909483294</v>
      </c>
      <c r="HA66" s="485">
        <f>HA64+HA65</f>
        <v>50.04302844034342</v>
      </c>
      <c r="HB66" s="485">
        <f>HB64+HB65</f>
        <v>53.56365575863903</v>
      </c>
      <c r="HC66" s="485">
        <f>HC64+HC65</f>
        <v>56.485418896831391</v>
      </c>
      <c r="HD66" s="485">
        <f>HD64+HD65</f>
        <v>223.1215460052972</v>
      </c>
      <c r="HE66" s="485"/>
      <c r="HF66" s="485">
        <f>HF64+HF65</f>
        <v>73.655262295459494</v>
      </c>
      <c r="HG66" s="485">
        <f>HG64+HG65</f>
        <v>60.251012791023626</v>
      </c>
      <c r="HH66" s="485">
        <f>HH64+HH65</f>
        <v>64.328862957079224</v>
      </c>
      <c r="HI66" s="485">
        <f>HI64+HI65</f>
        <v>67.634096230449927</v>
      </c>
      <c r="HJ66" s="485">
        <f>HJ64+HJ65</f>
        <v>265.86923427401229</v>
      </c>
      <c r="HK66" s="485"/>
      <c r="HL66" s="485"/>
      <c r="HM66" s="485"/>
      <c r="HN66" s="485"/>
      <c r="HO66" s="485"/>
      <c r="HP66" s="485"/>
      <c r="HQ66" s="485"/>
    </row>
    <row r="67" spans="1:2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118"/>
      <c r="BT67" s="477"/>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485"/>
      <c r="DI67" s="485"/>
      <c r="DJ67" s="485"/>
      <c r="DK67" s="485"/>
      <c r="DL67" s="485"/>
      <c r="DM67" s="485"/>
      <c r="DN67" s="485"/>
      <c r="DO67" s="485"/>
      <c r="DP67" s="485"/>
      <c r="DQ67" s="485"/>
      <c r="DR67" s="485"/>
      <c r="DS67" s="485"/>
      <c r="DT67" s="485"/>
      <c r="DU67" s="485"/>
      <c r="DV67" s="485"/>
      <c r="DW67" s="485"/>
      <c r="DX67" s="485"/>
      <c r="DY67" s="485"/>
      <c r="DZ67" s="485"/>
      <c r="EA67" s="485"/>
      <c r="EB67" s="485"/>
      <c r="EC67" s="485"/>
      <c r="ED67" s="485"/>
      <c r="EE67" s="485"/>
      <c r="EF67" s="485"/>
      <c r="EG67" s="485"/>
      <c r="EH67" s="485"/>
      <c r="EI67" s="485"/>
      <c r="EJ67" s="485"/>
      <c r="EK67" s="485"/>
      <c r="EL67" s="485"/>
      <c r="EM67" s="485"/>
      <c r="EN67" s="485"/>
      <c r="EO67" s="485"/>
      <c r="EP67" s="485"/>
      <c r="EQ67" s="485"/>
      <c r="ER67" s="485"/>
      <c r="ES67" s="485"/>
      <c r="ET67" s="485"/>
      <c r="EU67" s="485"/>
      <c r="EV67" s="485"/>
      <c r="EW67" s="485"/>
      <c r="EX67" s="485"/>
      <c r="EY67" s="485"/>
      <c r="EZ67" s="485"/>
      <c r="FA67" s="557"/>
      <c r="FB67" s="485"/>
      <c r="FC67" s="485"/>
      <c r="FD67" s="557"/>
      <c r="FE67" s="485"/>
      <c r="FF67" s="485"/>
      <c r="FG67" s="485"/>
      <c r="FH67" s="485"/>
      <c r="FI67" s="485"/>
      <c r="FJ67" s="485"/>
      <c r="FK67" s="485"/>
      <c r="FL67" s="485"/>
      <c r="FM67" s="485"/>
      <c r="FN67" s="485"/>
      <c r="FO67" s="485"/>
      <c r="FP67" s="485"/>
      <c r="FQ67" s="485"/>
      <c r="FR67" s="485"/>
      <c r="FS67" s="485"/>
      <c r="FT67" s="485"/>
      <c r="FU67" s="485"/>
      <c r="FV67" s="485"/>
      <c r="FW67" s="485"/>
      <c r="FX67" s="485"/>
      <c r="FY67" s="485"/>
      <c r="FZ67" s="485"/>
      <c r="GA67" s="485"/>
      <c r="GB67" s="485"/>
      <c r="GC67" s="485"/>
      <c r="GD67" s="485"/>
      <c r="GE67" s="485"/>
      <c r="GF67" s="485"/>
      <c r="GG67" s="485"/>
      <c r="GH67" s="485"/>
      <c r="GI67" s="485"/>
      <c r="GJ67" s="485"/>
      <c r="GK67" s="485"/>
      <c r="GL67" s="485"/>
      <c r="GM67" s="485"/>
      <c r="GN67" s="485"/>
      <c r="GO67" s="485"/>
      <c r="GP67" s="485"/>
      <c r="GQ67" s="485"/>
      <c r="GR67" s="485"/>
      <c r="GS67" s="485"/>
      <c r="GT67" s="485"/>
      <c r="GU67" s="485"/>
      <c r="GV67" s="485"/>
      <c r="GW67" s="485"/>
      <c r="GX67" s="485"/>
      <c r="GY67" s="485"/>
      <c r="GZ67" s="485"/>
      <c r="HA67" s="485"/>
      <c r="HB67" s="485"/>
      <c r="HC67" s="485"/>
      <c r="HD67" s="485"/>
      <c r="HE67" s="485"/>
      <c r="HF67" s="485"/>
      <c r="HG67" s="485"/>
      <c r="HH67" s="485"/>
      <c r="HI67" s="485"/>
      <c r="HJ67" s="485"/>
      <c r="HK67" s="485"/>
      <c r="HL67" s="485"/>
      <c r="HM67" s="485"/>
      <c r="HN67" s="485"/>
      <c r="HO67" s="485"/>
      <c r="HP67" s="485"/>
      <c r="HQ67" s="485"/>
    </row>
    <row r="68" spans="1:225">
      <c r="A68" s="30" t="s">
        <v>102</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118"/>
      <c r="BT68" s="118"/>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485">
        <v>12.821</v>
      </c>
      <c r="DI68" s="485">
        <f>DH70</f>
        <v>15.172999999999996</v>
      </c>
      <c r="DJ68" s="485">
        <f>DI70</f>
        <v>9.4350000000000041</v>
      </c>
      <c r="DK68" s="485">
        <f>DJ70</f>
        <v>118.44</v>
      </c>
      <c r="DL68" s="485">
        <f>DH68</f>
        <v>12.821</v>
      </c>
      <c r="DM68" s="485"/>
      <c r="DN68" s="485">
        <f>DK70</f>
        <v>9.811000000000007</v>
      </c>
      <c r="DO68" s="485">
        <f>DN70</f>
        <v>13.195000000000007</v>
      </c>
      <c r="DP68" s="485">
        <f>DO70</f>
        <v>167.43599999999998</v>
      </c>
      <c r="DQ68" s="485">
        <f>DP70</f>
        <v>178.89099999999999</v>
      </c>
      <c r="DR68" s="485">
        <f>DN68</f>
        <v>9.811000000000007</v>
      </c>
      <c r="DS68" s="485"/>
      <c r="DT68" s="485">
        <f>DQ70</f>
        <v>173.01599999999999</v>
      </c>
      <c r="DU68" s="485">
        <f>DT70</f>
        <v>124.99199999999999</v>
      </c>
      <c r="DV68" s="485">
        <f>DU70</f>
        <v>331.31099999999992</v>
      </c>
      <c r="DW68" s="485">
        <f>DV70</f>
        <v>265.23599999999993</v>
      </c>
      <c r="DX68" s="485">
        <f>DT68</f>
        <v>173.01599999999999</v>
      </c>
      <c r="DY68" s="485"/>
      <c r="DZ68" s="485">
        <f>DW70</f>
        <v>250.63799999999992</v>
      </c>
      <c r="EA68" s="485">
        <f>DZ70</f>
        <v>623.09499999999991</v>
      </c>
      <c r="EB68" s="485">
        <f>EA70</f>
        <v>372.90499999999997</v>
      </c>
      <c r="EC68" s="485">
        <f>EB70</f>
        <v>343.73199999999991</v>
      </c>
      <c r="ED68" s="485">
        <f>DZ68</f>
        <v>250.63799999999992</v>
      </c>
      <c r="EE68" s="485"/>
      <c r="EF68" s="485">
        <f>EC70</f>
        <v>316.83299999999991</v>
      </c>
      <c r="EG68" s="485">
        <f>EF70</f>
        <v>305.90199999999993</v>
      </c>
      <c r="EH68" s="485">
        <f>EG70</f>
        <v>283.64299999999992</v>
      </c>
      <c r="EI68" s="485">
        <f>EH70</f>
        <v>266.13199999999989</v>
      </c>
      <c r="EJ68" s="485">
        <f>EF68</f>
        <v>316.83299999999991</v>
      </c>
      <c r="EK68" s="485"/>
      <c r="EL68" s="485">
        <f>EI70</f>
        <v>263.18599999999992</v>
      </c>
      <c r="EM68" s="485">
        <f>EL70</f>
        <v>275.6149999999999</v>
      </c>
      <c r="EN68" s="485">
        <f>EM70</f>
        <v>289.07999999999993</v>
      </c>
      <c r="EO68" s="485">
        <f>EN70</f>
        <v>306.24499999999995</v>
      </c>
      <c r="EP68" s="485">
        <f>EL68</f>
        <v>263.18599999999992</v>
      </c>
      <c r="EQ68" s="485"/>
      <c r="ER68" s="485">
        <f>EO70</f>
        <v>342.49399999999997</v>
      </c>
      <c r="ES68" s="485">
        <f>ER70</f>
        <v>331.91999999999996</v>
      </c>
      <c r="ET68" s="485">
        <f>ES70</f>
        <v>355.12099999999998</v>
      </c>
      <c r="EU68" s="485">
        <f>ET70</f>
        <v>361.99799999999999</v>
      </c>
      <c r="EV68" s="485">
        <f>EP70</f>
        <v>342.49399999999991</v>
      </c>
      <c r="EW68" s="485"/>
      <c r="EX68" s="485">
        <f>EU70</f>
        <v>367.01799999999997</v>
      </c>
      <c r="EY68" s="485">
        <f>EX70</f>
        <v>346.2</v>
      </c>
      <c r="EZ68" s="485">
        <f>EY70</f>
        <v>154.78300000000002</v>
      </c>
      <c r="FA68" s="557">
        <f>EZ70</f>
        <v>164.155</v>
      </c>
      <c r="FB68" s="485">
        <f>EV70</f>
        <v>367.01799999999992</v>
      </c>
      <c r="FC68" s="485"/>
      <c r="FD68" s="557">
        <f>FA70</f>
        <v>170.48055307199783</v>
      </c>
      <c r="FE68" s="485">
        <f>FD70</f>
        <v>171.57358573587354</v>
      </c>
      <c r="FF68" s="485">
        <f>FE70</f>
        <v>171.349555312668</v>
      </c>
      <c r="FG68" s="485">
        <f>FF70</f>
        <v>176.55256751239384</v>
      </c>
      <c r="FH68" s="485">
        <f>FB70</f>
        <v>170.48055307199775</v>
      </c>
      <c r="FI68" s="485"/>
      <c r="FJ68" s="485">
        <f>FG70</f>
        <v>184.89137458511718</v>
      </c>
      <c r="FK68" s="485">
        <f>FJ70</f>
        <v>199.07862125188333</v>
      </c>
      <c r="FL68" s="485">
        <f>FK70</f>
        <v>205.32606193596533</v>
      </c>
      <c r="FM68" s="485">
        <f>FL70</f>
        <v>212.27825337228288</v>
      </c>
      <c r="FN68" s="485">
        <f>FH70</f>
        <v>184.89137458511709</v>
      </c>
      <c r="FO68" s="485"/>
      <c r="FP68" s="485">
        <f>FM70</f>
        <v>563.1196620316108</v>
      </c>
      <c r="FQ68" s="485">
        <f>FP70</f>
        <v>580.8979387676394</v>
      </c>
      <c r="FR68" s="485">
        <f>FQ70</f>
        <v>590.50305011649255</v>
      </c>
      <c r="FS68" s="485">
        <f>FR70</f>
        <v>601.19391224107937</v>
      </c>
      <c r="FT68" s="485">
        <f>FN70</f>
        <v>563.11966203161069</v>
      </c>
      <c r="FU68" s="485"/>
      <c r="FV68" s="485">
        <f>FS70</f>
        <v>267.78368595191949</v>
      </c>
      <c r="FW68" s="485">
        <f>FV70</f>
        <v>287.61550851658222</v>
      </c>
      <c r="FX68" s="485">
        <f>FW70</f>
        <v>297.54496199278339</v>
      </c>
      <c r="FY68" s="485">
        <f>FX70</f>
        <v>308.75374532613404</v>
      </c>
      <c r="FZ68" s="485">
        <f>FT70</f>
        <v>267.78368595191938</v>
      </c>
      <c r="GA68" s="485"/>
      <c r="GB68" s="485">
        <f>FY70</f>
        <v>321.2937519803271</v>
      </c>
      <c r="GC68" s="485">
        <f>GB70</f>
        <v>348.25862797253359</v>
      </c>
      <c r="GD68" s="485">
        <f>GC70</f>
        <v>364.4908058345581</v>
      </c>
      <c r="GE68" s="485">
        <f>GD70</f>
        <v>382.3570884770092</v>
      </c>
      <c r="GF68" s="485">
        <f>FZ70</f>
        <v>321.29375198032699</v>
      </c>
      <c r="GG68" s="485"/>
      <c r="GH68" s="485">
        <f>GE70</f>
        <v>401.81003556797015</v>
      </c>
      <c r="GI68" s="485">
        <f>GH70</f>
        <v>436.23283468970698</v>
      </c>
      <c r="GJ68" s="485">
        <f>GI70</f>
        <v>459.26517305998573</v>
      </c>
      <c r="GK68" s="485">
        <f>GJ70</f>
        <v>484.36882609150962</v>
      </c>
      <c r="GL68" s="485">
        <f>GF70</f>
        <v>401.81003556797009</v>
      </c>
      <c r="GM68" s="485"/>
      <c r="GN68" s="485">
        <f>GK70</f>
        <v>168.1010311029226</v>
      </c>
      <c r="GO68" s="485">
        <f>GN70</f>
        <v>212.81470164128132</v>
      </c>
      <c r="GP68" s="485">
        <f>GO70</f>
        <v>245.55158335201898</v>
      </c>
      <c r="GQ68" s="485">
        <f>GP70</f>
        <v>280.79626472116183</v>
      </c>
      <c r="GR68" s="485">
        <f>GL70</f>
        <v>168.10103110292255</v>
      </c>
      <c r="GS68" s="485"/>
      <c r="GT68" s="485">
        <f>GQ70</f>
        <v>318.24916544814482</v>
      </c>
      <c r="GU68" s="485">
        <f>GT70</f>
        <v>371.52769290786046</v>
      </c>
      <c r="GV68" s="485">
        <f>GU70</f>
        <v>412.29477378332433</v>
      </c>
      <c r="GW68" s="485">
        <f>GV70</f>
        <v>456.05480298194209</v>
      </c>
      <c r="GX68" s="485">
        <f>GR70</f>
        <v>318.24916544814471</v>
      </c>
      <c r="GY68" s="485"/>
      <c r="GZ68" s="485">
        <f>GW70</f>
        <v>502.36840632637393</v>
      </c>
      <c r="HA68" s="485">
        <f>GZ70</f>
        <v>565.39784923585717</v>
      </c>
      <c r="HB68" s="485">
        <f>HA70</f>
        <v>615.44087767620056</v>
      </c>
      <c r="HC68" s="485">
        <f>HB70</f>
        <v>669.00453343483957</v>
      </c>
      <c r="HD68" s="485">
        <f>GX70</f>
        <v>502.36840632637376</v>
      </c>
      <c r="HE68" s="485"/>
      <c r="HF68" s="485">
        <f>HC70</f>
        <v>725.48995233167102</v>
      </c>
      <c r="HG68" s="485">
        <f>HF70</f>
        <v>799.14521462713049</v>
      </c>
      <c r="HH68" s="485">
        <f>HG70</f>
        <v>859.39622741815413</v>
      </c>
      <c r="HI68" s="485">
        <f>HH70</f>
        <v>923.72509037523332</v>
      </c>
      <c r="HJ68" s="485">
        <f>HD70</f>
        <v>725.48995233167102</v>
      </c>
      <c r="HK68" s="485"/>
      <c r="HL68" s="485"/>
      <c r="HM68" s="485"/>
      <c r="HN68" s="485"/>
      <c r="HO68" s="485"/>
      <c r="HP68" s="485"/>
      <c r="HQ68" s="485"/>
    </row>
    <row r="69" spans="1:225">
      <c r="A69" s="30"/>
      <c r="B69" s="30" t="s">
        <v>103</v>
      </c>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118"/>
      <c r="BT69" s="118"/>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485">
        <f>DH66</f>
        <v>2.3519999999999968</v>
      </c>
      <c r="DI69" s="485">
        <f>DI66</f>
        <v>-5.7379999999999924</v>
      </c>
      <c r="DJ69" s="485">
        <f>DJ66</f>
        <v>109.005</v>
      </c>
      <c r="DK69" s="485">
        <f>DK66</f>
        <v>-108.62899999999999</v>
      </c>
      <c r="DL69" s="485">
        <f>DL66</f>
        <v>-3.0099999999999789</v>
      </c>
      <c r="DM69" s="485"/>
      <c r="DN69" s="485">
        <f>DN66</f>
        <v>3.3840000000000012</v>
      </c>
      <c r="DO69" s="485">
        <f>DO66</f>
        <v>154.24099999999999</v>
      </c>
      <c r="DP69" s="485">
        <f>DP66</f>
        <v>11.455000000000002</v>
      </c>
      <c r="DQ69" s="485">
        <f>DQ66</f>
        <v>-5.8749999999999982</v>
      </c>
      <c r="DR69" s="485">
        <f>DR66</f>
        <v>163.20500000000001</v>
      </c>
      <c r="DS69" s="485"/>
      <c r="DT69" s="485">
        <f>DT66</f>
        <v>-48.024000000000001</v>
      </c>
      <c r="DU69" s="485">
        <f>DU66</f>
        <v>206.31899999999996</v>
      </c>
      <c r="DV69" s="485">
        <f>DV66</f>
        <v>-66.075000000000003</v>
      </c>
      <c r="DW69" s="485">
        <f>DW66</f>
        <v>-14.597999999999999</v>
      </c>
      <c r="DX69" s="485">
        <f>DX66</f>
        <v>77.621999999999986</v>
      </c>
      <c r="DY69" s="485"/>
      <c r="DZ69" s="485">
        <f>DZ66</f>
        <v>372.45699999999999</v>
      </c>
      <c r="EA69" s="485">
        <f>EA66</f>
        <v>-250.18999999999991</v>
      </c>
      <c r="EB69" s="485">
        <f>EB66</f>
        <v>-29.173000000000052</v>
      </c>
      <c r="EC69" s="485">
        <f>EC66</f>
        <v>-26.89899999999998</v>
      </c>
      <c r="ED69" s="485">
        <f>ED66</f>
        <v>66.194999999999936</v>
      </c>
      <c r="EE69" s="485"/>
      <c r="EF69" s="485">
        <f>EF66</f>
        <v>-10.931000000000001</v>
      </c>
      <c r="EG69" s="485">
        <f>EG66</f>
        <v>-22.258999999999997</v>
      </c>
      <c r="EH69" s="485">
        <f>EH66</f>
        <v>-17.51100000000001</v>
      </c>
      <c r="EI69" s="485">
        <f>EI66</f>
        <v>-2.9459999999999913</v>
      </c>
      <c r="EJ69" s="485">
        <f>EJ66</f>
        <v>-53.646999999999998</v>
      </c>
      <c r="EK69" s="485"/>
      <c r="EL69" s="485">
        <f>EL66</f>
        <v>12.428999999999997</v>
      </c>
      <c r="EM69" s="485">
        <f>EM66</f>
        <v>13.465000000000007</v>
      </c>
      <c r="EN69" s="485">
        <f>EN66</f>
        <v>17.164999999999999</v>
      </c>
      <c r="EO69" s="485">
        <f>EO66</f>
        <v>36.249000000000009</v>
      </c>
      <c r="EP69" s="485">
        <f>EP66</f>
        <v>79.308000000000007</v>
      </c>
      <c r="EQ69" s="485"/>
      <c r="ER69" s="485">
        <f>ER66</f>
        <v>-10.573999999999996</v>
      </c>
      <c r="ES69" s="485">
        <f>ES66</f>
        <v>23.200999999999997</v>
      </c>
      <c r="ET69" s="485">
        <f>ET66</f>
        <v>6.8770000000000042</v>
      </c>
      <c r="EU69" s="485">
        <f>EU66</f>
        <v>5.0199999999999907</v>
      </c>
      <c r="EV69" s="485">
        <f>EV66</f>
        <v>24.523999999999987</v>
      </c>
      <c r="EW69" s="485"/>
      <c r="EX69" s="485">
        <f>EX66</f>
        <v>-20.817999999999994</v>
      </c>
      <c r="EY69" s="485">
        <f>EY66</f>
        <v>-191.41699999999997</v>
      </c>
      <c r="EZ69" s="485">
        <f>EZ66</f>
        <v>9.3719999999999928</v>
      </c>
      <c r="FA69" s="557">
        <f>FA66</f>
        <v>6.3255530719978239</v>
      </c>
      <c r="FB69" s="485">
        <f>FB66</f>
        <v>-196.53744692800217</v>
      </c>
      <c r="FC69" s="485"/>
      <c r="FD69" s="557">
        <f>FD66</f>
        <v>1.093032663875702</v>
      </c>
      <c r="FE69" s="485">
        <f>FE66</f>
        <v>-0.22403042320553368</v>
      </c>
      <c r="FF69" s="485">
        <f>FF66</f>
        <v>5.2030121997258281</v>
      </c>
      <c r="FG69" s="485">
        <f>FG66</f>
        <v>8.3388070727233519</v>
      </c>
      <c r="FH69" s="485">
        <f>FH66</f>
        <v>14.410821513119352</v>
      </c>
      <c r="FI69" s="485"/>
      <c r="FJ69" s="485">
        <f>FJ66</f>
        <v>14.187246666766159</v>
      </c>
      <c r="FK69" s="485">
        <f>FK66</f>
        <v>6.2474406840820063</v>
      </c>
      <c r="FL69" s="485">
        <f>FL66</f>
        <v>6.9521914363175465</v>
      </c>
      <c r="FM69" s="485">
        <f>FM66</f>
        <v>350.84140865932795</v>
      </c>
      <c r="FN69" s="485">
        <f>FN66</f>
        <v>378.22828744649365</v>
      </c>
      <c r="FO69" s="485"/>
      <c r="FP69" s="485">
        <f>FP66</f>
        <v>17.778276736028573</v>
      </c>
      <c r="FQ69" s="485">
        <f>FQ66</f>
        <v>9.605111348853141</v>
      </c>
      <c r="FR69" s="485">
        <f>FR66</f>
        <v>10.690862124586848</v>
      </c>
      <c r="FS69" s="485">
        <f>FS66</f>
        <v>-333.41022628915988</v>
      </c>
      <c r="FT69" s="485">
        <f>FT66</f>
        <v>-295.33597607969131</v>
      </c>
      <c r="FU69" s="485"/>
      <c r="FV69" s="485">
        <f>FV66</f>
        <v>19.831822564662748</v>
      </c>
      <c r="FW69" s="485">
        <f>FW66</f>
        <v>9.9294534762011342</v>
      </c>
      <c r="FX69" s="485">
        <f>FX66</f>
        <v>11.208783333350649</v>
      </c>
      <c r="FY69" s="485">
        <f>FY66</f>
        <v>12.540006654193071</v>
      </c>
      <c r="FZ69" s="485">
        <f>FZ66</f>
        <v>53.510066028407593</v>
      </c>
      <c r="GA69" s="485"/>
      <c r="GB69" s="485">
        <f>GB66</f>
        <v>26.964875992206473</v>
      </c>
      <c r="GC69" s="485">
        <f>GC66</f>
        <v>16.232177862024514</v>
      </c>
      <c r="GD69" s="485">
        <f>GD66</f>
        <v>17.866282642451111</v>
      </c>
      <c r="GE69" s="485">
        <f>GE66</f>
        <v>19.452947090960969</v>
      </c>
      <c r="GF69" s="485">
        <f>GF66</f>
        <v>80.516283587643073</v>
      </c>
      <c r="GG69" s="485"/>
      <c r="GH69" s="485">
        <f>GH66</f>
        <v>34.42279912173683</v>
      </c>
      <c r="GI69" s="485">
        <f>GI66</f>
        <v>23.032338370278765</v>
      </c>
      <c r="GJ69" s="485">
        <f>GJ66</f>
        <v>25.103653031523894</v>
      </c>
      <c r="GK69" s="485">
        <f>GK66</f>
        <v>-316.26779498858701</v>
      </c>
      <c r="GL69" s="485">
        <f>GL66</f>
        <v>-233.70900446504754</v>
      </c>
      <c r="GM69" s="485"/>
      <c r="GN69" s="485">
        <f>GN66</f>
        <v>44.713670538358706</v>
      </c>
      <c r="GO69" s="485">
        <f>GO66</f>
        <v>32.736881710737663</v>
      </c>
      <c r="GP69" s="485">
        <f>GP66</f>
        <v>35.244681369142867</v>
      </c>
      <c r="GQ69" s="485">
        <f>GQ66</f>
        <v>37.452900726982975</v>
      </c>
      <c r="GR69" s="485">
        <f>GR66</f>
        <v>150.14813434522219</v>
      </c>
      <c r="GS69" s="485"/>
      <c r="GT69" s="485">
        <f>GT66</f>
        <v>53.278527459715605</v>
      </c>
      <c r="GU69" s="485">
        <f>GU66</f>
        <v>40.767080875463897</v>
      </c>
      <c r="GV69" s="485">
        <f>GV66</f>
        <v>43.760029198617744</v>
      </c>
      <c r="GW69" s="485">
        <f>GW66</f>
        <v>46.313603344431826</v>
      </c>
      <c r="GX69" s="485">
        <f>GX66</f>
        <v>184.11924087822905</v>
      </c>
      <c r="GY69" s="485"/>
      <c r="GZ69" s="485">
        <f>GZ66</f>
        <v>63.029442909483294</v>
      </c>
      <c r="HA69" s="485">
        <f>HA66</f>
        <v>50.04302844034342</v>
      </c>
      <c r="HB69" s="485">
        <f>HB66</f>
        <v>53.56365575863903</v>
      </c>
      <c r="HC69" s="485">
        <f>HC66</f>
        <v>56.485418896831391</v>
      </c>
      <c r="HD69" s="485">
        <f>HD66</f>
        <v>223.1215460052972</v>
      </c>
      <c r="HE69" s="485"/>
      <c r="HF69" s="485">
        <f>HF66</f>
        <v>73.655262295459494</v>
      </c>
      <c r="HG69" s="485">
        <f>HG66</f>
        <v>60.251012791023626</v>
      </c>
      <c r="HH69" s="485">
        <f>HH66</f>
        <v>64.328862957079224</v>
      </c>
      <c r="HI69" s="485">
        <f>HI66</f>
        <v>67.634096230449927</v>
      </c>
      <c r="HJ69" s="485">
        <f>HJ66</f>
        <v>265.86923427401229</v>
      </c>
      <c r="HK69" s="485"/>
      <c r="HL69" s="485"/>
      <c r="HM69" s="485"/>
      <c r="HN69" s="485"/>
      <c r="HO69" s="485"/>
      <c r="HP69" s="485"/>
      <c r="HQ69" s="485"/>
    </row>
    <row r="70" spans="1:225" s="533" customFormat="1">
      <c r="A70" s="476" t="s">
        <v>104</v>
      </c>
      <c r="B70" s="476"/>
      <c r="C70" s="476"/>
      <c r="D70" s="476"/>
      <c r="E70" s="476"/>
      <c r="F70" s="476"/>
      <c r="G70" s="476"/>
      <c r="H70" s="476"/>
      <c r="I70" s="476"/>
      <c r="J70" s="476"/>
      <c r="K70" s="476"/>
      <c r="L70" s="476"/>
      <c r="M70" s="476"/>
      <c r="N70" s="476"/>
      <c r="O70" s="476"/>
      <c r="P70" s="476"/>
      <c r="Q70" s="476"/>
      <c r="R70" s="476"/>
      <c r="S70" s="476"/>
      <c r="T70" s="476"/>
      <c r="U70" s="476"/>
      <c r="V70" s="476"/>
      <c r="W70" s="476"/>
      <c r="X70" s="476"/>
      <c r="Y70" s="476"/>
      <c r="Z70" s="476"/>
      <c r="AA70" s="476"/>
      <c r="AB70" s="476"/>
      <c r="AC70" s="476"/>
      <c r="AD70" s="476"/>
      <c r="AE70" s="476"/>
      <c r="AF70" s="476"/>
      <c r="AG70" s="476"/>
      <c r="AH70" s="476"/>
      <c r="AI70" s="476"/>
      <c r="AJ70" s="476"/>
      <c r="AK70" s="476"/>
      <c r="AL70" s="476"/>
      <c r="AM70" s="476"/>
      <c r="AN70" s="476"/>
      <c r="AO70" s="476"/>
      <c r="AP70" s="476"/>
      <c r="AQ70" s="476"/>
      <c r="AR70" s="476"/>
      <c r="AS70" s="476"/>
      <c r="AT70" s="476"/>
      <c r="AU70" s="476"/>
      <c r="AV70" s="476"/>
      <c r="AW70" s="476"/>
      <c r="AX70" s="476"/>
      <c r="AY70" s="476"/>
      <c r="AZ70" s="476"/>
      <c r="BA70" s="476"/>
      <c r="BB70" s="476"/>
      <c r="BC70" s="476"/>
      <c r="BD70" s="476"/>
      <c r="BE70" s="476"/>
      <c r="BF70" s="476"/>
      <c r="BG70" s="476"/>
      <c r="BH70" s="476"/>
      <c r="BI70" s="476"/>
      <c r="BJ70" s="476"/>
      <c r="BK70" s="476"/>
      <c r="BL70" s="476"/>
      <c r="BM70" s="476"/>
      <c r="BN70" s="476"/>
      <c r="BO70" s="476"/>
      <c r="BP70" s="476"/>
      <c r="BQ70" s="476"/>
      <c r="BR70" s="476"/>
      <c r="BS70" s="479"/>
      <c r="BT70" s="479"/>
      <c r="BU70" s="479"/>
      <c r="BV70" s="476"/>
      <c r="BW70" s="476"/>
      <c r="BX70" s="479"/>
      <c r="BY70" s="479"/>
      <c r="BZ70" s="476"/>
      <c r="CA70" s="476"/>
      <c r="CB70" s="479"/>
      <c r="CC70" s="476"/>
      <c r="CD70" s="479"/>
      <c r="CE70" s="479"/>
      <c r="CF70" s="479"/>
      <c r="CG70" s="479"/>
      <c r="CH70" s="476"/>
      <c r="CI70" s="476"/>
      <c r="CJ70" s="479"/>
      <c r="CK70" s="479"/>
      <c r="CL70" s="479"/>
      <c r="CM70" s="479"/>
      <c r="CN70" s="479"/>
      <c r="CO70" s="476"/>
      <c r="CP70" s="476"/>
      <c r="CQ70" s="476"/>
      <c r="CR70" s="479"/>
      <c r="CS70" s="479"/>
      <c r="CT70" s="479"/>
      <c r="CU70" s="476"/>
      <c r="CV70" s="479"/>
      <c r="CW70" s="476"/>
      <c r="CX70" s="476"/>
      <c r="CY70" s="476"/>
      <c r="CZ70" s="479"/>
      <c r="DA70" s="476"/>
      <c r="DB70" s="476"/>
      <c r="DC70" s="476"/>
      <c r="DD70" s="476"/>
      <c r="DE70" s="476"/>
      <c r="DF70" s="476"/>
      <c r="DG70" s="476"/>
      <c r="DH70" s="344">
        <f>DH68+DH69</f>
        <v>15.172999999999996</v>
      </c>
      <c r="DI70" s="344">
        <f>DI68+DI69</f>
        <v>9.4350000000000041</v>
      </c>
      <c r="DJ70" s="344">
        <f>DJ68+DJ69</f>
        <v>118.44</v>
      </c>
      <c r="DK70" s="344">
        <f>DK68+DK69</f>
        <v>9.811000000000007</v>
      </c>
      <c r="DL70" s="344">
        <f>DL68+DL69</f>
        <v>9.8110000000000213</v>
      </c>
      <c r="DM70" s="344"/>
      <c r="DN70" s="344">
        <f>DN68+DN69</f>
        <v>13.195000000000007</v>
      </c>
      <c r="DO70" s="344">
        <f>DO68+DO69</f>
        <v>167.43599999999998</v>
      </c>
      <c r="DP70" s="344">
        <f>DP68+DP69</f>
        <v>178.89099999999999</v>
      </c>
      <c r="DQ70" s="344">
        <f>DQ68+DQ69</f>
        <v>173.01599999999999</v>
      </c>
      <c r="DR70" s="344">
        <f>DR68+DR69</f>
        <v>173.01600000000002</v>
      </c>
      <c r="DS70" s="344"/>
      <c r="DT70" s="344">
        <f t="shared" ref="DT70:EP70" si="88">DT68+DT69</f>
        <v>124.99199999999999</v>
      </c>
      <c r="DU70" s="344">
        <f t="shared" si="88"/>
        <v>331.31099999999992</v>
      </c>
      <c r="DV70" s="344">
        <f t="shared" si="88"/>
        <v>265.23599999999993</v>
      </c>
      <c r="DW70" s="344">
        <f t="shared" si="88"/>
        <v>250.63799999999992</v>
      </c>
      <c r="DX70" s="344">
        <f t="shared" si="88"/>
        <v>250.63799999999998</v>
      </c>
      <c r="DY70" s="344"/>
      <c r="DZ70" s="344">
        <f t="shared" si="88"/>
        <v>623.09499999999991</v>
      </c>
      <c r="EA70" s="344">
        <f t="shared" si="88"/>
        <v>372.90499999999997</v>
      </c>
      <c r="EB70" s="344">
        <f t="shared" si="88"/>
        <v>343.73199999999991</v>
      </c>
      <c r="EC70" s="344">
        <f t="shared" si="88"/>
        <v>316.83299999999991</v>
      </c>
      <c r="ED70" s="344">
        <f t="shared" si="88"/>
        <v>316.83299999999986</v>
      </c>
      <c r="EE70" s="344"/>
      <c r="EF70" s="344">
        <f t="shared" si="88"/>
        <v>305.90199999999993</v>
      </c>
      <c r="EG70" s="344">
        <f t="shared" si="88"/>
        <v>283.64299999999992</v>
      </c>
      <c r="EH70" s="344">
        <f t="shared" si="88"/>
        <v>266.13199999999989</v>
      </c>
      <c r="EI70" s="344">
        <f t="shared" si="88"/>
        <v>263.18599999999992</v>
      </c>
      <c r="EJ70" s="344">
        <f t="shared" si="88"/>
        <v>263.18599999999992</v>
      </c>
      <c r="EK70" s="344"/>
      <c r="EL70" s="344">
        <f t="shared" si="88"/>
        <v>275.6149999999999</v>
      </c>
      <c r="EM70" s="344">
        <f t="shared" si="88"/>
        <v>289.07999999999993</v>
      </c>
      <c r="EN70" s="344">
        <f t="shared" si="88"/>
        <v>306.24499999999995</v>
      </c>
      <c r="EO70" s="344">
        <f t="shared" si="88"/>
        <v>342.49399999999997</v>
      </c>
      <c r="EP70" s="344">
        <f t="shared" si="88"/>
        <v>342.49399999999991</v>
      </c>
      <c r="EQ70" s="344"/>
      <c r="ER70" s="344">
        <f>ER68+ER69</f>
        <v>331.91999999999996</v>
      </c>
      <c r="ES70" s="344">
        <f>ES68+ES69</f>
        <v>355.12099999999998</v>
      </c>
      <c r="ET70" s="344">
        <f>ET68+ET69</f>
        <v>361.99799999999999</v>
      </c>
      <c r="EU70" s="344">
        <f>EU68+EU69</f>
        <v>367.01799999999997</v>
      </c>
      <c r="EV70" s="344">
        <f>EV68+EV69</f>
        <v>367.01799999999992</v>
      </c>
      <c r="EW70" s="344"/>
      <c r="EX70" s="344">
        <f>EX68+EX69</f>
        <v>346.2</v>
      </c>
      <c r="EY70" s="344">
        <f>EY68+EY69</f>
        <v>154.78300000000002</v>
      </c>
      <c r="EZ70" s="344">
        <f>EZ68+EZ69</f>
        <v>164.155</v>
      </c>
      <c r="FA70" s="559">
        <f>FA68+FA69</f>
        <v>170.48055307199783</v>
      </c>
      <c r="FB70" s="344">
        <f>FB68+FB69</f>
        <v>170.48055307199775</v>
      </c>
      <c r="FC70" s="344"/>
      <c r="FD70" s="559">
        <f>FD68+FD69</f>
        <v>171.57358573587354</v>
      </c>
      <c r="FE70" s="344">
        <f>FE68+FE69</f>
        <v>171.349555312668</v>
      </c>
      <c r="FF70" s="344">
        <f>FF68+FF69</f>
        <v>176.55256751239384</v>
      </c>
      <c r="FG70" s="344">
        <f>FG68+FG69</f>
        <v>184.89137458511718</v>
      </c>
      <c r="FH70" s="344">
        <f>FH68+FH69</f>
        <v>184.89137458511709</v>
      </c>
      <c r="FI70" s="344"/>
      <c r="FJ70" s="344">
        <f>FJ68+FJ69</f>
        <v>199.07862125188333</v>
      </c>
      <c r="FK70" s="344">
        <f>FK68+FK69</f>
        <v>205.32606193596533</v>
      </c>
      <c r="FL70" s="344">
        <f>FL68+FL69</f>
        <v>212.27825337228288</v>
      </c>
      <c r="FM70" s="344">
        <f>FM68+FM69</f>
        <v>563.1196620316108</v>
      </c>
      <c r="FN70" s="344">
        <f>FN68+FN69</f>
        <v>563.11966203161069</v>
      </c>
      <c r="FO70" s="344"/>
      <c r="FP70" s="344">
        <f>FP68+FP69</f>
        <v>580.8979387676394</v>
      </c>
      <c r="FQ70" s="344">
        <f>FQ68+FQ69</f>
        <v>590.50305011649255</v>
      </c>
      <c r="FR70" s="344">
        <f>FR68+FR69</f>
        <v>601.19391224107937</v>
      </c>
      <c r="FS70" s="344">
        <f>FS68+FS69</f>
        <v>267.78368595191949</v>
      </c>
      <c r="FT70" s="344">
        <f>FT68+FT69</f>
        <v>267.78368595191938</v>
      </c>
      <c r="FU70" s="344"/>
      <c r="FV70" s="344">
        <f>FV68+FV69</f>
        <v>287.61550851658222</v>
      </c>
      <c r="FW70" s="344">
        <f>FW68+FW69</f>
        <v>297.54496199278339</v>
      </c>
      <c r="FX70" s="344">
        <f>FX68+FX69</f>
        <v>308.75374532613404</v>
      </c>
      <c r="FY70" s="344">
        <f>FY68+FY69</f>
        <v>321.2937519803271</v>
      </c>
      <c r="FZ70" s="344">
        <f>FZ68+FZ69</f>
        <v>321.29375198032699</v>
      </c>
      <c r="GA70" s="344"/>
      <c r="GB70" s="344">
        <f>GB68+GB69</f>
        <v>348.25862797253359</v>
      </c>
      <c r="GC70" s="344">
        <f>GC68+GC69</f>
        <v>364.4908058345581</v>
      </c>
      <c r="GD70" s="344">
        <f>GD68+GD69</f>
        <v>382.3570884770092</v>
      </c>
      <c r="GE70" s="344">
        <f>GE68+GE69</f>
        <v>401.81003556797015</v>
      </c>
      <c r="GF70" s="344">
        <f>GF68+GF69</f>
        <v>401.81003556797009</v>
      </c>
      <c r="GG70" s="344"/>
      <c r="GH70" s="344">
        <f>GH68+GH69</f>
        <v>436.23283468970698</v>
      </c>
      <c r="GI70" s="344">
        <f>GI68+GI69</f>
        <v>459.26517305998573</v>
      </c>
      <c r="GJ70" s="344">
        <f>GJ68+GJ69</f>
        <v>484.36882609150962</v>
      </c>
      <c r="GK70" s="344">
        <f>GK68+GK69</f>
        <v>168.1010311029226</v>
      </c>
      <c r="GL70" s="344">
        <f>GL68+GL69</f>
        <v>168.10103110292255</v>
      </c>
      <c r="GM70" s="344"/>
      <c r="GN70" s="344">
        <f>GN68+GN69</f>
        <v>212.81470164128132</v>
      </c>
      <c r="GO70" s="344">
        <f>GO68+GO69</f>
        <v>245.55158335201898</v>
      </c>
      <c r="GP70" s="344">
        <f>GP68+GP69</f>
        <v>280.79626472116183</v>
      </c>
      <c r="GQ70" s="344">
        <f>GQ68+GQ69</f>
        <v>318.24916544814482</v>
      </c>
      <c r="GR70" s="344">
        <f>GR68+GR69</f>
        <v>318.24916544814471</v>
      </c>
      <c r="GS70" s="344"/>
      <c r="GT70" s="344">
        <f>GT68+GT69</f>
        <v>371.52769290786046</v>
      </c>
      <c r="GU70" s="344">
        <f>GU68+GU69</f>
        <v>412.29477378332433</v>
      </c>
      <c r="GV70" s="344">
        <f>GV68+GV69</f>
        <v>456.05480298194209</v>
      </c>
      <c r="GW70" s="344">
        <f>GW68+GW69</f>
        <v>502.36840632637393</v>
      </c>
      <c r="GX70" s="344">
        <f>GX68+GX69</f>
        <v>502.36840632637376</v>
      </c>
      <c r="GY70" s="344"/>
      <c r="GZ70" s="344">
        <f>GZ68+GZ69</f>
        <v>565.39784923585717</v>
      </c>
      <c r="HA70" s="344">
        <f>HA68+HA69</f>
        <v>615.44087767620056</v>
      </c>
      <c r="HB70" s="344">
        <f>HB68+HB69</f>
        <v>669.00453343483957</v>
      </c>
      <c r="HC70" s="344">
        <f>HC68+HC69</f>
        <v>725.48995233167102</v>
      </c>
      <c r="HD70" s="344">
        <f>HD68+HD69</f>
        <v>725.48995233167102</v>
      </c>
      <c r="HE70" s="344"/>
      <c r="HF70" s="344">
        <f>HF68+HF69</f>
        <v>799.14521462713049</v>
      </c>
      <c r="HG70" s="344">
        <f>HG68+HG69</f>
        <v>859.39622741815413</v>
      </c>
      <c r="HH70" s="344">
        <f>HH68+HH69</f>
        <v>923.72509037523332</v>
      </c>
      <c r="HI70" s="344">
        <f>HI68+HI69</f>
        <v>991.35918660568325</v>
      </c>
      <c r="HJ70" s="344">
        <f>HJ68+HJ69</f>
        <v>991.35918660568336</v>
      </c>
      <c r="HK70" s="344"/>
      <c r="HL70" s="344"/>
      <c r="HM70" s="344"/>
      <c r="HN70" s="344"/>
      <c r="HO70" s="344"/>
      <c r="HP70" s="344"/>
      <c r="HQ70" s="344"/>
    </row>
    <row r="71" spans="1:2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43"/>
      <c r="DI71" s="343"/>
      <c r="DJ71" s="343"/>
      <c r="DK71" s="343"/>
      <c r="DL71" s="343"/>
      <c r="DM71" s="396"/>
      <c r="DN71" s="343"/>
      <c r="DO71" s="343"/>
      <c r="DP71" s="343"/>
      <c r="DQ71" s="343"/>
      <c r="DR71" s="343"/>
      <c r="DS71" s="396"/>
      <c r="DT71" s="343"/>
      <c r="DU71" s="343"/>
      <c r="DV71" s="343"/>
      <c r="DW71" s="343"/>
      <c r="DX71" s="343"/>
      <c r="DY71" s="396"/>
      <c r="DZ71" s="343"/>
      <c r="EA71" s="343"/>
      <c r="EB71" s="343"/>
      <c r="EC71" s="343"/>
      <c r="ED71" s="343"/>
      <c r="EE71" s="396"/>
      <c r="EF71" s="343"/>
      <c r="EG71" s="343"/>
      <c r="EH71" s="343"/>
      <c r="EI71" s="343"/>
      <c r="EJ71" s="343"/>
      <c r="EK71" s="396"/>
      <c r="EL71" s="343"/>
      <c r="EM71" s="343"/>
      <c r="EN71" s="343"/>
      <c r="EO71" s="343"/>
      <c r="EP71" s="343"/>
      <c r="EQ71" s="396"/>
      <c r="ER71" s="343"/>
      <c r="ES71" s="343"/>
      <c r="ET71" s="343"/>
      <c r="EU71" s="343"/>
      <c r="EV71" s="343"/>
      <c r="EW71" s="396"/>
      <c r="EX71" s="343"/>
      <c r="EY71" s="343"/>
      <c r="EZ71" s="343"/>
      <c r="FA71" s="343"/>
      <c r="FB71" s="343"/>
      <c r="FC71" s="396"/>
      <c r="FD71" s="343"/>
      <c r="FE71" s="343"/>
      <c r="FF71" s="343"/>
      <c r="FG71" s="343"/>
      <c r="FH71" s="343"/>
      <c r="FI71" s="396"/>
      <c r="FJ71" s="343"/>
      <c r="FK71" s="343"/>
      <c r="FL71" s="343"/>
      <c r="FM71" s="343"/>
      <c r="FN71" s="343"/>
      <c r="FO71" s="396"/>
      <c r="FP71" s="343"/>
      <c r="FQ71" s="343"/>
      <c r="FR71" s="343"/>
      <c r="FS71" s="343"/>
      <c r="FT71" s="343"/>
      <c r="FU71" s="396"/>
      <c r="FV71" s="343"/>
      <c r="FW71" s="343"/>
      <c r="FX71" s="343"/>
      <c r="FY71" s="343"/>
      <c r="FZ71" s="343"/>
      <c r="GA71" s="396"/>
      <c r="GB71" s="343"/>
      <c r="GC71" s="343"/>
      <c r="GD71" s="343"/>
      <c r="GE71" s="343"/>
      <c r="GF71" s="343"/>
      <c r="GG71" s="396"/>
      <c r="GH71" s="343"/>
      <c r="GI71" s="343"/>
      <c r="GJ71" s="343"/>
      <c r="GK71" s="343"/>
      <c r="GL71" s="343"/>
      <c r="GM71" s="396"/>
      <c r="GN71" s="343"/>
      <c r="GO71" s="343"/>
      <c r="GP71" s="343"/>
      <c r="GQ71" s="343"/>
      <c r="GR71" s="343"/>
      <c r="GS71" s="396"/>
      <c r="GT71" s="343"/>
      <c r="GU71" s="343"/>
      <c r="GV71" s="343"/>
      <c r="GW71" s="343"/>
      <c r="GX71" s="343"/>
      <c r="GY71" s="396"/>
      <c r="GZ71" s="343"/>
      <c r="HA71" s="343"/>
      <c r="HB71" s="343"/>
      <c r="HC71" s="343"/>
      <c r="HD71" s="343"/>
      <c r="HE71" s="396"/>
      <c r="HH71" s="493"/>
      <c r="HI71" s="493"/>
      <c r="HJ71" s="493"/>
      <c r="HK71" s="493"/>
      <c r="HL71" s="493"/>
      <c r="HM71" s="493"/>
      <c r="HN71" s="493"/>
      <c r="HO71" s="493"/>
    </row>
    <row r="72" spans="1:225">
      <c r="A72" s="8" t="str">
        <f>IS!A95</f>
        <v>Source: NeoGenomics and Jefferies LLC estimates.</v>
      </c>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42"/>
      <c r="CW72" s="30"/>
      <c r="CX72" s="30"/>
      <c r="CY72" s="30"/>
      <c r="CZ72" s="30"/>
      <c r="DA72" s="30"/>
      <c r="DB72" s="30"/>
      <c r="DC72" s="30"/>
      <c r="DD72" s="107"/>
      <c r="DE72" s="30"/>
      <c r="DF72" s="30"/>
      <c r="DG72" s="30"/>
      <c r="DH72" s="343"/>
      <c r="DI72" s="343"/>
      <c r="DJ72" s="343"/>
      <c r="DK72" s="343"/>
      <c r="DL72" s="343"/>
      <c r="DM72" s="396"/>
      <c r="DN72" s="343"/>
      <c r="DO72" s="343"/>
      <c r="DP72" s="343"/>
      <c r="DQ72" s="343"/>
      <c r="DR72" s="343"/>
      <c r="DS72" s="396"/>
      <c r="DT72" s="343"/>
      <c r="DU72" s="343"/>
      <c r="DV72" s="343"/>
      <c r="DW72" s="343"/>
      <c r="DX72" s="343"/>
      <c r="DY72" s="396"/>
      <c r="DZ72" s="343"/>
      <c r="EA72" s="343"/>
      <c r="EB72" s="343"/>
      <c r="EC72" s="343"/>
      <c r="ED72" s="343"/>
      <c r="EE72" s="396"/>
      <c r="EF72" s="343"/>
      <c r="EG72" s="343"/>
      <c r="EH72" s="343"/>
      <c r="EI72" s="343"/>
      <c r="EJ72" s="343"/>
      <c r="EK72" s="396"/>
      <c r="EL72" s="343"/>
      <c r="EM72" s="343"/>
      <c r="EN72" s="343"/>
      <c r="EO72" s="343"/>
      <c r="EP72" s="343"/>
      <c r="EQ72" s="396"/>
      <c r="ER72" s="343"/>
      <c r="ES72" s="343"/>
      <c r="ET72" s="343"/>
      <c r="EU72" s="343"/>
      <c r="EV72" s="343"/>
      <c r="EW72" s="396"/>
      <c r="EX72" s="343"/>
      <c r="EY72" s="343"/>
      <c r="EZ72" s="343"/>
      <c r="FA72" s="343"/>
      <c r="FB72" s="343"/>
      <c r="FC72" s="396"/>
      <c r="FD72" s="343"/>
      <c r="FE72" s="343"/>
      <c r="FF72" s="343"/>
      <c r="FG72" s="343"/>
      <c r="FH72" s="343"/>
      <c r="FI72" s="396"/>
      <c r="FJ72" s="343"/>
      <c r="FK72" s="343"/>
      <c r="FL72" s="343"/>
      <c r="FM72" s="343"/>
      <c r="FN72" s="343"/>
      <c r="FO72" s="396"/>
      <c r="FP72" s="343"/>
      <c r="FQ72" s="343"/>
      <c r="FR72" s="343"/>
      <c r="FS72" s="343"/>
      <c r="FT72" s="343"/>
      <c r="FU72" s="396"/>
      <c r="FV72" s="343"/>
      <c r="FW72" s="343"/>
      <c r="FX72" s="343"/>
      <c r="FY72" s="343"/>
      <c r="FZ72" s="343"/>
      <c r="GA72" s="396"/>
      <c r="GB72" s="343"/>
      <c r="GC72" s="343"/>
      <c r="GD72" s="343"/>
      <c r="GE72" s="343"/>
      <c r="GF72" s="343"/>
      <c r="GG72" s="396"/>
      <c r="GH72" s="343"/>
      <c r="GI72" s="343"/>
      <c r="GJ72" s="343"/>
      <c r="GK72" s="343"/>
      <c r="GL72" s="343"/>
      <c r="GM72" s="396"/>
      <c r="GN72" s="343"/>
      <c r="GO72" s="343"/>
      <c r="GP72" s="343"/>
      <c r="GQ72" s="343"/>
      <c r="GR72" s="343"/>
      <c r="GS72" s="396"/>
      <c r="GT72" s="343"/>
      <c r="GU72" s="343"/>
      <c r="GV72" s="343"/>
      <c r="GW72" s="343"/>
      <c r="GX72" s="343"/>
      <c r="GY72" s="396"/>
      <c r="GZ72" s="343"/>
      <c r="HA72" s="343"/>
      <c r="HB72" s="343"/>
      <c r="HC72" s="343"/>
      <c r="HD72" s="343"/>
      <c r="HE72" s="396"/>
      <c r="HH72" s="493"/>
      <c r="HI72" s="493"/>
      <c r="HJ72" s="493"/>
      <c r="HK72" s="493"/>
      <c r="HL72" s="493"/>
      <c r="HM72" s="493"/>
      <c r="HN72" s="493"/>
      <c r="HO72" s="493"/>
    </row>
    <row r="73" spans="1:225" s="536" customFormat="1">
      <c r="A73" s="522"/>
      <c r="B73" s="522" t="s">
        <v>105</v>
      </c>
      <c r="C73" s="522"/>
      <c r="D73" s="522"/>
      <c r="E73" s="522"/>
      <c r="F73" s="522"/>
      <c r="G73" s="522"/>
      <c r="H73" s="522"/>
      <c r="I73" s="522"/>
      <c r="J73" s="522"/>
      <c r="K73" s="522"/>
      <c r="L73" s="522"/>
      <c r="M73" s="522"/>
      <c r="N73" s="522"/>
      <c r="O73" s="522"/>
      <c r="P73" s="522"/>
      <c r="Q73" s="522"/>
      <c r="R73" s="522"/>
      <c r="S73" s="522"/>
      <c r="T73" s="522"/>
      <c r="U73" s="522"/>
      <c r="V73" s="522"/>
      <c r="W73" s="522"/>
      <c r="X73" s="522"/>
      <c r="Y73" s="522"/>
      <c r="Z73" s="522"/>
      <c r="AA73" s="522"/>
      <c r="AB73" s="522"/>
      <c r="AC73" s="522"/>
      <c r="AD73" s="522"/>
      <c r="AE73" s="522"/>
      <c r="AF73" s="522"/>
      <c r="AG73" s="522"/>
      <c r="AH73" s="522"/>
      <c r="AI73" s="522"/>
      <c r="AJ73" s="522"/>
      <c r="AK73" s="522"/>
      <c r="AL73" s="522"/>
      <c r="AM73" s="522"/>
      <c r="AN73" s="522"/>
      <c r="AO73" s="522"/>
      <c r="AP73" s="522"/>
      <c r="AQ73" s="522"/>
      <c r="AR73" s="522"/>
      <c r="AS73" s="522"/>
      <c r="AT73" s="522"/>
      <c r="AU73" s="522"/>
      <c r="AV73" s="522"/>
      <c r="AW73" s="522"/>
      <c r="AX73" s="522"/>
      <c r="AY73" s="522"/>
      <c r="AZ73" s="522"/>
      <c r="BA73" s="522"/>
      <c r="BB73" s="522"/>
      <c r="BC73" s="522"/>
      <c r="BD73" s="522"/>
      <c r="BE73" s="522"/>
      <c r="BF73" s="522"/>
      <c r="BG73" s="522"/>
      <c r="BH73" s="522"/>
      <c r="BI73" s="522"/>
      <c r="BJ73" s="522"/>
      <c r="BK73" s="522"/>
      <c r="BL73" s="522"/>
      <c r="BM73" s="522"/>
      <c r="BN73" s="522"/>
      <c r="BO73" s="522"/>
      <c r="BP73" s="522"/>
      <c r="BQ73" s="522"/>
      <c r="BR73" s="522"/>
      <c r="BS73" s="522"/>
      <c r="BT73" s="522"/>
      <c r="BU73" s="522"/>
      <c r="BV73" s="522"/>
      <c r="BW73" s="522"/>
      <c r="BX73" s="522"/>
      <c r="BY73" s="522"/>
      <c r="BZ73" s="522"/>
      <c r="CA73" s="522"/>
      <c r="CB73" s="522"/>
      <c r="CC73" s="522"/>
      <c r="CD73" s="522"/>
      <c r="CE73" s="522"/>
      <c r="CF73" s="522"/>
      <c r="CG73" s="522"/>
      <c r="CH73" s="522"/>
      <c r="CI73" s="522"/>
      <c r="CJ73" s="522"/>
      <c r="CK73" s="522"/>
      <c r="CL73" s="522"/>
      <c r="CM73" s="522"/>
      <c r="CN73" s="522"/>
      <c r="CO73" s="522"/>
      <c r="CP73" s="522"/>
      <c r="CQ73" s="522"/>
      <c r="CR73" s="522"/>
      <c r="CS73" s="522"/>
      <c r="CT73" s="522"/>
      <c r="CU73" s="522"/>
      <c r="CV73" s="522"/>
      <c r="CW73" s="522"/>
      <c r="CX73" s="522"/>
      <c r="CY73" s="522"/>
      <c r="CZ73" s="522"/>
      <c r="DA73" s="522"/>
      <c r="DB73" s="522"/>
      <c r="DC73" s="522"/>
      <c r="DD73" s="522"/>
      <c r="DE73" s="522"/>
      <c r="DF73" s="522"/>
      <c r="DG73" s="522"/>
      <c r="DH73" s="522">
        <f>ROUND(DH70-BS!DH11-BS!DH12,1)</f>
        <v>0</v>
      </c>
      <c r="DI73" s="522">
        <f>ROUND(DI70-BS!DI11-BS!DI12,1)</f>
        <v>0</v>
      </c>
      <c r="DJ73" s="522">
        <f>ROUND(DJ70-BS!DJ11-BS!DJ12,1)</f>
        <v>0</v>
      </c>
      <c r="DK73" s="522">
        <f>ROUND(DK70-BS!DK11-BS!DK12,1)</f>
        <v>0</v>
      </c>
      <c r="DL73" s="522">
        <f>ROUND(DL70-BS!DL11-BS!DL12,1)</f>
        <v>0</v>
      </c>
      <c r="DM73" s="529"/>
      <c r="DN73" s="522">
        <f>ROUND(DN70-BS!DN11-BS!DN12,1)</f>
        <v>0</v>
      </c>
      <c r="DO73" s="522">
        <f>ROUND(DO70-BS!DO11-BS!DO12,1)</f>
        <v>0</v>
      </c>
      <c r="DP73" s="522">
        <f>ROUND(DP70-BS!DP11-BS!DP12,1)</f>
        <v>0</v>
      </c>
      <c r="DQ73" s="522">
        <f>ROUND(DQ70-BS!DQ11-BS!DQ12,1)</f>
        <v>0</v>
      </c>
      <c r="DR73" s="522">
        <f>ROUND(DR70-BS!DR11-BS!DR12,1)</f>
        <v>0</v>
      </c>
      <c r="DS73" s="529"/>
      <c r="DT73" s="522">
        <f>ROUND(DT70-BS!DT11-BS!DT12,1)</f>
        <v>0</v>
      </c>
      <c r="DU73" s="522">
        <f>ROUND(DU70-BS!DU11-BS!DU12,1)</f>
        <v>0</v>
      </c>
      <c r="DV73" s="522">
        <f>ROUND(DV70-BS!DV11-BS!DV12,1)</f>
        <v>0</v>
      </c>
      <c r="DW73" s="522">
        <f>ROUND(DW70-BS!DW11-BS!DW12,1)</f>
        <v>0</v>
      </c>
      <c r="DX73" s="522">
        <f>ROUND(DX70-BS!DX11-BS!DX12,1)</f>
        <v>0</v>
      </c>
      <c r="DY73" s="529"/>
      <c r="DZ73" s="522">
        <f>ROUND(DZ70-BS!DZ11-BS!DZ12,1)</f>
        <v>0</v>
      </c>
      <c r="EA73" s="522">
        <f>ROUND(EA70-BS!EA11-BS!EA12,1)</f>
        <v>0</v>
      </c>
      <c r="EB73" s="522">
        <f>ROUND(EB70-BS!EB11-BS!EB12,1)</f>
        <v>0</v>
      </c>
      <c r="EC73" s="522">
        <f>ROUND(EC70-BS!EC11-BS!EC12,1)</f>
        <v>0</v>
      </c>
      <c r="ED73" s="522">
        <f>ROUND(ED70-BS!ED11-BS!ED12,1)</f>
        <v>0</v>
      </c>
      <c r="EE73" s="529"/>
      <c r="EF73" s="522">
        <f>ROUND(EF70-BS!EF11-BS!EF12,1)</f>
        <v>0</v>
      </c>
      <c r="EG73" s="522">
        <f>ROUND(EG70-BS!EG11-BS!EG12,1)</f>
        <v>0</v>
      </c>
      <c r="EH73" s="522">
        <f>ROUND(EH70-BS!EH11-BS!EH12,1)</f>
        <v>0</v>
      </c>
      <c r="EI73" s="522">
        <f>ROUND(EI70-BS!EI11-BS!EI12,1)</f>
        <v>0</v>
      </c>
      <c r="EJ73" s="522">
        <f>ROUND(EJ70-BS!EJ11-BS!EJ12,1)</f>
        <v>0</v>
      </c>
      <c r="EK73" s="529"/>
      <c r="EL73" s="522">
        <f>ROUND(EL70-BS!EL11-BS!EL12,1)</f>
        <v>0</v>
      </c>
      <c r="EM73" s="522">
        <f>ROUND(EM70-BS!EM11-BS!EM12,1)</f>
        <v>0</v>
      </c>
      <c r="EN73" s="522">
        <f>ROUND(EN70-BS!EN11-BS!EN12,1)</f>
        <v>0</v>
      </c>
      <c r="EO73" s="522">
        <f>ROUND(EO70-BS!EO11-BS!EO12,1)</f>
        <v>0</v>
      </c>
      <c r="EP73" s="522">
        <f>ROUND(EP70-BS!EP11-BS!EP12,1)</f>
        <v>0</v>
      </c>
      <c r="EQ73" s="529"/>
      <c r="ER73" s="522">
        <f>ROUND(ER70-BS!ER11-BS!ER12,1)</f>
        <v>0</v>
      </c>
      <c r="ES73" s="522">
        <f>ES70-BS!ES11</f>
        <v>3.6000000000001364E-2</v>
      </c>
      <c r="ET73" s="522">
        <f>ET70-BS!ET11</f>
        <v>5.9999999999718057E-3</v>
      </c>
      <c r="EU73" s="522">
        <f>EU70-BS!EU11</f>
        <v>5.9999999999718057E-3</v>
      </c>
      <c r="EV73" s="522">
        <f>EV70-BS!EV11</f>
        <v>5.9999999999149622E-3</v>
      </c>
      <c r="EW73" s="529"/>
      <c r="EX73" s="522">
        <f>EX70-BS!EX11</f>
        <v>5.9999999999718057E-3</v>
      </c>
      <c r="EY73" s="522">
        <f>EY70-BS!EY11</f>
        <v>6.0000000000002274E-2</v>
      </c>
      <c r="EZ73" s="522">
        <f>EZ70-BS!EZ11</f>
        <v>3.8000000000010914E-2</v>
      </c>
      <c r="FA73" s="522">
        <f>FA70-BS!FA11</f>
        <v>0</v>
      </c>
      <c r="FB73" s="522">
        <f>FB70-BS!FB11</f>
        <v>0</v>
      </c>
      <c r="FC73" s="529"/>
      <c r="FD73" s="522">
        <f>FD70-BS!FD11</f>
        <v>0</v>
      </c>
      <c r="FE73" s="522">
        <f>FE70-BS!FE11</f>
        <v>0</v>
      </c>
      <c r="FF73" s="522">
        <f>FF70-BS!FF11</f>
        <v>0</v>
      </c>
      <c r="FG73" s="522">
        <f>FG70-BS!FG11</f>
        <v>0</v>
      </c>
      <c r="FH73" s="522">
        <f>FH70-BS!FH11</f>
        <v>0</v>
      </c>
      <c r="FI73" s="529"/>
      <c r="FJ73" s="522">
        <f>FJ70-BS!FJ11</f>
        <v>0</v>
      </c>
      <c r="FK73" s="522">
        <f>FK70-BS!FK11</f>
        <v>0</v>
      </c>
      <c r="FL73" s="522">
        <f>FL70-BS!FL11</f>
        <v>0</v>
      </c>
      <c r="FM73" s="522">
        <f>FM70-BS!FM11</f>
        <v>0</v>
      </c>
      <c r="FN73" s="522">
        <f>FN70-BS!FN11</f>
        <v>0</v>
      </c>
      <c r="FO73" s="529"/>
      <c r="FP73" s="522">
        <f>FP70-BS!FP11</f>
        <v>0</v>
      </c>
      <c r="FQ73" s="522">
        <f>FQ70-BS!FQ11</f>
        <v>0</v>
      </c>
      <c r="FR73" s="522">
        <f>FR70-BS!FR11</f>
        <v>0</v>
      </c>
      <c r="FS73" s="522">
        <f>FS70-BS!FS11</f>
        <v>0</v>
      </c>
      <c r="FT73" s="522">
        <f>FT70-BS!FT11</f>
        <v>0</v>
      </c>
      <c r="FU73" s="529"/>
      <c r="FV73" s="522">
        <f>FV70-BS!FV11</f>
        <v>0</v>
      </c>
      <c r="FW73" s="522">
        <f>FW70-BS!FW11</f>
        <v>0</v>
      </c>
      <c r="FX73" s="522">
        <f>FX70-BS!FX11</f>
        <v>0</v>
      </c>
      <c r="FY73" s="522">
        <f>FY70-BS!FY11</f>
        <v>0</v>
      </c>
      <c r="FZ73" s="522">
        <f>FZ70-BS!FZ11</f>
        <v>0</v>
      </c>
      <c r="GA73" s="529"/>
      <c r="GB73" s="522">
        <f>GB70-BS!GB11</f>
        <v>0</v>
      </c>
      <c r="GC73" s="522">
        <f>GC70-BS!GC11</f>
        <v>0</v>
      </c>
      <c r="GD73" s="522">
        <f>GD70-BS!GD11</f>
        <v>0</v>
      </c>
      <c r="GE73" s="522">
        <f>GE70-BS!GE11</f>
        <v>0</v>
      </c>
      <c r="GF73" s="522">
        <f>GF70-BS!GF11</f>
        <v>0</v>
      </c>
      <c r="GG73" s="529"/>
      <c r="GH73" s="522">
        <f>GH70-BS!GH11</f>
        <v>0</v>
      </c>
      <c r="GI73" s="522">
        <f>GI70-BS!GI11</f>
        <v>0</v>
      </c>
      <c r="GJ73" s="522">
        <f>GJ70-BS!GJ11</f>
        <v>0</v>
      </c>
      <c r="GK73" s="522">
        <f>GK70-BS!GK11</f>
        <v>0</v>
      </c>
      <c r="GL73" s="522">
        <f>GL70-BS!GL11</f>
        <v>0</v>
      </c>
      <c r="GM73" s="529"/>
      <c r="GN73" s="522">
        <f>GN70-BS!GN11</f>
        <v>0</v>
      </c>
      <c r="GO73" s="522">
        <f>GO70-BS!GO11</f>
        <v>0</v>
      </c>
      <c r="GP73" s="522">
        <f>GP70-BS!GP11</f>
        <v>0</v>
      </c>
      <c r="GQ73" s="522">
        <f>GQ70-BS!GQ11</f>
        <v>0</v>
      </c>
      <c r="GR73" s="522">
        <f>GR70-BS!GR11</f>
        <v>0</v>
      </c>
      <c r="GS73" s="529"/>
      <c r="GT73" s="522">
        <f>GT70-BS!GT11</f>
        <v>0</v>
      </c>
      <c r="GU73" s="522">
        <f>GU70-BS!GU11</f>
        <v>0</v>
      </c>
      <c r="GV73" s="522">
        <f>GV70-BS!GV11</f>
        <v>0</v>
      </c>
      <c r="GW73" s="522">
        <f>GW70-BS!GW11</f>
        <v>0</v>
      </c>
      <c r="GX73" s="522">
        <f>GX70-BS!GX11</f>
        <v>0</v>
      </c>
      <c r="GY73" s="529"/>
      <c r="GZ73" s="522">
        <f>GZ70-BS!GZ11</f>
        <v>0</v>
      </c>
      <c r="HA73" s="522">
        <f>HA70-BS!HA11</f>
        <v>0</v>
      </c>
      <c r="HB73" s="522">
        <f>HB70-BS!HB11</f>
        <v>0</v>
      </c>
      <c r="HC73" s="522">
        <f>HC70-BS!HC11</f>
        <v>0</v>
      </c>
      <c r="HD73" s="522">
        <f>HD70-BS!HD11</f>
        <v>0</v>
      </c>
      <c r="HE73" s="529"/>
      <c r="HF73" s="522">
        <f>HF70-BS!HF11</f>
        <v>0</v>
      </c>
      <c r="HG73" s="522">
        <f>HG70-BS!HG11</f>
        <v>0</v>
      </c>
      <c r="HH73" s="522">
        <f>HH70-BS!HH11</f>
        <v>0</v>
      </c>
      <c r="HI73" s="522">
        <f>HI70-BS!HI11</f>
        <v>0</v>
      </c>
      <c r="HJ73" s="522">
        <f>HJ70-BS!HJ11</f>
        <v>0</v>
      </c>
      <c r="HK73" s="537"/>
      <c r="HL73" s="537"/>
      <c r="HM73" s="537"/>
      <c r="HN73" s="537"/>
      <c r="HO73" s="537"/>
    </row>
    <row r="74" spans="1:2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401"/>
      <c r="EL74" s="30"/>
      <c r="EM74" s="30"/>
      <c r="EN74" s="30"/>
      <c r="EO74" s="30"/>
      <c r="EP74" s="30"/>
      <c r="EQ74" s="401"/>
      <c r="ER74" s="30"/>
      <c r="ES74" s="30"/>
      <c r="ET74" s="30"/>
      <c r="EU74" s="30"/>
      <c r="EV74" s="30"/>
      <c r="EW74" s="401"/>
      <c r="EX74" s="30"/>
      <c r="EY74" s="30"/>
      <c r="EZ74" s="30"/>
      <c r="FA74" s="30"/>
      <c r="FB74" s="30"/>
      <c r="FC74" s="401"/>
      <c r="FD74" s="30"/>
      <c r="FE74" s="30"/>
      <c r="FF74" s="30"/>
      <c r="FG74" s="30"/>
      <c r="FH74" s="30"/>
      <c r="FI74" s="401"/>
      <c r="FJ74" s="30"/>
      <c r="FK74" s="30"/>
      <c r="FL74" s="30"/>
      <c r="FM74" s="30"/>
      <c r="FN74" s="30"/>
      <c r="FO74" s="401"/>
      <c r="FP74" s="30"/>
      <c r="FQ74" s="30"/>
      <c r="FR74" s="30"/>
      <c r="FS74" s="30"/>
      <c r="FT74" s="30"/>
      <c r="FU74" s="401"/>
      <c r="FV74" s="30"/>
      <c r="FW74" s="30"/>
      <c r="FX74" s="30"/>
      <c r="FY74" s="30"/>
      <c r="FZ74" s="30"/>
      <c r="GA74" s="401"/>
      <c r="GB74" s="30"/>
      <c r="GC74" s="30"/>
      <c r="GD74" s="30"/>
      <c r="GE74" s="30"/>
      <c r="GF74" s="30"/>
      <c r="GG74" s="401"/>
      <c r="GH74" s="30"/>
      <c r="GI74" s="30"/>
      <c r="GJ74" s="30"/>
      <c r="GK74" s="30"/>
      <c r="GL74" s="30"/>
      <c r="GM74" s="401"/>
      <c r="GN74" s="30"/>
      <c r="GO74" s="30"/>
      <c r="GP74" s="30"/>
      <c r="GQ74" s="30"/>
      <c r="GR74" s="30"/>
      <c r="GS74" s="401"/>
      <c r="GT74" s="30"/>
      <c r="GU74" s="30"/>
      <c r="GV74" s="30"/>
      <c r="GW74" s="30"/>
      <c r="GX74" s="30"/>
      <c r="GY74" s="401"/>
      <c r="GZ74" s="30"/>
      <c r="HA74" s="30"/>
      <c r="HB74" s="30"/>
      <c r="HC74" s="30"/>
      <c r="HD74" s="30"/>
      <c r="HE74" s="401"/>
      <c r="HH74" s="493"/>
      <c r="HI74" s="493"/>
      <c r="HJ74" s="493"/>
      <c r="HK74" s="493"/>
      <c r="HL74" s="493"/>
      <c r="HM74" s="493"/>
      <c r="HN74" s="493"/>
      <c r="HO74" s="493"/>
    </row>
    <row r="75" spans="1:225" s="466" customFormat="1">
      <c r="A75" s="102"/>
      <c r="B75" s="102" t="s">
        <v>106</v>
      </c>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f>DH36+DH39+DH40</f>
        <v>9.6459999999999972</v>
      </c>
      <c r="DI75" s="102">
        <f>DI36+DI39+DI40</f>
        <v>2.3630000000000013</v>
      </c>
      <c r="DJ75" s="102">
        <f>DJ36+DJ39+DJ40</f>
        <v>6.2329999999999988</v>
      </c>
      <c r="DK75" s="102">
        <f>DK36+DK39+DK40</f>
        <v>-113.143</v>
      </c>
      <c r="DL75" s="102">
        <f>DL36+DL39+DL40</f>
        <v>-94.90100000000001</v>
      </c>
      <c r="DM75" s="406"/>
      <c r="DN75" s="102">
        <f>DN36+DN39+DN40</f>
        <v>2.9010000000000011</v>
      </c>
      <c r="DO75" s="102">
        <f>DO36+DO39+DO40</f>
        <v>-8.1620000000000008</v>
      </c>
      <c r="DP75" s="102">
        <f>DP36+DP39+DP40</f>
        <v>11.318000000000001</v>
      </c>
      <c r="DQ75" s="102">
        <f>DQ36+DQ39+DQ40</f>
        <v>-2.7169999999999987</v>
      </c>
      <c r="DR75" s="102">
        <f>DR36+DR39+DR40</f>
        <v>3.34</v>
      </c>
      <c r="DS75" s="406"/>
      <c r="DT75" s="102">
        <f>DT36+DT39+DT40</f>
        <v>-48.640999999999998</v>
      </c>
      <c r="DU75" s="102">
        <f>DU36+DU39+DU40</f>
        <v>-3.1440000000000019</v>
      </c>
      <c r="DV75" s="102">
        <f>DV36+DV39+DV40</f>
        <v>-7.3310000000000048</v>
      </c>
      <c r="DW75" s="102">
        <f>DW36+DW39+DW40</f>
        <v>-5.5139999999999993</v>
      </c>
      <c r="DX75" s="102">
        <f>DX36+DX39+DX40</f>
        <v>-64.63</v>
      </c>
      <c r="DY75" s="406"/>
      <c r="DZ75" s="102">
        <f>DZ36+DZ39+DZ40</f>
        <v>-13.621</v>
      </c>
      <c r="EA75" s="102">
        <f>EA36+EA39+EA40</f>
        <v>-442.14099999999996</v>
      </c>
      <c r="EB75" s="102">
        <f>EB36+EB39+EB40</f>
        <v>-22.744</v>
      </c>
      <c r="EC75" s="102">
        <f>EC36+EC39+EC40</f>
        <v>-31.762999999999998</v>
      </c>
      <c r="ED75" s="102">
        <f>ED36+ED39+ED40</f>
        <v>-510.26900000000001</v>
      </c>
      <c r="EE75" s="406"/>
      <c r="EF75" s="102">
        <f>EF36+EF39+EF40</f>
        <v>-37.259</v>
      </c>
      <c r="EG75" s="102">
        <f>EG36+EG39+EG40</f>
        <v>-27.29</v>
      </c>
      <c r="EH75" s="102">
        <f>EH36+EH39+EH40</f>
        <v>-24.116000000000003</v>
      </c>
      <c r="EI75" s="102">
        <f>EI36+EI39+EI40</f>
        <v>-8.2189999999999941</v>
      </c>
      <c r="EJ75" s="102">
        <f>EJ36+EJ39+EJ40</f>
        <v>-96.883999999999986</v>
      </c>
      <c r="EK75" s="406"/>
      <c r="EL75" s="102">
        <f>EL36+EL39+EL40</f>
        <v>-22.619</v>
      </c>
      <c r="EM75" s="102">
        <f>EM36+EM39+EM40</f>
        <v>-9.041999999999998</v>
      </c>
      <c r="EN75" s="102">
        <f>EN36+EN39+EN40</f>
        <v>-9.7709999999999937</v>
      </c>
      <c r="EO75" s="102">
        <f>EO36+EO39+EO40</f>
        <v>10.726999999999997</v>
      </c>
      <c r="EP75" s="102">
        <f>EP36+EP39+EP40</f>
        <v>-30.705000000000005</v>
      </c>
      <c r="EQ75" s="406"/>
      <c r="ER75" s="102">
        <f>ER36+ER39+ER40</f>
        <v>-31.499999999999996</v>
      </c>
      <c r="ES75" s="102">
        <f>ES36+ES39+ES40</f>
        <v>0.84399999999999764</v>
      </c>
      <c r="ET75" s="102">
        <f>ET36+ET39+ET40</f>
        <v>-1.5829999999999966</v>
      </c>
      <c r="EU75" s="102">
        <f>EU36+EU39+EU40</f>
        <v>-1.7990000000000066</v>
      </c>
      <c r="EV75" s="102">
        <f>EV36+EV39+EV40</f>
        <v>-34.038000000000011</v>
      </c>
      <c r="EW75" s="406"/>
      <c r="EX75" s="102">
        <f>EX36+EX39+EX40</f>
        <v>-29.826999999999998</v>
      </c>
      <c r="EY75" s="102">
        <f>EY36+EY39+EY40</f>
        <v>8.0160000000000053</v>
      </c>
      <c r="EZ75" s="102">
        <f>EZ36+EZ39+EZ40</f>
        <v>0.10699999999999488</v>
      </c>
      <c r="FA75" s="102">
        <f>FA36+FA39+FA40</f>
        <v>6.2309530719978667</v>
      </c>
      <c r="FB75" s="102">
        <f>FB36+FB39+FB40</f>
        <v>-15.473046928002127</v>
      </c>
      <c r="FC75" s="406"/>
      <c r="FD75" s="102">
        <f>FD36+FD39+FD40</f>
        <v>0.78413266387570779</v>
      </c>
      <c r="FE75" s="102">
        <f>FE36+FE39+FE40</f>
        <v>-0.5329304232055847</v>
      </c>
      <c r="FF75" s="102">
        <f>FF36+FF39+FF40</f>
        <v>4.8941121997258339</v>
      </c>
      <c r="FG75" s="102">
        <f>FG36+FG39+FG40</f>
        <v>8.0299070727233577</v>
      </c>
      <c r="FH75" s="102">
        <f>FH36+FH39+FH40</f>
        <v>13.175221513119318</v>
      </c>
      <c r="FI75" s="406"/>
      <c r="FJ75" s="102">
        <f>FJ36+FJ39+FJ40</f>
        <v>13.878346666766165</v>
      </c>
      <c r="FK75" s="102">
        <f>FK36+FK39+FK40</f>
        <v>5.9385406840820121</v>
      </c>
      <c r="FL75" s="102">
        <f>FL36+FL39+FL40</f>
        <v>6.6432914363175524</v>
      </c>
      <c r="FM75" s="102">
        <f>FM36+FM39+FM40</f>
        <v>5.5325086593279558</v>
      </c>
      <c r="FN75" s="102">
        <f>FN36+FN39+FN40</f>
        <v>31.992687446493683</v>
      </c>
      <c r="FO75" s="406"/>
      <c r="FP75" s="102">
        <f>FP36+FP39+FP40</f>
        <v>17.469376736028579</v>
      </c>
      <c r="FQ75" s="102">
        <f>FQ36+FQ39+FQ40</f>
        <v>9.2962113488531468</v>
      </c>
      <c r="FR75" s="102">
        <f>FR36+FR39+FR40</f>
        <v>10.381962124586854</v>
      </c>
      <c r="FS75" s="102">
        <f>FS36+FS39+FS40</f>
        <v>11.558273710840076</v>
      </c>
      <c r="FT75" s="102">
        <f>FT36+FT39+FT40</f>
        <v>48.705823920308653</v>
      </c>
      <c r="FU75" s="406"/>
      <c r="FV75" s="102">
        <f>FV36+FV39+FV40</f>
        <v>19.831822564662748</v>
      </c>
      <c r="FW75" s="102">
        <f>FW36+FW39+FW40</f>
        <v>9.9294534762011342</v>
      </c>
      <c r="FX75" s="102">
        <f>FX36+FX39+FX40</f>
        <v>11.208783333350649</v>
      </c>
      <c r="FY75" s="102">
        <f>FY36+FY39+FY40</f>
        <v>12.540006654193071</v>
      </c>
      <c r="FZ75" s="102">
        <f>FZ36+FZ39+FZ40</f>
        <v>53.510066028407593</v>
      </c>
      <c r="GA75" s="406"/>
      <c r="GB75" s="102">
        <f>GB36+GB39+GB40</f>
        <v>26.964875992206473</v>
      </c>
      <c r="GC75" s="102">
        <f>GC36+GC39+GC40</f>
        <v>16.232177862024514</v>
      </c>
      <c r="GD75" s="102">
        <f>GD36+GD39+GD40</f>
        <v>17.866282642451111</v>
      </c>
      <c r="GE75" s="102">
        <f>GE36+GE39+GE40</f>
        <v>19.452947090960969</v>
      </c>
      <c r="GF75" s="102">
        <f>GF36+GF39+GF40</f>
        <v>80.516283587643073</v>
      </c>
      <c r="GG75" s="406"/>
      <c r="GH75" s="102">
        <f>GH36+GH39+GH40</f>
        <v>34.42279912173683</v>
      </c>
      <c r="GI75" s="102">
        <f>GI36+GI39+GI40</f>
        <v>23.032338370278765</v>
      </c>
      <c r="GJ75" s="102">
        <f>GJ36+GJ39+GJ40</f>
        <v>25.103653031523894</v>
      </c>
      <c r="GK75" s="102">
        <f>GK36+GK39+GK40</f>
        <v>28.732205011412987</v>
      </c>
      <c r="GL75" s="102">
        <f>GL36+GL39+GL40</f>
        <v>111.29099553495247</v>
      </c>
      <c r="GM75" s="406"/>
      <c r="GN75" s="102">
        <f>GN36+GN39+GN40</f>
        <v>44.713670538358706</v>
      </c>
      <c r="GO75" s="102">
        <f>GO36+GO39+GO40</f>
        <v>32.736881710737663</v>
      </c>
      <c r="GP75" s="102">
        <f>GP36+GP39+GP40</f>
        <v>35.244681369142867</v>
      </c>
      <c r="GQ75" s="102">
        <f>GQ36+GQ39+GQ40</f>
        <v>37.452900726982975</v>
      </c>
      <c r="GR75" s="102">
        <f>GR36+GR39+GR40</f>
        <v>150.14813434522219</v>
      </c>
      <c r="GS75" s="406"/>
      <c r="GT75" s="102">
        <f>GT36+GT39+GT40</f>
        <v>53.278527459715605</v>
      </c>
      <c r="GU75" s="102">
        <f>GU36+GU39+GU40</f>
        <v>40.767080875463897</v>
      </c>
      <c r="GV75" s="102">
        <f>GV36+GV39+GV40</f>
        <v>43.760029198617744</v>
      </c>
      <c r="GW75" s="102">
        <f>GW36+GW39+GW40</f>
        <v>46.313603344431826</v>
      </c>
      <c r="GX75" s="102">
        <f>GX36+GX39+GX40</f>
        <v>184.11924087822905</v>
      </c>
      <c r="GY75" s="406"/>
      <c r="GZ75" s="102">
        <f>GZ36+GZ39+GZ40</f>
        <v>63.029442909483294</v>
      </c>
      <c r="HA75" s="102">
        <f>HA36+HA39+HA40</f>
        <v>50.04302844034342</v>
      </c>
      <c r="HB75" s="102">
        <f>HB36+HB39+HB40</f>
        <v>53.56365575863903</v>
      </c>
      <c r="HC75" s="102">
        <f>HC36+HC39+HC40</f>
        <v>56.485418896831391</v>
      </c>
      <c r="HD75" s="102">
        <f>HD36+HD39+HD40</f>
        <v>223.1215460052972</v>
      </c>
      <c r="HE75" s="406"/>
      <c r="HF75" s="102">
        <f>HF36+HF39+HF40</f>
        <v>73.655262295459494</v>
      </c>
      <c r="HG75" s="102">
        <f>HG36+HG39+HG40</f>
        <v>60.251012791023626</v>
      </c>
      <c r="HH75" s="102">
        <f>HH36+HH39+HH40</f>
        <v>64.328862957079224</v>
      </c>
      <c r="HI75" s="102">
        <f>HI36+HI39+HI40</f>
        <v>67.634096230449927</v>
      </c>
      <c r="HJ75" s="102">
        <f>HJ36+HJ39+HJ40</f>
        <v>265.86923427401229</v>
      </c>
      <c r="HK75" s="517"/>
      <c r="HL75" s="517"/>
      <c r="HM75" s="517"/>
      <c r="HN75" s="517"/>
      <c r="HO75" s="517"/>
    </row>
    <row r="76" spans="1:225" s="653" customFormat="1">
      <c r="A76" s="648"/>
      <c r="B76" s="648"/>
      <c r="C76" s="648" t="s">
        <v>107</v>
      </c>
      <c r="D76" s="648"/>
      <c r="E76" s="648"/>
      <c r="F76" s="648"/>
      <c r="G76" s="648"/>
      <c r="H76" s="648"/>
      <c r="I76" s="648"/>
      <c r="J76" s="648"/>
      <c r="K76" s="648"/>
      <c r="L76" s="648"/>
      <c r="M76" s="648"/>
      <c r="N76" s="648"/>
      <c r="O76" s="648"/>
      <c r="P76" s="648"/>
      <c r="Q76" s="648"/>
      <c r="R76" s="648"/>
      <c r="S76" s="648"/>
      <c r="T76" s="648"/>
      <c r="U76" s="648"/>
      <c r="V76" s="648"/>
      <c r="W76" s="648"/>
      <c r="X76" s="648"/>
      <c r="Y76" s="648"/>
      <c r="Z76" s="648"/>
      <c r="AA76" s="648"/>
      <c r="AB76" s="648"/>
      <c r="AC76" s="648"/>
      <c r="AD76" s="648"/>
      <c r="AE76" s="648"/>
      <c r="AF76" s="648"/>
      <c r="AG76" s="648"/>
      <c r="AH76" s="648"/>
      <c r="AI76" s="648"/>
      <c r="AJ76" s="648"/>
      <c r="AK76" s="648"/>
      <c r="AL76" s="648"/>
      <c r="AM76" s="648"/>
      <c r="AN76" s="648"/>
      <c r="AO76" s="648"/>
      <c r="AP76" s="648"/>
      <c r="AQ76" s="648"/>
      <c r="AR76" s="648"/>
      <c r="AS76" s="648"/>
      <c r="AT76" s="648"/>
      <c r="AU76" s="648"/>
      <c r="AV76" s="648"/>
      <c r="AW76" s="648"/>
      <c r="AX76" s="648"/>
      <c r="AY76" s="648"/>
      <c r="AZ76" s="648"/>
      <c r="BA76" s="648"/>
      <c r="BB76" s="648"/>
      <c r="BC76" s="648"/>
      <c r="BD76" s="648"/>
      <c r="BE76" s="648"/>
      <c r="BF76" s="648"/>
      <c r="BG76" s="648"/>
      <c r="BH76" s="648"/>
      <c r="BI76" s="648"/>
      <c r="BJ76" s="648"/>
      <c r="BK76" s="648"/>
      <c r="BL76" s="648"/>
      <c r="BM76" s="648"/>
      <c r="BN76" s="648"/>
      <c r="BO76" s="648"/>
      <c r="BP76" s="648"/>
      <c r="BQ76" s="648"/>
      <c r="BR76" s="648"/>
      <c r="BS76" s="648"/>
      <c r="BT76" s="648"/>
      <c r="BU76" s="648"/>
      <c r="BV76" s="648"/>
      <c r="BW76" s="648"/>
      <c r="BX76" s="648"/>
      <c r="BY76" s="648"/>
      <c r="BZ76" s="648"/>
      <c r="CA76" s="648"/>
      <c r="CB76" s="648"/>
      <c r="CC76" s="648"/>
      <c r="CD76" s="648"/>
      <c r="CE76" s="648"/>
      <c r="CF76" s="648"/>
      <c r="CG76" s="648"/>
      <c r="CH76" s="648"/>
      <c r="CI76" s="648"/>
      <c r="CJ76" s="648"/>
      <c r="CK76" s="648"/>
      <c r="CL76" s="648"/>
      <c r="CM76" s="648"/>
      <c r="CN76" s="648"/>
      <c r="CO76" s="648"/>
      <c r="CP76" s="648"/>
      <c r="CQ76" s="648"/>
      <c r="CR76" s="648"/>
      <c r="CS76" s="648"/>
      <c r="CT76" s="648"/>
      <c r="CU76" s="648"/>
      <c r="CV76" s="648"/>
      <c r="CW76" s="648"/>
      <c r="CX76" s="648"/>
      <c r="CY76" s="648"/>
      <c r="CZ76" s="648"/>
      <c r="DA76" s="648"/>
      <c r="DB76" s="648"/>
      <c r="DC76" s="648"/>
      <c r="DD76" s="648"/>
      <c r="DE76" s="648"/>
      <c r="DF76" s="648"/>
      <c r="DG76" s="648"/>
      <c r="DH76" s="649"/>
      <c r="DI76" s="649"/>
      <c r="DJ76" s="649"/>
      <c r="DK76" s="649"/>
      <c r="DL76" s="649"/>
      <c r="DM76" s="650"/>
      <c r="DN76" s="651">
        <f>DN75/DH75-1</f>
        <v>-0.699253576612067</v>
      </c>
      <c r="DO76" s="651">
        <f>DO75/DI75-1</f>
        <v>-4.4540837917900955</v>
      </c>
      <c r="DP76" s="651">
        <f>DP75/DJ75-1</f>
        <v>0.81581902775549553</v>
      </c>
      <c r="DQ76" s="651">
        <f>DQ75/DK75-1</f>
        <v>-0.97598614143163964</v>
      </c>
      <c r="DR76" s="649"/>
      <c r="DS76" s="650"/>
      <c r="DT76" s="651">
        <f>DT75/DN75-1</f>
        <v>-17.766976904515676</v>
      </c>
      <c r="DU76" s="651">
        <f>DU75/DO75-1</f>
        <v>-0.61480029404557679</v>
      </c>
      <c r="DV76" s="651">
        <f>DV75/DP75-1</f>
        <v>-1.6477292807916597</v>
      </c>
      <c r="DW76" s="651">
        <f>DW75/DQ75-1</f>
        <v>1.0294442399705566</v>
      </c>
      <c r="DX76" s="649"/>
      <c r="DY76" s="650"/>
      <c r="DZ76" s="651">
        <f>DZ75/DT75-1</f>
        <v>-0.71996875064246213</v>
      </c>
      <c r="EA76" s="651">
        <f>EA75/DU75-1</f>
        <v>139.63008905852408</v>
      </c>
      <c r="EB76" s="651">
        <f>EB75/DV75-1</f>
        <v>2.1024416859909949</v>
      </c>
      <c r="EC76" s="651">
        <f>EC75/DW75-1</f>
        <v>4.7604280014508529</v>
      </c>
      <c r="ED76" s="649"/>
      <c r="EE76" s="650"/>
      <c r="EF76" s="651">
        <f>EF75/DZ75-1</f>
        <v>1.7354085603112841</v>
      </c>
      <c r="EG76" s="651">
        <f>EG75/EA75-1</f>
        <v>-0.93827760827428353</v>
      </c>
      <c r="EH76" s="651">
        <f>EH75/EB75-1</f>
        <v>6.0323601829054052E-2</v>
      </c>
      <c r="EI76" s="651">
        <f>EI75/EC75-1</f>
        <v>-0.741239807322986</v>
      </c>
      <c r="EJ76" s="649"/>
      <c r="EK76" s="650"/>
      <c r="EL76" s="651">
        <f>EL75/EF75-1</f>
        <v>-0.39292519928071068</v>
      </c>
      <c r="EM76" s="651">
        <f>EM75/EG75-1</f>
        <v>-0.66866984243312577</v>
      </c>
      <c r="EN76" s="651">
        <f>EN75/EH75-1</f>
        <v>-0.59483330568916926</v>
      </c>
      <c r="EO76" s="651">
        <f>EO75/EI75-1</f>
        <v>-2.3051466115099166</v>
      </c>
      <c r="EP76" s="649"/>
      <c r="EQ76" s="650"/>
      <c r="ER76" s="651">
        <f>ER75/EL75-1</f>
        <v>0.39263451080949641</v>
      </c>
      <c r="ES76" s="651">
        <f>ES75/EM75-1</f>
        <v>-1.0933421809334216</v>
      </c>
      <c r="ET76" s="651">
        <f>ET75/EN75-1</f>
        <v>-0.83798997032033595</v>
      </c>
      <c r="EU76" s="651">
        <f>EU75/EO75-1</f>
        <v>-1.1677076535844138</v>
      </c>
      <c r="EV76" s="651">
        <f>EV75/EP75-1</f>
        <v>0.10854909623839792</v>
      </c>
      <c r="EW76" s="650"/>
      <c r="EX76" s="651">
        <f>EX75/ER75-1</f>
        <v>-5.3111111111111109E-2</v>
      </c>
      <c r="EY76" s="651">
        <f>EY75/ES75-1</f>
        <v>8.4976303317535873</v>
      </c>
      <c r="EZ76" s="651">
        <f>EZ75/ET75-1</f>
        <v>-1.0675931775110519</v>
      </c>
      <c r="FA76" s="651">
        <f>FA75/EU75-1</f>
        <v>-4.4635647982200357</v>
      </c>
      <c r="FB76" s="651">
        <f>FB75/EV75-1</f>
        <v>-0.54541844620711788</v>
      </c>
      <c r="FC76" s="650"/>
      <c r="FD76" s="651">
        <f>FD75/EX75-1</f>
        <v>-1.0262893574236667</v>
      </c>
      <c r="FE76" s="651">
        <f>FE75/EY75-1</f>
        <v>-1.0664833362282415</v>
      </c>
      <c r="FF76" s="651">
        <f>FF75/EZ75-1</f>
        <v>44.739366352580078</v>
      </c>
      <c r="FG76" s="651">
        <f>FG75/FA75-1</f>
        <v>0.28871249388958753</v>
      </c>
      <c r="FH76" s="651">
        <f>FH75/FB75-1</f>
        <v>-1.8514949624611847</v>
      </c>
      <c r="FI76" s="650"/>
      <c r="FJ76" s="651">
        <f>FJ75/FD75-1</f>
        <v>16.698977872149971</v>
      </c>
      <c r="FK76" s="651">
        <f>FK75/FE75-1</f>
        <v>-12.143181971788358</v>
      </c>
      <c r="FL76" s="651">
        <f>FL75/FF75-1</f>
        <v>0.35740480912752814</v>
      </c>
      <c r="FM76" s="651">
        <f>FM75/FG75-1</f>
        <v>-0.31101211891713765</v>
      </c>
      <c r="FN76" s="651">
        <f>FN75/FH75-1</f>
        <v>1.4282466457688581</v>
      </c>
      <c r="FO76" s="650"/>
      <c r="FP76" s="651">
        <f>FP75/FJ75-1</f>
        <v>0.25875056701542754</v>
      </c>
      <c r="FQ76" s="651">
        <f>FQ75/FK75-1</f>
        <v>0.56540332775208868</v>
      </c>
      <c r="FR76" s="651">
        <f>FR75/FL75-1</f>
        <v>0.56277384849183854</v>
      </c>
      <c r="FS76" s="651">
        <f>FS75/FM75-1</f>
        <v>1.0891560090651682</v>
      </c>
      <c r="FT76" s="651">
        <f>FT75/FN75-1</f>
        <v>0.52240489336092599</v>
      </c>
      <c r="FU76" s="650"/>
      <c r="FV76" s="651">
        <f>FV75/FP75-1</f>
        <v>0.1352335497901247</v>
      </c>
      <c r="FW76" s="651">
        <f>FW75/FQ75-1</f>
        <v>6.8118301486993271E-2</v>
      </c>
      <c r="FX76" s="651">
        <f>FX75/FR75-1</f>
        <v>7.9640168095556074E-2</v>
      </c>
      <c r="FY76" s="651">
        <f>FY75/FS75-1</f>
        <v>8.4937679095820728E-2</v>
      </c>
      <c r="FZ76" s="651">
        <f>FZ75/FT75-1</f>
        <v>9.8637939396313934E-2</v>
      </c>
      <c r="GA76" s="650"/>
      <c r="GB76" s="651">
        <f>GB75/FV75-1</f>
        <v>0.35967715041247539</v>
      </c>
      <c r="GC76" s="651">
        <f>GC75/FW75-1</f>
        <v>0.63475038187446264</v>
      </c>
      <c r="GD76" s="651">
        <f>GD75/FX75-1</f>
        <v>0.59395378705302626</v>
      </c>
      <c r="GE76" s="651">
        <f>GE75/FY75-1</f>
        <v>0.55127087468142455</v>
      </c>
      <c r="GF76" s="651">
        <f>GF75/FZ75-1</f>
        <v>0.50469415501932535</v>
      </c>
      <c r="GG76" s="650"/>
      <c r="GH76" s="651">
        <f>GH75/GB75-1</f>
        <v>0.27657917402200871</v>
      </c>
      <c r="GI76" s="651">
        <f>GI75/GC75-1</f>
        <v>0.41893087705521981</v>
      </c>
      <c r="GJ76" s="651">
        <f>GJ75/GD75-1</f>
        <v>0.40508540774321222</v>
      </c>
      <c r="GK76" s="651">
        <f>GK75/GE75-1</f>
        <v>0.47701039215614438</v>
      </c>
      <c r="GL76" s="651">
        <f>GL75/GF75-1</f>
        <v>0.38221724322149941</v>
      </c>
      <c r="GM76" s="650"/>
      <c r="GN76" s="651">
        <f>GN75/GH75-1</f>
        <v>0.29895510182736817</v>
      </c>
      <c r="GO76" s="651">
        <f>GO75/GI75-1</f>
        <v>0.4213442501774709</v>
      </c>
      <c r="GP76" s="651">
        <f>GP75/GJ75-1</f>
        <v>0.40396624048636998</v>
      </c>
      <c r="GQ76" s="651">
        <f>GQ75/GK75-1</f>
        <v>0.30351640996943874</v>
      </c>
      <c r="GR76" s="651">
        <f>GR75/GL75-1</f>
        <v>0.34914899110652753</v>
      </c>
      <c r="GS76" s="650"/>
      <c r="GT76" s="651">
        <f>GT75/GN75-1</f>
        <v>0.19154895624167856</v>
      </c>
      <c r="GU76" s="651">
        <f>GU75/GO75-1</f>
        <v>0.24529517611606666</v>
      </c>
      <c r="GV76" s="651">
        <f>GV75/GP75-1</f>
        <v>0.24160660555524727</v>
      </c>
      <c r="GW76" s="651">
        <f>GW75/GQ75-1</f>
        <v>0.23658254622358665</v>
      </c>
      <c r="GX76" s="651">
        <f>GX75/GR75-1</f>
        <v>0.22625060698323507</v>
      </c>
      <c r="GY76" s="650"/>
      <c r="GZ76" s="651">
        <f>GZ75/GT75-1</f>
        <v>0.18301773556223844</v>
      </c>
      <c r="HA76" s="651">
        <f>HA75/GU75-1</f>
        <v>0.22753524082864485</v>
      </c>
      <c r="HB76" s="651">
        <f>HB75/GV75-1</f>
        <v>0.22403153607427106</v>
      </c>
      <c r="HC76" s="651">
        <f>HC75/GW75-1</f>
        <v>0.2196291114891733</v>
      </c>
      <c r="HD76" s="651">
        <f>HD75/GX75-1</f>
        <v>0.21183177239397333</v>
      </c>
      <c r="HE76" s="652"/>
      <c r="HF76" s="651">
        <f>HF75/GZ75-1</f>
        <v>0.16858501194808206</v>
      </c>
      <c r="HG76" s="651">
        <f>HG75/HA75-1</f>
        <v>0.20398414462164705</v>
      </c>
      <c r="HH76" s="651">
        <f>HH75/HB75-1</f>
        <v>0.20097969501836932</v>
      </c>
      <c r="HI76" s="651">
        <f>HI75/HC75-1</f>
        <v>0.1973726591986722</v>
      </c>
      <c r="HJ76" s="651">
        <f>HJ75/HD75-1</f>
        <v>0.19158924377343722</v>
      </c>
      <c r="HK76" s="654"/>
      <c r="HL76" s="654"/>
      <c r="HM76" s="654"/>
      <c r="HN76" s="654"/>
      <c r="HO76" s="654"/>
    </row>
    <row r="77" spans="1:225" s="465" customFormat="1">
      <c r="A77" s="20"/>
      <c r="B77" s="20"/>
      <c r="C77" s="20" t="s">
        <v>108</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645">
        <f>DH75/IS!DH62</f>
        <v>2.6204835642488411</v>
      </c>
      <c r="DI77" s="645">
        <f>DI75/IS!DI62</f>
        <v>0.52910882221227151</v>
      </c>
      <c r="DJ77" s="645">
        <f>DJ75/IS!DJ62</f>
        <v>1.3500108295429922</v>
      </c>
      <c r="DK77" s="645">
        <f>DK75/IS!DK62</f>
        <v>-20.627711941659083</v>
      </c>
      <c r="DL77" s="645">
        <f>DL75/IS!DL62</f>
        <v>-5.2003397446435402</v>
      </c>
      <c r="DM77" s="646"/>
      <c r="DN77" s="645">
        <f>DN75/IS!DN62</f>
        <v>0.40522419332309045</v>
      </c>
      <c r="DO77" s="645">
        <f>DO75/IS!DO62</f>
        <v>-1.129219701162149</v>
      </c>
      <c r="DP77" s="645">
        <f>DP75/IS!DP62</f>
        <v>1.502057067020572</v>
      </c>
      <c r="DQ77" s="645">
        <f>DQ75/IS!DQ62</f>
        <v>-0.24876396264420428</v>
      </c>
      <c r="DR77" s="645">
        <f>DR75/IS!DR62</f>
        <v>0.10169285105346493</v>
      </c>
      <c r="DS77" s="646"/>
      <c r="DT77" s="645">
        <f>DT75/IS!DT62</f>
        <v>22.170009115770252</v>
      </c>
      <c r="DU77" s="645">
        <f>DU75/IS!DU62</f>
        <v>0.75960376902633742</v>
      </c>
      <c r="DV77" s="645">
        <f>DV75/IS!DV62</f>
        <v>-1.0531532825743437</v>
      </c>
      <c r="DW77" s="645">
        <f>DW75/IS!DW62</f>
        <v>-0.33327289211242084</v>
      </c>
      <c r="DX77" s="645">
        <f>DX75/IS!DX62</f>
        <v>-3.7634659057823181</v>
      </c>
      <c r="DY77" s="646"/>
      <c r="DZ77" s="645">
        <f>DZ75/IS!DZ62</f>
        <v>2.9311383688401156</v>
      </c>
      <c r="EA77" s="645">
        <f>EA75/IS!EA62</f>
        <v>511.73726851853036</v>
      </c>
      <c r="EB77" s="645">
        <f>EB75/IS!EB62</f>
        <v>2.3291346646185365</v>
      </c>
      <c r="EC77" s="645">
        <f>EC75/IS!EC62</f>
        <v>1.8221087654887556</v>
      </c>
      <c r="ED77" s="645">
        <f>ED75/IS!ED62</f>
        <v>15.600739880151629</v>
      </c>
      <c r="EE77" s="646"/>
      <c r="EF77" s="645">
        <f>EF75/IS!EF62</f>
        <v>1.4931073174641334</v>
      </c>
      <c r="EG77" s="645">
        <f>EG75/IS!EG62</f>
        <v>1.364841210302574</v>
      </c>
      <c r="EH77" s="645">
        <f>EH75/IS!EH62</f>
        <v>1.3474131187842222</v>
      </c>
      <c r="EI77" s="645">
        <f>EI75/IS!EI62</f>
        <v>1.1827601093682572</v>
      </c>
      <c r="EJ77" s="645">
        <f>EJ75/IS!EJ62</f>
        <v>1.3881024700555902</v>
      </c>
      <c r="EK77" s="646"/>
      <c r="EL77" s="645">
        <f>EL75/IS!EL62</f>
        <v>1.9214237172952771</v>
      </c>
      <c r="EM77" s="645">
        <f>EM75/IS!EM62</f>
        <v>1.3509636934110261</v>
      </c>
      <c r="EN77" s="645">
        <f>EN75/IS!EN62</f>
        <v>36.323420074349343</v>
      </c>
      <c r="EO77" s="645">
        <f>EO75/IS!EO62</f>
        <v>2.7547508988186942</v>
      </c>
      <c r="EP77" s="645">
        <f>EP75/IS!EP62</f>
        <v>2.069070080862522</v>
      </c>
      <c r="EQ77" s="646"/>
      <c r="ER77" s="645">
        <f>ER75/IS!ER62</f>
        <v>11.913767019667207</v>
      </c>
      <c r="ES77" s="645">
        <f>ES75/IS!ES62</f>
        <v>0.19077757685352509</v>
      </c>
      <c r="ET77" s="645">
        <f>ET75/IS!ET62</f>
        <v>-0.22836122331217429</v>
      </c>
      <c r="EU77" s="645">
        <f>EU75/IS!EU62</f>
        <v>-0.32385238523852455</v>
      </c>
      <c r="EV77" s="645">
        <f>EV75/IS!EV62</f>
        <v>-2.3857853788462764</v>
      </c>
      <c r="EW77" s="646"/>
      <c r="EX77" s="645">
        <f>EX75/IS!EX62</f>
        <v>64.982570806101592</v>
      </c>
      <c r="EY77" s="645">
        <f>EY75/IS!EY62</f>
        <v>2.2334912231819306</v>
      </c>
      <c r="EZ77" s="645">
        <f>EZ75/IS!EZ62</f>
        <v>2.9323102219784847E-2</v>
      </c>
      <c r="FA77" s="645">
        <f>FA75/IS!FA62</f>
        <v>0.772496041656072</v>
      </c>
      <c r="FB77" s="645">
        <f>FB75/IS!FB62</f>
        <v>-1.0423069671944862</v>
      </c>
      <c r="FC77" s="646"/>
      <c r="FD77" s="645">
        <f>FD75/IS!FD62</f>
        <v>-9.240489735573453</v>
      </c>
      <c r="FE77" s="645">
        <f>FE75/IS!FE62</f>
        <v>-0.19514012302458872</v>
      </c>
      <c r="FF77" s="645">
        <f>FF75/IS!FF62</f>
        <v>0.64890209405944499</v>
      </c>
      <c r="FG77" s="645">
        <f>FG75/IS!FG62</f>
        <v>0.8238550521323762</v>
      </c>
      <c r="FH77" s="645">
        <f>FH75/IS!FH62</f>
        <v>0.66090751066142994</v>
      </c>
      <c r="FI77" s="647"/>
      <c r="FJ77" s="645">
        <f>FJ75/IS!FJ62</f>
        <v>1.4928491788459117</v>
      </c>
      <c r="FK77" s="645">
        <f>FK75/IS!FK62</f>
        <v>0.59931295473167934</v>
      </c>
      <c r="FL77" s="645">
        <f>FL75/IS!FL62</f>
        <v>0.64034753799571775</v>
      </c>
      <c r="FM77" s="645">
        <f>FM75/IS!FM62</f>
        <v>0.64985509164531463</v>
      </c>
      <c r="FN77" s="645">
        <f>FN75/IS!FN62</f>
        <v>0.83984806169955317</v>
      </c>
      <c r="FO77" s="646"/>
      <c r="FP77" s="645">
        <f>FP75/IS!FP62</f>
        <v>1.3372410765570082</v>
      </c>
      <c r="FQ77" s="645">
        <f>FQ75/IS!FQ62</f>
        <v>0.66246218721246364</v>
      </c>
      <c r="FR77" s="645">
        <f>FR75/IS!FR62</f>
        <v>0.7017656518930685</v>
      </c>
      <c r="FS77" s="645">
        <f>FS75/IS!FS62</f>
        <v>0.75667703033990308</v>
      </c>
      <c r="FT77" s="645">
        <f>FT75/IS!FT62</f>
        <v>0.85201186054393563</v>
      </c>
      <c r="FU77" s="646"/>
      <c r="FV77" s="645">
        <f>FV75/IS!FV62</f>
        <v>1.4214300779428861</v>
      </c>
      <c r="FW77" s="645">
        <f>FW75/IS!FW62</f>
        <v>0.65146425773698058</v>
      </c>
      <c r="FX77" s="645">
        <f>FX75/IS!FX62</f>
        <v>0.69513846018412584</v>
      </c>
      <c r="FY77" s="645">
        <f>FY75/IS!FY62</f>
        <v>0.75222648682284632</v>
      </c>
      <c r="FZ77" s="645">
        <f>FZ75/IS!FZ62</f>
        <v>0.863221215987105</v>
      </c>
      <c r="GA77" s="646"/>
      <c r="GB77" s="645">
        <f>GB75/IS!GB62</f>
        <v>1.3427290851393845</v>
      </c>
      <c r="GC77" s="645">
        <f>GC75/IS!GC62</f>
        <v>0.75167978996691087</v>
      </c>
      <c r="GD77" s="645">
        <f>GD75/IS!GD62</f>
        <v>0.78341201752960077</v>
      </c>
      <c r="GE77" s="645">
        <f>GE75/IS!GE62</f>
        <v>0.82565403006257887</v>
      </c>
      <c r="GF77" s="645">
        <f>GF75/IS!GF62</f>
        <v>0.91451026739789354</v>
      </c>
      <c r="GG77" s="646"/>
      <c r="GH77" s="645">
        <f>GH75/IS!GH62</f>
        <v>1.2801816382375333</v>
      </c>
      <c r="GI77" s="645">
        <f>GI75/IS!GI62</f>
        <v>0.79858400404453411</v>
      </c>
      <c r="GJ77" s="645">
        <f>GJ75/IS!GJ62</f>
        <v>0.82524920921359901</v>
      </c>
      <c r="GK77" s="645">
        <f>GK75/IS!GK62</f>
        <v>0.86719303164223838</v>
      </c>
      <c r="GL77" s="645">
        <f>GL75/IS!GL62</f>
        <v>0.93300455322928599</v>
      </c>
      <c r="GM77" s="646"/>
      <c r="GN77" s="645">
        <f>GN75/IS!GN62</f>
        <v>1.2427253608856756</v>
      </c>
      <c r="GO77" s="645">
        <f>GO75/IS!GO62</f>
        <v>0.85174915862974898</v>
      </c>
      <c r="GP77" s="645">
        <f>GP75/IS!GP62</f>
        <v>0.87165414659523377</v>
      </c>
      <c r="GQ77" s="645">
        <f>GQ75/IS!GQ62</f>
        <v>0.89827580344211899</v>
      </c>
      <c r="GR77" s="645">
        <f>GR75/IS!GR62</f>
        <v>0.95914530906821405</v>
      </c>
      <c r="GS77" s="646"/>
      <c r="GT77" s="645">
        <f>GT75/IS!GT62</f>
        <v>1.2115545429302785</v>
      </c>
      <c r="GU77" s="645">
        <f>GU75/IS!GU62</f>
        <v>0.8687751221947142</v>
      </c>
      <c r="GV77" s="645">
        <f>GV75/IS!GV62</f>
        <v>0.8869426984421066</v>
      </c>
      <c r="GW77" s="645">
        <f>GW75/IS!GW62</f>
        <v>0.91057735360435588</v>
      </c>
      <c r="GX77" s="645">
        <f>GX75/IS!GX62</f>
        <v>0.96347074959748324</v>
      </c>
      <c r="GY77" s="646"/>
      <c r="GZ77" s="645">
        <f>GZ75/IS!GZ62</f>
        <v>1.1880587781070038</v>
      </c>
      <c r="HA77" s="645">
        <f>HA75/IS!HA62</f>
        <v>0.88479648724317794</v>
      </c>
      <c r="HB77" s="645">
        <f>HB75/IS!HB62</f>
        <v>0.901157235711053</v>
      </c>
      <c r="HC77" s="645">
        <f>HC75/IS!HC62</f>
        <v>0.9220553723403222</v>
      </c>
      <c r="HD77" s="645">
        <f>HD75/IS!HD62</f>
        <v>0.96878648552076729</v>
      </c>
      <c r="HE77" s="509"/>
      <c r="HF77" s="645">
        <f>HF75/IS!HF62</f>
        <v>1.1699458674100036</v>
      </c>
      <c r="HG77" s="645">
        <f>HG75/IS!HG62</f>
        <v>0.89844196887123962</v>
      </c>
      <c r="HH77" s="645">
        <f>HH75/IS!HH62</f>
        <v>0.91318613154284334</v>
      </c>
      <c r="HI77" s="645">
        <f>HI75/IS!HI62</f>
        <v>0.93176108597580309</v>
      </c>
      <c r="HJ77" s="645">
        <f>HJ75/IS!HJ62</f>
        <v>0.97370311782699515</v>
      </c>
      <c r="HK77" s="493"/>
      <c r="HL77" s="493"/>
      <c r="HM77" s="493"/>
      <c r="HN77" s="493"/>
      <c r="HO77" s="493"/>
    </row>
    <row r="78" spans="1:225">
      <c r="DM78" s="396"/>
      <c r="DS78" s="396"/>
      <c r="DY78" s="396"/>
      <c r="EE78" s="396"/>
      <c r="EK78" s="396"/>
      <c r="EQ78" s="396"/>
      <c r="EW78" s="396"/>
      <c r="FC78" s="396"/>
      <c r="FI78" s="396"/>
      <c r="FO78" s="396"/>
      <c r="FU78" s="396"/>
      <c r="GA78" s="396"/>
      <c r="GG78" s="396"/>
      <c r="GM78" s="396"/>
      <c r="GS78" s="396"/>
      <c r="GY78" s="396"/>
      <c r="HE78" s="396"/>
      <c r="HH78" s="493"/>
      <c r="HI78" s="493"/>
      <c r="HJ78" s="493"/>
      <c r="HK78" s="493"/>
      <c r="HL78" s="493"/>
      <c r="HM78" s="493"/>
      <c r="HN78" s="493"/>
      <c r="HO78" s="493"/>
    </row>
    <row r="79" spans="1:225">
      <c r="B79" s="31" t="s">
        <v>692</v>
      </c>
      <c r="DH79" s="645">
        <f>DH36/IS!DH62</f>
        <v>3.8880738929638627</v>
      </c>
      <c r="DI79" s="645">
        <f>DI36/IS!DI62</f>
        <v>1.4867890729959716</v>
      </c>
      <c r="DJ79" s="645">
        <f>DJ36/IS!DJ62</f>
        <v>1.8152479965345449</v>
      </c>
      <c r="DK79" s="645">
        <f>DK36/IS!DK62</f>
        <v>2.8173199635369204</v>
      </c>
      <c r="DL79" s="645">
        <f>DL36/IS!DL62</f>
        <v>2.4541618718833891</v>
      </c>
      <c r="DM79" s="397"/>
      <c r="DN79" s="645">
        <f>DN36/IS!DN62</f>
        <v>0.85165525911440265</v>
      </c>
      <c r="DO79" s="645">
        <f>DO36/IS!DO62</f>
        <v>-0.65315439955727839</v>
      </c>
      <c r="DP79" s="645">
        <f>DP36/IS!DP62</f>
        <v>2.4729927007299288</v>
      </c>
      <c r="DQ79" s="645">
        <f>DQ36/IS!DQ62</f>
        <v>0.30754440578648617</v>
      </c>
      <c r="DR79" s="645">
        <f>DR36/IS!DR62</f>
        <v>0.71151504079892869</v>
      </c>
      <c r="DS79" s="397"/>
      <c r="DT79" s="645">
        <f>DT36/IS!DT62</f>
        <v>3.15998176845943</v>
      </c>
      <c r="DU79" s="645">
        <f>DU36/IS!DU62</f>
        <v>-0.45469920270596836</v>
      </c>
      <c r="DV79" s="645">
        <f>DV36/IS!DV62</f>
        <v>7.5563855767848923E-2</v>
      </c>
      <c r="DW79" s="645">
        <f>DW36/IS!DW62</f>
        <v>0.36210335448776082</v>
      </c>
      <c r="DX79" s="645">
        <f>DX36/IS!DX62</f>
        <v>8.5366563791999223E-2</v>
      </c>
      <c r="DY79" s="397"/>
      <c r="DZ79" s="645">
        <f>DZ36/IS!DZ62</f>
        <v>-0.47557564019797771</v>
      </c>
      <c r="EA79" s="645">
        <f>EA36/IS!EA62</f>
        <v>1.6087962962963247</v>
      </c>
      <c r="EB79" s="645">
        <f>EB36/IS!EB62</f>
        <v>0.79539170506912427</v>
      </c>
      <c r="EC79" s="645">
        <f>EC36/IS!EC62</f>
        <v>1.1344653510784761</v>
      </c>
      <c r="ED79" s="645">
        <f>ED36/IS!ED62</f>
        <v>0.81701724348783134</v>
      </c>
      <c r="EE79" s="397"/>
      <c r="EF79" s="645">
        <f>EF36/IS!EF62</f>
        <v>1.1637412839624903</v>
      </c>
      <c r="EG79" s="645">
        <f>EG36/IS!EG62</f>
        <v>0.85001250312578047</v>
      </c>
      <c r="EH79" s="645">
        <f>EH36/IS!EH62</f>
        <v>0.90915186054307795</v>
      </c>
      <c r="EI79" s="645">
        <f>EI36/IS!EI62</f>
        <v>0.53029212836379425</v>
      </c>
      <c r="EJ79" s="645">
        <f>EJ36/IS!EJ62</f>
        <v>0.94551263682732523</v>
      </c>
      <c r="EK79" s="397"/>
      <c r="EL79" s="645">
        <f>EL36/IS!EL62</f>
        <v>1.0781515460414544</v>
      </c>
      <c r="EM79" s="645">
        <f>EM36/IS!EM62</f>
        <v>0.23128641864634666</v>
      </c>
      <c r="EN79" s="645">
        <f>EN36/IS!EN62</f>
        <v>20.434944237918145</v>
      </c>
      <c r="EO79" s="645">
        <f>EO36/IS!EO62</f>
        <v>4.5670261941448365</v>
      </c>
      <c r="EP79" s="645">
        <f>EP36/IS!EP62</f>
        <v>0.13160377358490535</v>
      </c>
      <c r="EQ79" s="397"/>
      <c r="ER79" s="645">
        <f>ER36/IS!ER62</f>
        <v>9.8014372163389094</v>
      </c>
      <c r="ES79" s="645">
        <f>ES36/IS!ES62</f>
        <v>3.1469258589511648</v>
      </c>
      <c r="ET79" s="645">
        <f>ET36/IS!ET62</f>
        <v>1.3294864396999388</v>
      </c>
      <c r="EU79" s="645">
        <f>EU36/IS!EU62</f>
        <v>1.7641764176417603</v>
      </c>
      <c r="EV79" s="645">
        <f>EV36/IS!EV62</f>
        <v>0.49225485385855128</v>
      </c>
      <c r="EW79" s="397"/>
      <c r="EX79" s="645">
        <f>EX36/IS!EX62</f>
        <v>55.178649237473927</v>
      </c>
      <c r="EY79" s="645"/>
      <c r="EZ79" s="645"/>
      <c r="FA79" s="645"/>
      <c r="FB79" s="645"/>
      <c r="FC79" s="397"/>
      <c r="FI79" s="397"/>
      <c r="FO79" s="397"/>
      <c r="FU79" s="397"/>
      <c r="GA79" s="397"/>
      <c r="GG79" s="397"/>
      <c r="GM79" s="397"/>
      <c r="GS79" s="397"/>
      <c r="GY79" s="397"/>
      <c r="HE79" s="397"/>
      <c r="HH79" s="493"/>
      <c r="HI79" s="493"/>
      <c r="HJ79" s="493"/>
      <c r="HK79" s="493"/>
      <c r="HL79" s="493"/>
      <c r="HM79" s="493"/>
      <c r="HN79" s="493"/>
      <c r="HO79" s="493"/>
    </row>
    <row r="80" spans="1:225">
      <c r="DM80" s="396"/>
      <c r="DS80" s="396"/>
      <c r="DY80" s="396"/>
      <c r="EE80" s="396"/>
      <c r="EK80" s="396"/>
      <c r="EQ80" s="396"/>
      <c r="EW80" s="396"/>
      <c r="FC80" s="396"/>
      <c r="FI80" s="396"/>
      <c r="FO80" s="396"/>
      <c r="FU80" s="396"/>
      <c r="GA80" s="396"/>
      <c r="GG80" s="396"/>
      <c r="GM80" s="396"/>
      <c r="GS80" s="396"/>
      <c r="GY80" s="396"/>
      <c r="HE80" s="396"/>
      <c r="HH80" s="493"/>
      <c r="HI80" s="493"/>
      <c r="HJ80" s="493"/>
      <c r="HK80" s="493"/>
      <c r="HL80" s="493"/>
      <c r="HM80" s="493"/>
      <c r="HN80" s="493"/>
      <c r="HO80" s="493"/>
    </row>
    <row r="81" spans="117:223">
      <c r="DM81" s="397"/>
      <c r="DS81" s="397"/>
      <c r="DY81" s="397"/>
      <c r="EE81" s="397"/>
      <c r="EK81" s="397"/>
      <c r="EQ81" s="397"/>
      <c r="EW81" s="397"/>
      <c r="FC81" s="397"/>
      <c r="FI81" s="397"/>
      <c r="FO81" s="397"/>
      <c r="FU81" s="397"/>
      <c r="GA81" s="397"/>
      <c r="GG81" s="397"/>
      <c r="GM81" s="397"/>
      <c r="GS81" s="397"/>
      <c r="GY81" s="397"/>
      <c r="HE81" s="397"/>
      <c r="HH81" s="493"/>
      <c r="HI81" s="493"/>
      <c r="HJ81" s="493"/>
      <c r="HK81" s="493"/>
      <c r="HL81" s="493"/>
      <c r="HM81" s="493"/>
      <c r="HN81" s="493"/>
      <c r="HO81" s="493"/>
    </row>
    <row r="82" spans="117:223">
      <c r="DM82" s="396"/>
      <c r="DS82" s="396"/>
      <c r="DY82" s="396"/>
      <c r="EE82" s="396"/>
      <c r="EK82" s="396"/>
      <c r="EQ82" s="396"/>
      <c r="EW82" s="396"/>
      <c r="FC82" s="396"/>
      <c r="FI82" s="396"/>
      <c r="FO82" s="396"/>
      <c r="FU82" s="396"/>
      <c r="GA82" s="396"/>
      <c r="GG82" s="396"/>
      <c r="GM82" s="396"/>
      <c r="GS82" s="396"/>
      <c r="GY82" s="396"/>
      <c r="HE82" s="396"/>
      <c r="HH82" s="493"/>
      <c r="HI82" s="493"/>
      <c r="HJ82" s="493"/>
      <c r="HK82" s="493"/>
      <c r="HL82" s="493"/>
      <c r="HM82" s="493"/>
      <c r="HN82" s="493"/>
      <c r="HO82" s="493"/>
    </row>
    <row r="83" spans="117:223">
      <c r="DM83" s="396"/>
      <c r="DS83" s="396"/>
      <c r="DY83" s="396"/>
      <c r="EE83" s="396"/>
      <c r="EK83" s="396"/>
      <c r="EQ83" s="396"/>
      <c r="EW83" s="396"/>
      <c r="FC83" s="396"/>
      <c r="FI83" s="396"/>
      <c r="FO83" s="396"/>
      <c r="FU83" s="396"/>
      <c r="GA83" s="396"/>
      <c r="GG83" s="396"/>
      <c r="GM83" s="396"/>
      <c r="GS83" s="396"/>
      <c r="GY83" s="396"/>
      <c r="HE83" s="396"/>
      <c r="HH83" s="493"/>
      <c r="HI83" s="493"/>
      <c r="HJ83" s="493"/>
      <c r="HK83" s="493"/>
      <c r="HL83" s="493"/>
      <c r="HM83" s="493"/>
      <c r="HN83" s="493"/>
      <c r="HO83" s="493"/>
    </row>
    <row r="84" spans="117:223">
      <c r="DM84" s="397"/>
      <c r="DS84" s="397"/>
      <c r="DY84" s="397"/>
      <c r="EE84" s="397"/>
      <c r="EK84" s="397"/>
      <c r="EQ84" s="397"/>
      <c r="EW84" s="397"/>
      <c r="FC84" s="397"/>
      <c r="FI84" s="397"/>
      <c r="FO84" s="397"/>
      <c r="FU84" s="397"/>
      <c r="GA84" s="397"/>
      <c r="GG84" s="397"/>
      <c r="GM84" s="397"/>
      <c r="GS84" s="397"/>
      <c r="GY84" s="397"/>
      <c r="HE84" s="397"/>
      <c r="HH84" s="493"/>
      <c r="HI84" s="493"/>
      <c r="HJ84" s="493"/>
      <c r="HK84" s="493"/>
      <c r="HL84" s="493"/>
      <c r="HM84" s="493"/>
      <c r="HN84" s="493"/>
      <c r="HO84" s="493"/>
    </row>
    <row r="85" spans="117:223">
      <c r="DM85" s="397"/>
      <c r="DS85" s="397"/>
      <c r="DY85" s="397"/>
      <c r="EE85" s="397"/>
      <c r="EK85" s="397"/>
      <c r="EQ85" s="397"/>
      <c r="EW85" s="397"/>
      <c r="FC85" s="397"/>
      <c r="FI85" s="397"/>
      <c r="FO85" s="397"/>
      <c r="FU85" s="397"/>
      <c r="GA85" s="397"/>
      <c r="GG85" s="397"/>
      <c r="GM85" s="397"/>
      <c r="GS85" s="397"/>
      <c r="GY85" s="397"/>
      <c r="HE85" s="397"/>
      <c r="HH85" s="493"/>
      <c r="HI85" s="493"/>
      <c r="HJ85" s="493"/>
      <c r="HK85" s="493"/>
      <c r="HL85" s="493"/>
      <c r="HM85" s="493"/>
      <c r="HN85" s="493"/>
      <c r="HO85" s="493"/>
    </row>
    <row r="86" spans="117:223">
      <c r="DM86" s="396"/>
      <c r="DS86" s="396"/>
      <c r="DY86" s="396"/>
      <c r="EE86" s="396"/>
      <c r="EK86" s="396"/>
      <c r="EQ86" s="396"/>
      <c r="EW86" s="396"/>
      <c r="FC86" s="396"/>
      <c r="FI86" s="396"/>
      <c r="FO86" s="396"/>
      <c r="FU86" s="396"/>
      <c r="GA86" s="396"/>
      <c r="GG86" s="396"/>
      <c r="GM86" s="396"/>
      <c r="GS86" s="396"/>
      <c r="GY86" s="396"/>
      <c r="HE86" s="396"/>
      <c r="HH86" s="493"/>
      <c r="HI86" s="493"/>
      <c r="HJ86" s="493"/>
      <c r="HK86" s="493"/>
      <c r="HL86" s="493"/>
      <c r="HM86" s="493"/>
      <c r="HN86" s="493"/>
      <c r="HO86" s="493"/>
    </row>
    <row r="87" spans="117:223">
      <c r="DM87" s="396"/>
      <c r="DS87" s="396"/>
      <c r="DY87" s="396"/>
      <c r="EE87" s="396"/>
      <c r="EK87" s="396"/>
      <c r="EQ87" s="396"/>
      <c r="EW87" s="396"/>
      <c r="FC87" s="396"/>
      <c r="FI87" s="396"/>
      <c r="FO87" s="396"/>
      <c r="FU87" s="396"/>
      <c r="GA87" s="396"/>
      <c r="GG87" s="396"/>
      <c r="GM87" s="396"/>
      <c r="GS87" s="396"/>
      <c r="GY87" s="396"/>
      <c r="HE87" s="396"/>
      <c r="HH87" s="493"/>
      <c r="HI87" s="493"/>
      <c r="HJ87" s="493"/>
      <c r="HK87" s="493"/>
      <c r="HL87" s="493"/>
      <c r="HM87" s="493"/>
      <c r="HN87" s="493"/>
      <c r="HO87" s="493"/>
    </row>
    <row r="88" spans="117:223">
      <c r="DM88" s="470"/>
      <c r="DS88" s="470"/>
      <c r="DY88" s="470"/>
      <c r="EE88" s="470"/>
      <c r="EK88" s="470"/>
      <c r="EQ88" s="470"/>
      <c r="EW88" s="470"/>
      <c r="FC88" s="470"/>
      <c r="FI88" s="398"/>
      <c r="FO88" s="470"/>
      <c r="FU88" s="470"/>
      <c r="GA88" s="470"/>
      <c r="GG88" s="470"/>
      <c r="GM88" s="470"/>
      <c r="GS88" s="470"/>
      <c r="GY88" s="470"/>
      <c r="HE88" s="470"/>
      <c r="HH88" s="493"/>
      <c r="HI88" s="493"/>
      <c r="HJ88" s="493"/>
      <c r="HK88" s="493"/>
      <c r="HL88" s="493"/>
      <c r="HM88" s="493"/>
      <c r="HN88" s="493"/>
      <c r="HO88" s="493"/>
    </row>
    <row r="89" spans="117:223">
      <c r="DM89" s="396"/>
      <c r="DS89" s="396"/>
      <c r="DY89" s="396"/>
      <c r="EE89" s="396"/>
      <c r="EK89" s="396"/>
      <c r="EQ89" s="396"/>
      <c r="EW89" s="396"/>
      <c r="FC89" s="396"/>
      <c r="FI89" s="396"/>
      <c r="FO89" s="396"/>
      <c r="FU89" s="396"/>
      <c r="GA89" s="396"/>
      <c r="GG89" s="396"/>
      <c r="GM89" s="396"/>
      <c r="GS89" s="396"/>
      <c r="GY89" s="396"/>
      <c r="HE89" s="396"/>
      <c r="HH89" s="493"/>
      <c r="HI89" s="493"/>
      <c r="HJ89" s="493"/>
      <c r="HK89" s="493"/>
      <c r="HL89" s="493"/>
      <c r="HM89" s="493"/>
      <c r="HN89" s="493"/>
      <c r="HO89" s="493"/>
    </row>
    <row r="90" spans="117:223">
      <c r="DM90" s="396"/>
      <c r="DS90" s="396"/>
      <c r="DY90" s="396"/>
      <c r="EE90" s="396"/>
      <c r="EK90" s="396"/>
      <c r="EQ90" s="396"/>
      <c r="EW90" s="396"/>
      <c r="FC90" s="396"/>
      <c r="FI90" s="396"/>
      <c r="FO90" s="396"/>
      <c r="FU90" s="396"/>
      <c r="GA90" s="396"/>
      <c r="GG90" s="396"/>
      <c r="GM90" s="396"/>
      <c r="GS90" s="396"/>
      <c r="GY90" s="396"/>
      <c r="HE90" s="396"/>
      <c r="HH90" s="493"/>
      <c r="HI90" s="493"/>
      <c r="HJ90" s="493"/>
      <c r="HK90" s="493"/>
      <c r="HL90" s="493"/>
      <c r="HM90" s="493"/>
      <c r="HN90" s="493"/>
      <c r="HO90" s="493"/>
    </row>
    <row r="91" spans="117:223">
      <c r="DM91" s="396"/>
      <c r="DS91" s="396"/>
      <c r="DY91" s="396"/>
      <c r="EE91" s="396"/>
      <c r="EK91" s="396"/>
      <c r="EQ91" s="396"/>
      <c r="EW91" s="396"/>
      <c r="FC91" s="396"/>
      <c r="FI91" s="396"/>
      <c r="FO91" s="396"/>
      <c r="FU91" s="396"/>
      <c r="GA91" s="396"/>
      <c r="GG91" s="396"/>
      <c r="GM91" s="396"/>
      <c r="GS91" s="396"/>
      <c r="GY91" s="396"/>
      <c r="HE91" s="396"/>
      <c r="HH91" s="493"/>
      <c r="HI91" s="493"/>
      <c r="HJ91" s="493"/>
      <c r="HK91" s="493"/>
      <c r="HL91" s="493"/>
      <c r="HM91" s="493"/>
      <c r="HN91" s="493"/>
      <c r="HO91" s="493"/>
    </row>
    <row r="92" spans="117:223">
      <c r="DM92" s="396"/>
      <c r="DS92" s="396"/>
      <c r="DY92" s="396"/>
      <c r="EE92" s="396"/>
      <c r="EK92" s="396"/>
      <c r="EQ92" s="396"/>
      <c r="EW92" s="396"/>
      <c r="FC92" s="396"/>
      <c r="FI92" s="396"/>
      <c r="FO92" s="396"/>
      <c r="FU92" s="396"/>
      <c r="GA92" s="396"/>
      <c r="GG92" s="396"/>
      <c r="GM92" s="396"/>
      <c r="GS92" s="396"/>
      <c r="GY92" s="396"/>
      <c r="HE92" s="396"/>
      <c r="HH92" s="493"/>
      <c r="HI92" s="493"/>
      <c r="HJ92" s="493"/>
      <c r="HK92" s="493"/>
      <c r="HL92" s="493"/>
      <c r="HM92" s="493"/>
      <c r="HN92" s="493"/>
      <c r="HO92" s="493"/>
    </row>
    <row r="93" spans="117:223">
      <c r="DM93" s="397"/>
      <c r="DS93" s="397"/>
      <c r="DY93" s="397"/>
      <c r="EE93" s="397"/>
      <c r="EK93" s="397"/>
      <c r="EQ93" s="397"/>
      <c r="EW93" s="397"/>
      <c r="FC93" s="397"/>
      <c r="FI93" s="397"/>
      <c r="FO93" s="397"/>
      <c r="FU93" s="397"/>
      <c r="GA93" s="397"/>
      <c r="GG93" s="397"/>
      <c r="GM93" s="397"/>
      <c r="GS93" s="397"/>
      <c r="GY93" s="397"/>
      <c r="HE93" s="397"/>
      <c r="HH93" s="493"/>
      <c r="HI93" s="493"/>
      <c r="HJ93" s="493"/>
      <c r="HK93" s="493"/>
      <c r="HL93" s="493"/>
      <c r="HM93" s="493"/>
      <c r="HN93" s="493"/>
      <c r="HO93" s="493"/>
    </row>
    <row r="94" spans="117:223">
      <c r="DM94" s="396"/>
      <c r="DS94" s="396"/>
      <c r="DY94" s="396"/>
      <c r="EE94" s="396"/>
      <c r="EK94" s="396"/>
      <c r="EQ94" s="396"/>
      <c r="EW94" s="396"/>
      <c r="FC94" s="396"/>
      <c r="FI94" s="396"/>
      <c r="FO94" s="396"/>
      <c r="FU94" s="396"/>
      <c r="GA94" s="396"/>
      <c r="GG94" s="396"/>
      <c r="GM94" s="396"/>
      <c r="GS94" s="396"/>
      <c r="GY94" s="396"/>
      <c r="HE94" s="396"/>
      <c r="HH94" s="493"/>
      <c r="HI94" s="493"/>
      <c r="HJ94" s="493"/>
      <c r="HK94" s="493"/>
      <c r="HL94" s="493"/>
      <c r="HM94" s="493"/>
      <c r="HN94" s="493"/>
      <c r="HO94" s="493"/>
    </row>
    <row r="95" spans="117:223">
      <c r="DM95" s="397"/>
      <c r="DS95" s="397"/>
      <c r="DY95" s="397"/>
      <c r="EE95" s="397"/>
      <c r="EK95" s="397"/>
      <c r="EQ95" s="397"/>
      <c r="EW95" s="397"/>
      <c r="FC95" s="397"/>
      <c r="FI95" s="397"/>
      <c r="FO95" s="397"/>
      <c r="FU95" s="397"/>
      <c r="GA95" s="397"/>
      <c r="GG95" s="397"/>
      <c r="GM95" s="397"/>
      <c r="GS95" s="397"/>
      <c r="GY95" s="397"/>
      <c r="HE95" s="397"/>
      <c r="HH95" s="493"/>
      <c r="HI95" s="493"/>
      <c r="HJ95" s="493"/>
      <c r="HK95" s="493"/>
      <c r="HL95" s="493"/>
      <c r="HM95" s="493"/>
      <c r="HN95" s="493"/>
      <c r="HO95" s="493"/>
    </row>
    <row r="96" spans="117:223">
      <c r="DM96" s="396"/>
      <c r="DS96" s="396"/>
      <c r="DY96" s="396"/>
      <c r="EE96" s="396"/>
      <c r="EK96" s="396"/>
      <c r="EQ96" s="396"/>
      <c r="EW96" s="396"/>
      <c r="FC96" s="396"/>
      <c r="FI96" s="396"/>
      <c r="FO96" s="396"/>
      <c r="FU96" s="396"/>
      <c r="GA96" s="396"/>
      <c r="GG96" s="396"/>
      <c r="GM96" s="396"/>
      <c r="GS96" s="396"/>
      <c r="GY96" s="396"/>
      <c r="HE96" s="396"/>
      <c r="HH96" s="493"/>
      <c r="HI96" s="493"/>
      <c r="HJ96" s="493"/>
      <c r="HK96" s="493"/>
      <c r="HL96" s="493"/>
      <c r="HM96" s="493"/>
      <c r="HN96" s="493"/>
      <c r="HO96" s="493"/>
    </row>
    <row r="97" spans="117:223">
      <c r="DM97" s="397"/>
      <c r="DS97" s="397"/>
      <c r="DY97" s="397"/>
      <c r="EE97" s="397"/>
      <c r="EK97" s="397"/>
      <c r="EQ97" s="397"/>
      <c r="EW97" s="397"/>
      <c r="FC97" s="397"/>
      <c r="FI97" s="397"/>
      <c r="FO97" s="397"/>
      <c r="FU97" s="397"/>
      <c r="GA97" s="397"/>
      <c r="GG97" s="397"/>
      <c r="GM97" s="397"/>
      <c r="GS97" s="397"/>
      <c r="GY97" s="397"/>
      <c r="HE97" s="397"/>
      <c r="HH97" s="493"/>
      <c r="HI97" s="493"/>
      <c r="HJ97" s="493"/>
      <c r="HK97" s="493"/>
      <c r="HL97" s="493"/>
      <c r="HM97" s="493"/>
      <c r="HN97" s="493"/>
      <c r="HO97" s="493"/>
    </row>
    <row r="98" spans="117:223">
      <c r="DM98" s="396"/>
      <c r="DS98" s="396"/>
      <c r="DY98" s="396"/>
      <c r="EE98" s="396"/>
      <c r="EK98" s="396"/>
      <c r="EQ98" s="396"/>
      <c r="EW98" s="396"/>
      <c r="FC98" s="396"/>
      <c r="FI98" s="396"/>
      <c r="FO98" s="396"/>
      <c r="FU98" s="396"/>
      <c r="GA98" s="396"/>
      <c r="GG98" s="396"/>
      <c r="GM98" s="396"/>
      <c r="GS98" s="396"/>
      <c r="GY98" s="396"/>
      <c r="HE98" s="396"/>
      <c r="HH98" s="493"/>
      <c r="HI98" s="493"/>
      <c r="HJ98" s="493"/>
      <c r="HK98" s="493"/>
      <c r="HL98" s="493"/>
      <c r="HM98" s="493"/>
      <c r="HN98" s="493"/>
      <c r="HO98" s="493"/>
    </row>
    <row r="99" spans="117:223">
      <c r="DM99" s="396"/>
      <c r="DS99" s="396"/>
      <c r="DY99" s="396"/>
      <c r="EE99" s="396"/>
      <c r="EK99" s="396"/>
      <c r="EQ99" s="396"/>
      <c r="EW99" s="396"/>
      <c r="FC99" s="396"/>
      <c r="FI99" s="396"/>
      <c r="FO99" s="396"/>
      <c r="FU99" s="396"/>
      <c r="GA99" s="396"/>
      <c r="GG99" s="396"/>
      <c r="GM99" s="396"/>
      <c r="GS99" s="396"/>
      <c r="GY99" s="396"/>
      <c r="HE99" s="396"/>
      <c r="HH99" s="493"/>
      <c r="HI99" s="493"/>
      <c r="HJ99" s="493"/>
      <c r="HK99" s="493"/>
      <c r="HL99" s="493"/>
      <c r="HM99" s="493"/>
      <c r="HN99" s="493"/>
      <c r="HO99" s="493"/>
    </row>
    <row r="100" spans="117:223">
      <c r="DM100" s="397"/>
      <c r="DS100" s="397"/>
      <c r="DY100" s="397"/>
      <c r="EE100" s="397"/>
      <c r="EK100" s="397"/>
      <c r="EQ100" s="397"/>
      <c r="EW100" s="397"/>
      <c r="FC100" s="397"/>
      <c r="FI100" s="397"/>
      <c r="FO100" s="397"/>
      <c r="FU100" s="397"/>
      <c r="GA100" s="397"/>
      <c r="GG100" s="397"/>
      <c r="GM100" s="397"/>
      <c r="GS100" s="397"/>
      <c r="GY100" s="397"/>
      <c r="HE100" s="397"/>
      <c r="HH100" s="493"/>
      <c r="HI100" s="493"/>
      <c r="HJ100" s="493"/>
      <c r="HK100" s="493"/>
      <c r="HL100" s="493"/>
      <c r="HM100" s="493"/>
      <c r="HN100" s="493"/>
      <c r="HO100" s="493"/>
    </row>
    <row r="101" spans="117:223">
      <c r="DM101" s="397"/>
      <c r="DS101" s="397"/>
      <c r="DY101" s="397"/>
      <c r="EE101" s="397"/>
      <c r="EK101" s="397"/>
      <c r="EQ101" s="397"/>
      <c r="EW101" s="397"/>
      <c r="FC101" s="397"/>
      <c r="FI101" s="397"/>
      <c r="FO101" s="397"/>
      <c r="FU101" s="397"/>
      <c r="GA101" s="397"/>
      <c r="GG101" s="397"/>
      <c r="GM101" s="397"/>
      <c r="GS101" s="397"/>
      <c r="GY101" s="397"/>
      <c r="HE101" s="397"/>
      <c r="HH101" s="493"/>
      <c r="HI101" s="493"/>
      <c r="HJ101" s="493"/>
      <c r="HK101" s="493"/>
      <c r="HL101" s="493"/>
      <c r="HM101" s="493"/>
      <c r="HN101" s="493"/>
      <c r="HO101" s="493"/>
    </row>
    <row r="102" spans="117:223">
      <c r="DM102" s="396"/>
      <c r="DS102" s="396"/>
      <c r="DY102" s="396"/>
      <c r="EE102" s="396"/>
      <c r="EK102" s="396"/>
      <c r="EQ102" s="396"/>
      <c r="EW102" s="396"/>
      <c r="FC102" s="396"/>
      <c r="FI102" s="396"/>
      <c r="FO102" s="396"/>
      <c r="FU102" s="396"/>
      <c r="GA102" s="396"/>
      <c r="GG102" s="396"/>
      <c r="GM102" s="396"/>
      <c r="GS102" s="396"/>
      <c r="GY102" s="396"/>
      <c r="HE102" s="396"/>
      <c r="HH102" s="493"/>
      <c r="HI102" s="493"/>
      <c r="HJ102" s="493"/>
      <c r="HK102" s="493"/>
      <c r="HL102" s="493"/>
      <c r="HM102" s="493"/>
      <c r="HN102" s="493"/>
      <c r="HO102" s="493"/>
    </row>
    <row r="103" spans="117:223">
      <c r="DM103" s="396"/>
      <c r="DS103" s="396"/>
      <c r="DY103" s="396"/>
      <c r="EE103" s="396"/>
      <c r="EK103" s="396"/>
      <c r="EQ103" s="396"/>
      <c r="EW103" s="396"/>
      <c r="FC103" s="396"/>
      <c r="FI103" s="396"/>
      <c r="FO103" s="396"/>
      <c r="FU103" s="396"/>
      <c r="GA103" s="396"/>
      <c r="GG103" s="396"/>
      <c r="GM103" s="396"/>
      <c r="GS103" s="396"/>
      <c r="GY103" s="396"/>
      <c r="HE103" s="396"/>
      <c r="HH103" s="493"/>
      <c r="HI103" s="493"/>
      <c r="HJ103" s="493"/>
      <c r="HK103" s="493"/>
      <c r="HL103" s="493"/>
      <c r="HM103" s="493"/>
      <c r="HN103" s="493"/>
      <c r="HO103" s="493"/>
    </row>
    <row r="104" spans="117:223">
      <c r="DM104" s="470"/>
      <c r="DS104" s="470"/>
      <c r="DY104" s="470"/>
      <c r="EE104" s="470"/>
      <c r="EK104" s="470"/>
      <c r="EQ104" s="470"/>
      <c r="EW104" s="470"/>
      <c r="FC104" s="470"/>
      <c r="FI104" s="398"/>
      <c r="FO104" s="470"/>
      <c r="FU104" s="470"/>
      <c r="GA104" s="470"/>
      <c r="GG104" s="470"/>
      <c r="GM104" s="470"/>
      <c r="GS104" s="470"/>
      <c r="GY104" s="470"/>
      <c r="HE104" s="470"/>
      <c r="HH104" s="493"/>
      <c r="HI104" s="493"/>
      <c r="HJ104" s="493"/>
      <c r="HK104" s="493"/>
      <c r="HL104" s="493"/>
      <c r="HM104" s="493"/>
      <c r="HN104" s="493"/>
      <c r="HO104" s="493"/>
    </row>
    <row r="105" spans="117:223">
      <c r="DM105" s="396"/>
      <c r="DS105" s="396"/>
      <c r="DY105" s="396"/>
      <c r="EE105" s="396"/>
      <c r="EK105" s="396"/>
      <c r="EQ105" s="396"/>
      <c r="EW105" s="396"/>
      <c r="FC105" s="396"/>
      <c r="FI105" s="396"/>
      <c r="FO105" s="396"/>
      <c r="FU105" s="396"/>
      <c r="GA105" s="396"/>
      <c r="GG105" s="396"/>
      <c r="GM105" s="396"/>
      <c r="GS105" s="396"/>
      <c r="GY105" s="396"/>
      <c r="HE105" s="396"/>
      <c r="HH105" s="493"/>
      <c r="HI105" s="493"/>
      <c r="HJ105" s="493"/>
      <c r="HK105" s="493"/>
      <c r="HL105" s="493"/>
      <c r="HM105" s="493"/>
      <c r="HN105" s="493"/>
      <c r="HO105" s="493"/>
    </row>
    <row r="106" spans="117:223">
      <c r="DM106" s="396"/>
      <c r="DS106" s="396"/>
      <c r="DY106" s="396"/>
      <c r="EE106" s="396"/>
      <c r="EK106" s="396"/>
      <c r="EQ106" s="396"/>
      <c r="EW106" s="396"/>
      <c r="FC106" s="396"/>
      <c r="FI106" s="396"/>
      <c r="FO106" s="396"/>
      <c r="FU106" s="396"/>
      <c r="GA106" s="396"/>
      <c r="GG106" s="396"/>
      <c r="GM106" s="396"/>
      <c r="GS106" s="396"/>
      <c r="GY106" s="396"/>
      <c r="HE106" s="396"/>
      <c r="HH106" s="493"/>
      <c r="HI106" s="493"/>
      <c r="HJ106" s="493"/>
      <c r="HK106" s="493"/>
      <c r="HL106" s="493"/>
      <c r="HM106" s="493"/>
      <c r="HN106" s="493"/>
      <c r="HO106" s="493"/>
    </row>
    <row r="107" spans="117:223">
      <c r="DM107" s="400"/>
      <c r="DS107" s="400"/>
      <c r="DY107" s="400"/>
      <c r="EE107" s="400"/>
      <c r="EK107" s="400"/>
      <c r="EQ107" s="400"/>
      <c r="EW107" s="400"/>
      <c r="FC107" s="400"/>
      <c r="FI107" s="400"/>
      <c r="FO107" s="400"/>
      <c r="FU107" s="400"/>
      <c r="GA107" s="400"/>
      <c r="GG107" s="400"/>
      <c r="GM107" s="400"/>
      <c r="GS107" s="400"/>
      <c r="GY107" s="400"/>
      <c r="HE107" s="400"/>
      <c r="HH107" s="493"/>
      <c r="HI107" s="493"/>
      <c r="HJ107" s="493"/>
      <c r="HK107" s="493"/>
      <c r="HL107" s="493"/>
      <c r="HM107" s="493"/>
      <c r="HN107" s="493"/>
      <c r="HO107" s="493"/>
    </row>
    <row r="108" spans="117:223">
      <c r="DM108" s="396"/>
      <c r="DS108" s="396"/>
      <c r="DY108" s="396"/>
      <c r="EE108" s="396"/>
      <c r="EK108" s="396"/>
      <c r="EQ108" s="396"/>
      <c r="EW108" s="396"/>
      <c r="FC108" s="396"/>
      <c r="FI108" s="396"/>
      <c r="FO108" s="396"/>
      <c r="FU108" s="396"/>
      <c r="GA108" s="396"/>
      <c r="GG108" s="396"/>
      <c r="GM108" s="396"/>
      <c r="GS108" s="396"/>
      <c r="GY108" s="396"/>
      <c r="HE108" s="396"/>
      <c r="HH108" s="493"/>
      <c r="HI108" s="493"/>
      <c r="HJ108" s="493"/>
      <c r="HK108" s="493"/>
      <c r="HL108" s="493"/>
      <c r="HM108" s="493"/>
      <c r="HN108" s="493"/>
      <c r="HO108" s="493"/>
    </row>
    <row r="109" spans="117:223">
      <c r="DM109" s="396"/>
      <c r="DS109" s="396"/>
      <c r="DY109" s="396"/>
      <c r="EE109" s="396"/>
      <c r="EK109" s="396"/>
      <c r="EQ109" s="396"/>
      <c r="EW109" s="396"/>
      <c r="FC109" s="396"/>
      <c r="FI109" s="396"/>
      <c r="FO109" s="396"/>
      <c r="FU109" s="396"/>
      <c r="GA109" s="396"/>
      <c r="GG109" s="396"/>
      <c r="GM109" s="396"/>
      <c r="GS109" s="396"/>
      <c r="GY109" s="396"/>
      <c r="HE109" s="396"/>
      <c r="HH109" s="493"/>
      <c r="HI109" s="493"/>
      <c r="HJ109" s="493"/>
      <c r="HK109" s="493"/>
      <c r="HL109" s="493"/>
      <c r="HM109" s="493"/>
      <c r="HN109" s="493"/>
      <c r="HO109" s="493"/>
    </row>
    <row r="110" spans="117:223">
      <c r="DM110" s="396"/>
      <c r="DS110" s="396"/>
      <c r="DY110" s="396"/>
      <c r="EE110" s="396"/>
      <c r="EK110" s="396"/>
      <c r="EQ110" s="396"/>
      <c r="EW110" s="396"/>
      <c r="FC110" s="396"/>
      <c r="FI110" s="396"/>
      <c r="FO110" s="396"/>
      <c r="FU110" s="396"/>
      <c r="GA110" s="396"/>
      <c r="GG110" s="396"/>
      <c r="GM110" s="396"/>
      <c r="GS110" s="396"/>
      <c r="GY110" s="396"/>
      <c r="HE110" s="396"/>
      <c r="HH110" s="493"/>
      <c r="HI110" s="493"/>
      <c r="HJ110" s="493"/>
      <c r="HK110" s="493"/>
      <c r="HL110" s="493"/>
      <c r="HM110" s="493"/>
      <c r="HN110" s="493"/>
      <c r="HO110" s="493"/>
    </row>
    <row r="111" spans="117:223">
      <c r="DM111" s="397"/>
      <c r="DS111" s="397"/>
      <c r="DY111" s="397"/>
      <c r="EE111" s="397"/>
      <c r="EK111" s="397"/>
      <c r="EQ111" s="397"/>
      <c r="EW111" s="397"/>
      <c r="FC111" s="397"/>
      <c r="FI111" s="397"/>
      <c r="FO111" s="397"/>
      <c r="FU111" s="397"/>
      <c r="GA111" s="397"/>
      <c r="GG111" s="397"/>
      <c r="GM111" s="397"/>
      <c r="GS111" s="397"/>
      <c r="GY111" s="397"/>
      <c r="HE111" s="397"/>
      <c r="HH111" s="493"/>
      <c r="HI111" s="493"/>
      <c r="HJ111" s="493"/>
      <c r="HK111" s="493"/>
      <c r="HL111" s="493"/>
      <c r="HM111" s="493"/>
      <c r="HN111" s="493"/>
      <c r="HO111" s="493"/>
    </row>
    <row r="112" spans="117:223">
      <c r="DM112" s="396"/>
      <c r="DS112" s="396"/>
      <c r="DY112" s="396"/>
      <c r="EE112" s="396"/>
      <c r="EK112" s="396"/>
      <c r="EQ112" s="396"/>
      <c r="EW112" s="396"/>
      <c r="FC112" s="396"/>
      <c r="FI112" s="396"/>
      <c r="FO112" s="396"/>
      <c r="FU112" s="396"/>
      <c r="GA112" s="396"/>
      <c r="GG112" s="396"/>
      <c r="GM112" s="396"/>
      <c r="GS112" s="396"/>
      <c r="GY112" s="396"/>
      <c r="HE112" s="396"/>
      <c r="HH112" s="493"/>
      <c r="HI112" s="493"/>
      <c r="HJ112" s="493"/>
      <c r="HK112" s="493"/>
      <c r="HL112" s="493"/>
      <c r="HM112" s="493"/>
      <c r="HN112" s="493"/>
      <c r="HO112" s="493"/>
    </row>
    <row r="113" spans="117:223">
      <c r="DM113" s="397"/>
      <c r="DS113" s="397"/>
      <c r="DY113" s="397"/>
      <c r="EE113" s="397"/>
      <c r="EK113" s="397"/>
      <c r="EQ113" s="397"/>
      <c r="EW113" s="397"/>
      <c r="FC113" s="397"/>
      <c r="FI113" s="397"/>
      <c r="FO113" s="397"/>
      <c r="FU113" s="397"/>
      <c r="GA113" s="397"/>
      <c r="GG113" s="397"/>
      <c r="GM113" s="397"/>
      <c r="GS113" s="397"/>
      <c r="GY113" s="397"/>
      <c r="HE113" s="397"/>
      <c r="HH113" s="493"/>
      <c r="HI113" s="493"/>
      <c r="HJ113" s="493"/>
      <c r="HK113" s="493"/>
      <c r="HL113" s="493"/>
      <c r="HM113" s="493"/>
      <c r="HN113" s="493"/>
      <c r="HO113" s="493"/>
    </row>
    <row r="114" spans="117:223">
      <c r="DM114" s="396"/>
      <c r="DS114" s="396"/>
      <c r="DY114" s="396"/>
      <c r="EE114" s="396"/>
      <c r="EK114" s="396"/>
      <c r="EQ114" s="396"/>
      <c r="EW114" s="396"/>
      <c r="FC114" s="396"/>
      <c r="FI114" s="396"/>
      <c r="FO114" s="396"/>
      <c r="FU114" s="396"/>
      <c r="GA114" s="396"/>
      <c r="GG114" s="396"/>
      <c r="GM114" s="396"/>
      <c r="GS114" s="396"/>
      <c r="GY114" s="396"/>
      <c r="HE114" s="396"/>
      <c r="HH114" s="493"/>
      <c r="HI114" s="493"/>
      <c r="HJ114" s="493"/>
      <c r="HK114" s="493"/>
      <c r="HL114" s="493"/>
      <c r="HM114" s="493"/>
      <c r="HN114" s="493"/>
      <c r="HO114" s="493"/>
    </row>
    <row r="115" spans="117:223">
      <c r="DM115" s="397"/>
      <c r="DS115" s="397"/>
      <c r="DY115" s="397"/>
      <c r="EE115" s="397"/>
      <c r="EK115" s="397"/>
      <c r="EQ115" s="397"/>
      <c r="EW115" s="397"/>
      <c r="FC115" s="397"/>
      <c r="FI115" s="397"/>
      <c r="FO115" s="397"/>
      <c r="FU115" s="397"/>
      <c r="GA115" s="397"/>
      <c r="GG115" s="397"/>
      <c r="GM115" s="397"/>
      <c r="GS115" s="397"/>
      <c r="GY115" s="397"/>
      <c r="HE115" s="397"/>
      <c r="HH115" s="493"/>
      <c r="HI115" s="493"/>
      <c r="HJ115" s="493"/>
      <c r="HK115" s="493"/>
      <c r="HL115" s="493"/>
      <c r="HM115" s="493"/>
      <c r="HN115" s="493"/>
      <c r="HO115" s="493"/>
    </row>
    <row r="116" spans="117:223">
      <c r="DM116" s="396"/>
      <c r="DS116" s="396"/>
      <c r="DY116" s="396"/>
      <c r="EE116" s="396"/>
      <c r="EK116" s="396"/>
      <c r="EQ116" s="396"/>
      <c r="EW116" s="396"/>
      <c r="FC116" s="396"/>
      <c r="FI116" s="396"/>
      <c r="FO116" s="396"/>
      <c r="FU116" s="396"/>
      <c r="GA116" s="396"/>
      <c r="GG116" s="396"/>
      <c r="GM116" s="396"/>
      <c r="GS116" s="396"/>
      <c r="GY116" s="396"/>
      <c r="HE116" s="396"/>
      <c r="HH116" s="493"/>
      <c r="HI116" s="493"/>
      <c r="HJ116" s="493"/>
      <c r="HK116" s="493"/>
      <c r="HL116" s="493"/>
      <c r="HM116" s="493"/>
      <c r="HN116" s="493"/>
      <c r="HO116" s="493"/>
    </row>
    <row r="117" spans="117:223">
      <c r="DM117" s="396"/>
      <c r="DS117" s="396"/>
      <c r="DY117" s="396"/>
      <c r="EE117" s="396"/>
      <c r="EK117" s="396"/>
      <c r="EQ117" s="396"/>
      <c r="EW117" s="396"/>
      <c r="FC117" s="396"/>
      <c r="FI117" s="396"/>
      <c r="FO117" s="396"/>
      <c r="FU117" s="396"/>
      <c r="GA117" s="396"/>
      <c r="GG117" s="396"/>
      <c r="GM117" s="396"/>
      <c r="GS117" s="396"/>
      <c r="GY117" s="396"/>
      <c r="HE117" s="396"/>
      <c r="HH117" s="493"/>
      <c r="HI117" s="493"/>
      <c r="HJ117" s="493"/>
      <c r="HK117" s="493"/>
      <c r="HL117" s="493"/>
      <c r="HM117" s="493"/>
      <c r="HN117" s="493"/>
      <c r="HO117" s="493"/>
    </row>
    <row r="118" spans="117:223">
      <c r="DM118" s="397"/>
      <c r="DS118" s="397"/>
      <c r="DY118" s="397"/>
      <c r="EE118" s="397"/>
      <c r="EK118" s="397"/>
      <c r="EQ118" s="397"/>
      <c r="EW118" s="397"/>
      <c r="FC118" s="397"/>
      <c r="FI118" s="397"/>
      <c r="FO118" s="397"/>
      <c r="FU118" s="397"/>
      <c r="GA118" s="397"/>
      <c r="GG118" s="397"/>
      <c r="GM118" s="397"/>
      <c r="GS118" s="397"/>
      <c r="GY118" s="397"/>
      <c r="HE118" s="397"/>
      <c r="HH118" s="493"/>
      <c r="HI118" s="493"/>
      <c r="HJ118" s="493"/>
      <c r="HK118" s="493"/>
      <c r="HL118" s="493"/>
      <c r="HM118" s="493"/>
      <c r="HN118" s="493"/>
      <c r="HO118" s="493"/>
    </row>
    <row r="119" spans="117:223">
      <c r="DM119" s="397"/>
      <c r="DS119" s="397"/>
      <c r="DY119" s="397"/>
      <c r="EE119" s="397"/>
      <c r="EK119" s="397"/>
      <c r="EQ119" s="397"/>
      <c r="EW119" s="397"/>
      <c r="FC119" s="397"/>
      <c r="FI119" s="397"/>
      <c r="FO119" s="397"/>
      <c r="FU119" s="397"/>
      <c r="GA119" s="397"/>
      <c r="GG119" s="397"/>
      <c r="GM119" s="397"/>
      <c r="GS119" s="397"/>
      <c r="GY119" s="397"/>
      <c r="HE119" s="397"/>
      <c r="HH119" s="493"/>
      <c r="HI119" s="493"/>
      <c r="HJ119" s="493"/>
      <c r="HK119" s="493"/>
      <c r="HL119" s="493"/>
      <c r="HM119" s="493"/>
      <c r="HN119" s="493"/>
      <c r="HO119" s="493"/>
    </row>
    <row r="120" spans="117:223">
      <c r="DM120" s="396"/>
      <c r="DS120" s="396"/>
      <c r="DY120" s="396"/>
      <c r="EE120" s="396"/>
      <c r="EK120" s="396"/>
      <c r="EQ120" s="396"/>
      <c r="EW120" s="396"/>
      <c r="FC120" s="396"/>
      <c r="FI120" s="396"/>
      <c r="FO120" s="396"/>
      <c r="FU120" s="396"/>
      <c r="GA120" s="396"/>
      <c r="GG120" s="396"/>
      <c r="GM120" s="396"/>
      <c r="GS120" s="396"/>
      <c r="GY120" s="396"/>
      <c r="HE120" s="396"/>
      <c r="HH120" s="493"/>
      <c r="HI120" s="493"/>
      <c r="HJ120" s="493"/>
      <c r="HK120" s="493"/>
      <c r="HL120" s="493"/>
      <c r="HM120" s="493"/>
      <c r="HN120" s="493"/>
      <c r="HO120" s="493"/>
    </row>
    <row r="121" spans="117:223">
      <c r="DM121" s="396"/>
      <c r="DS121" s="396"/>
      <c r="DY121" s="396"/>
      <c r="EE121" s="396"/>
      <c r="EK121" s="396"/>
      <c r="EQ121" s="396"/>
      <c r="EW121" s="396"/>
      <c r="FC121" s="396"/>
      <c r="FI121" s="396"/>
      <c r="FO121" s="396"/>
      <c r="FU121" s="396"/>
      <c r="GA121" s="396"/>
      <c r="GG121" s="396"/>
      <c r="GM121" s="396"/>
      <c r="GS121" s="396"/>
      <c r="GY121" s="396"/>
      <c r="HE121" s="396"/>
      <c r="HH121" s="493"/>
      <c r="HI121" s="493"/>
      <c r="HJ121" s="493"/>
      <c r="HK121" s="493"/>
      <c r="HL121" s="493"/>
      <c r="HM121" s="493"/>
      <c r="HN121" s="493"/>
      <c r="HO121" s="493"/>
    </row>
    <row r="122" spans="117:223">
      <c r="DM122" s="470"/>
      <c r="DS122" s="470"/>
      <c r="DY122" s="470"/>
      <c r="EE122" s="470"/>
      <c r="EK122" s="470"/>
      <c r="EQ122" s="470"/>
      <c r="EW122" s="470"/>
      <c r="FC122" s="470"/>
      <c r="FI122" s="398"/>
      <c r="FO122" s="470"/>
      <c r="FU122" s="470"/>
      <c r="GA122" s="470"/>
      <c r="GG122" s="470"/>
      <c r="GM122" s="470"/>
      <c r="GS122" s="470"/>
      <c r="GY122" s="470"/>
      <c r="HE122" s="470"/>
      <c r="HH122" s="493"/>
      <c r="HI122" s="493"/>
      <c r="HJ122" s="493"/>
      <c r="HK122" s="493"/>
      <c r="HL122" s="493"/>
      <c r="HM122" s="493"/>
      <c r="HN122" s="493"/>
      <c r="HO122" s="493"/>
    </row>
    <row r="123" spans="117:223">
      <c r="DM123" s="396"/>
      <c r="DS123" s="396"/>
      <c r="DY123" s="396"/>
      <c r="EE123" s="396"/>
      <c r="EK123" s="396"/>
      <c r="EQ123" s="396"/>
      <c r="EW123" s="396"/>
      <c r="FC123" s="396"/>
      <c r="FI123" s="396"/>
      <c r="FO123" s="396"/>
      <c r="FU123" s="396"/>
      <c r="GA123" s="396"/>
      <c r="GG123" s="396"/>
      <c r="GM123" s="396"/>
      <c r="GS123" s="396"/>
      <c r="GY123" s="396"/>
      <c r="HE123" s="396"/>
      <c r="HH123" s="493"/>
      <c r="HI123" s="493"/>
      <c r="HJ123" s="493"/>
      <c r="HK123" s="493"/>
      <c r="HL123" s="493"/>
      <c r="HM123" s="493"/>
      <c r="HN123" s="493"/>
      <c r="HO123" s="493"/>
    </row>
    <row r="124" spans="117:223">
      <c r="DM124" s="396"/>
      <c r="DS124" s="396"/>
      <c r="DY124" s="396"/>
      <c r="EE124" s="396"/>
      <c r="EK124" s="396"/>
      <c r="EQ124" s="396"/>
      <c r="EW124" s="396"/>
      <c r="FC124" s="396"/>
      <c r="FI124" s="396"/>
      <c r="FO124" s="396"/>
      <c r="FU124" s="396"/>
      <c r="GA124" s="396"/>
      <c r="GG124" s="396"/>
      <c r="GM124" s="396"/>
      <c r="GS124" s="396"/>
      <c r="GY124" s="396"/>
      <c r="HE124" s="396"/>
      <c r="HH124" s="493"/>
      <c r="HI124" s="493"/>
      <c r="HJ124" s="493"/>
      <c r="HK124" s="493"/>
      <c r="HL124" s="493"/>
      <c r="HM124" s="493"/>
      <c r="HN124" s="493"/>
      <c r="HO124" s="493"/>
    </row>
    <row r="125" spans="117:223">
      <c r="DM125" s="396"/>
      <c r="DS125" s="396"/>
      <c r="DY125" s="396"/>
      <c r="EE125" s="396"/>
      <c r="EK125" s="396"/>
      <c r="EQ125" s="396"/>
      <c r="EW125" s="396"/>
      <c r="FC125" s="396"/>
      <c r="FI125" s="396"/>
      <c r="FO125" s="396"/>
      <c r="FU125" s="396"/>
      <c r="GA125" s="396"/>
      <c r="GG125" s="396"/>
      <c r="GM125" s="396"/>
      <c r="GS125" s="396"/>
      <c r="GY125" s="396"/>
      <c r="HE125" s="396"/>
      <c r="HH125" s="493"/>
      <c r="HI125" s="493"/>
      <c r="HJ125" s="493"/>
      <c r="HK125" s="493"/>
      <c r="HL125" s="493"/>
      <c r="HM125" s="493"/>
      <c r="HN125" s="493"/>
      <c r="HO125" s="493"/>
    </row>
    <row r="126" spans="117:223">
      <c r="DM126" s="395"/>
      <c r="DS126" s="395"/>
      <c r="DY126" s="395"/>
      <c r="EE126" s="395"/>
      <c r="EK126" s="395"/>
      <c r="EQ126" s="395"/>
      <c r="EW126" s="395"/>
      <c r="FC126" s="395"/>
      <c r="FI126" s="395"/>
      <c r="FO126" s="395"/>
      <c r="FU126" s="395"/>
      <c r="GA126" s="395"/>
      <c r="GG126" s="395"/>
      <c r="GM126" s="395"/>
      <c r="GS126" s="395"/>
      <c r="GY126" s="395"/>
      <c r="HE126" s="395"/>
      <c r="HH126" s="493"/>
      <c r="HI126" s="493"/>
      <c r="HJ126" s="493"/>
      <c r="HK126" s="493"/>
      <c r="HL126" s="493"/>
      <c r="HM126" s="493"/>
      <c r="HN126" s="493"/>
      <c r="HO126" s="493"/>
    </row>
    <row r="127" spans="117:223">
      <c r="DM127" s="397"/>
      <c r="DS127" s="397"/>
      <c r="DY127" s="397"/>
      <c r="EE127" s="397"/>
      <c r="EK127" s="397"/>
      <c r="EQ127" s="397"/>
      <c r="EW127" s="397"/>
      <c r="FC127" s="397"/>
      <c r="FI127" s="397"/>
      <c r="FO127" s="397"/>
      <c r="FU127" s="397"/>
      <c r="GA127" s="397"/>
      <c r="GG127" s="397"/>
      <c r="GM127" s="397"/>
      <c r="GS127" s="397"/>
      <c r="GY127" s="397"/>
      <c r="HE127" s="397"/>
      <c r="HH127" s="493"/>
      <c r="HI127" s="493"/>
      <c r="HJ127" s="493"/>
      <c r="HK127" s="493"/>
      <c r="HL127" s="493"/>
      <c r="HM127" s="493"/>
      <c r="HN127" s="493"/>
      <c r="HO127" s="493"/>
    </row>
    <row r="128" spans="117:223">
      <c r="DM128" s="396"/>
      <c r="DS128" s="396"/>
      <c r="DY128" s="396"/>
      <c r="EE128" s="396"/>
      <c r="EK128" s="396"/>
      <c r="EQ128" s="396"/>
      <c r="EW128" s="396"/>
      <c r="FC128" s="396"/>
      <c r="FI128" s="396"/>
      <c r="FO128" s="396"/>
      <c r="FU128" s="396"/>
      <c r="GA128" s="396"/>
      <c r="GG128" s="396"/>
      <c r="GM128" s="396"/>
      <c r="GS128" s="396"/>
      <c r="GY128" s="396"/>
      <c r="HE128" s="396"/>
      <c r="HH128" s="493"/>
      <c r="HI128" s="493"/>
      <c r="HJ128" s="493"/>
      <c r="HK128" s="493"/>
      <c r="HL128" s="493"/>
      <c r="HM128" s="493"/>
      <c r="HN128" s="493"/>
      <c r="HO128" s="493"/>
    </row>
    <row r="129" spans="117:223">
      <c r="DM129" s="397"/>
      <c r="DS129" s="397"/>
      <c r="DY129" s="397"/>
      <c r="EE129" s="397"/>
      <c r="EK129" s="397"/>
      <c r="EQ129" s="397"/>
      <c r="EW129" s="397"/>
      <c r="FC129" s="397"/>
      <c r="FI129" s="397"/>
      <c r="FO129" s="397"/>
      <c r="FU129" s="397"/>
      <c r="GA129" s="397"/>
      <c r="GG129" s="397"/>
      <c r="GM129" s="397"/>
      <c r="GS129" s="397"/>
      <c r="GY129" s="397"/>
      <c r="HE129" s="397"/>
      <c r="HH129" s="493"/>
      <c r="HI129" s="493"/>
      <c r="HJ129" s="493"/>
      <c r="HK129" s="493"/>
      <c r="HL129" s="493"/>
      <c r="HM129" s="493"/>
      <c r="HN129" s="493"/>
      <c r="HO129" s="493"/>
    </row>
    <row r="130" spans="117:223">
      <c r="DM130" s="396"/>
      <c r="DS130" s="396"/>
      <c r="DY130" s="396"/>
      <c r="EE130" s="396"/>
      <c r="EK130" s="396"/>
      <c r="EQ130" s="396"/>
      <c r="EW130" s="396"/>
      <c r="FC130" s="396"/>
      <c r="FI130" s="396"/>
      <c r="FO130" s="396"/>
      <c r="FU130" s="396"/>
      <c r="GA130" s="396"/>
      <c r="GG130" s="396"/>
      <c r="GM130" s="396"/>
      <c r="GS130" s="396"/>
      <c r="GY130" s="396"/>
      <c r="HE130" s="396"/>
      <c r="HH130" s="493"/>
      <c r="HI130" s="493"/>
      <c r="HJ130" s="493"/>
      <c r="HK130" s="493"/>
      <c r="HL130" s="493"/>
      <c r="HM130" s="493"/>
      <c r="HN130" s="493"/>
      <c r="HO130" s="493"/>
    </row>
    <row r="131" spans="117:223">
      <c r="DM131" s="397"/>
      <c r="DS131" s="397"/>
      <c r="DY131" s="397"/>
      <c r="EE131" s="397"/>
      <c r="EK131" s="397"/>
      <c r="EQ131" s="397"/>
      <c r="EW131" s="397"/>
      <c r="FC131" s="397"/>
      <c r="FI131" s="397"/>
      <c r="FO131" s="397"/>
      <c r="FU131" s="397"/>
      <c r="GA131" s="397"/>
      <c r="GG131" s="397"/>
      <c r="GM131" s="397"/>
      <c r="GS131" s="397"/>
      <c r="GY131" s="397"/>
      <c r="HE131" s="397"/>
      <c r="HH131" s="493"/>
      <c r="HI131" s="493"/>
      <c r="HJ131" s="493"/>
      <c r="HK131" s="493"/>
      <c r="HL131" s="493"/>
      <c r="HM131" s="493"/>
      <c r="HN131" s="493"/>
      <c r="HO131" s="493"/>
    </row>
    <row r="132" spans="117:223">
      <c r="DM132" s="396"/>
      <c r="DS132" s="396"/>
      <c r="DY132" s="396"/>
      <c r="EE132" s="396"/>
      <c r="EK132" s="396"/>
      <c r="EQ132" s="396"/>
      <c r="EW132" s="396"/>
      <c r="FC132" s="396"/>
      <c r="FI132" s="396"/>
      <c r="FO132" s="396"/>
      <c r="FU132" s="396"/>
      <c r="GA132" s="396"/>
      <c r="GG132" s="396"/>
      <c r="GM132" s="396"/>
      <c r="GS132" s="396"/>
      <c r="GY132" s="396"/>
      <c r="HE132" s="396"/>
      <c r="HH132" s="493"/>
      <c r="HI132" s="493"/>
      <c r="HJ132" s="493"/>
      <c r="HK132" s="493"/>
      <c r="HL132" s="493"/>
      <c r="HM132" s="493"/>
      <c r="HN132" s="493"/>
      <c r="HO132" s="493"/>
    </row>
    <row r="133" spans="117:223">
      <c r="DM133" s="396"/>
      <c r="DS133" s="396"/>
      <c r="DY133" s="396"/>
      <c r="EE133" s="396"/>
      <c r="EK133" s="396"/>
      <c r="EQ133" s="396"/>
      <c r="EW133" s="396"/>
      <c r="FC133" s="396"/>
      <c r="FI133" s="396"/>
      <c r="FO133" s="396"/>
      <c r="FU133" s="396"/>
      <c r="GA133" s="396"/>
      <c r="GG133" s="396"/>
      <c r="GM133" s="396"/>
      <c r="GS133" s="396"/>
      <c r="GY133" s="396"/>
      <c r="HE133" s="396"/>
      <c r="HH133" s="493"/>
      <c r="HI133" s="493"/>
      <c r="HJ133" s="493"/>
      <c r="HK133" s="493"/>
      <c r="HL133" s="493"/>
      <c r="HM133" s="493"/>
      <c r="HN133" s="493"/>
      <c r="HO133" s="493"/>
    </row>
    <row r="134" spans="117:223">
      <c r="DM134" s="397"/>
      <c r="DS134" s="397"/>
      <c r="DY134" s="397"/>
      <c r="EE134" s="397"/>
      <c r="EK134" s="397"/>
      <c r="EQ134" s="397"/>
      <c r="EW134" s="397"/>
      <c r="FC134" s="397"/>
      <c r="FI134" s="397"/>
      <c r="FO134" s="397"/>
      <c r="FU134" s="397"/>
      <c r="GA134" s="397"/>
      <c r="GG134" s="397"/>
      <c r="GM134" s="397"/>
      <c r="GS134" s="397"/>
      <c r="GY134" s="397"/>
      <c r="HE134" s="397"/>
      <c r="HH134" s="493"/>
      <c r="HI134" s="493"/>
      <c r="HJ134" s="493"/>
      <c r="HK134" s="493"/>
      <c r="HL134" s="493"/>
      <c r="HM134" s="493"/>
      <c r="HN134" s="493"/>
      <c r="HO134" s="493"/>
    </row>
    <row r="135" spans="117:223">
      <c r="DM135" s="397"/>
      <c r="DS135" s="397"/>
      <c r="DY135" s="397"/>
      <c r="EE135" s="397"/>
      <c r="EK135" s="397"/>
      <c r="EQ135" s="397"/>
      <c r="EW135" s="397"/>
      <c r="FC135" s="397"/>
      <c r="FI135" s="397"/>
      <c r="FO135" s="397"/>
      <c r="FU135" s="397"/>
      <c r="GA135" s="397"/>
      <c r="GG135" s="397"/>
      <c r="GM135" s="397"/>
      <c r="GS135" s="397"/>
      <c r="GY135" s="397"/>
      <c r="HE135" s="397"/>
    </row>
    <row r="136" spans="117:223">
      <c r="DM136" s="396"/>
      <c r="DS136" s="396"/>
      <c r="DY136" s="396"/>
      <c r="EE136" s="396"/>
      <c r="EK136" s="396"/>
      <c r="EQ136" s="396"/>
      <c r="EW136" s="396"/>
      <c r="FC136" s="396"/>
      <c r="FI136" s="396"/>
      <c r="FO136" s="396"/>
      <c r="FU136" s="396"/>
      <c r="GA136" s="396"/>
      <c r="GG136" s="396"/>
      <c r="GM136" s="396"/>
      <c r="GS136" s="396"/>
      <c r="GY136" s="396"/>
      <c r="HE136" s="396"/>
    </row>
    <row r="137" spans="117:223">
      <c r="DM137" s="396"/>
      <c r="DS137" s="396"/>
      <c r="DY137" s="396"/>
      <c r="EE137" s="396"/>
      <c r="EK137" s="396"/>
      <c r="EQ137" s="396"/>
      <c r="EW137" s="396"/>
      <c r="FC137" s="396"/>
      <c r="FI137" s="396"/>
      <c r="FO137" s="396"/>
      <c r="FU137" s="396"/>
      <c r="GA137" s="396"/>
      <c r="GG137" s="396"/>
      <c r="GM137" s="396"/>
      <c r="GS137" s="396"/>
      <c r="GY137" s="396"/>
      <c r="HE137" s="396"/>
    </row>
    <row r="138" spans="117:223">
      <c r="DM138" s="470"/>
      <c r="DS138" s="470"/>
      <c r="DY138" s="470"/>
      <c r="EE138" s="470"/>
      <c r="EK138" s="470"/>
      <c r="EQ138" s="470"/>
      <c r="EW138" s="470"/>
      <c r="FC138" s="470"/>
      <c r="FI138" s="398"/>
      <c r="FO138" s="470"/>
      <c r="FU138" s="470"/>
      <c r="GA138" s="470"/>
      <c r="GG138" s="470"/>
      <c r="GM138" s="470"/>
      <c r="GS138" s="470"/>
      <c r="GY138" s="470"/>
      <c r="HE138" s="470"/>
    </row>
    <row r="139" spans="117:223">
      <c r="DM139" s="396"/>
      <c r="DS139" s="396"/>
      <c r="DY139" s="396"/>
      <c r="EE139" s="396"/>
      <c r="EK139" s="396"/>
      <c r="EQ139" s="396"/>
      <c r="EW139" s="396"/>
      <c r="FC139" s="396"/>
      <c r="FI139" s="396"/>
      <c r="FO139" s="396"/>
      <c r="FU139" s="396"/>
      <c r="GA139" s="396"/>
      <c r="GG139" s="396"/>
      <c r="GM139" s="396"/>
      <c r="GS139" s="396"/>
      <c r="GY139" s="396"/>
      <c r="HE139" s="396"/>
    </row>
    <row r="140" spans="117:223">
      <c r="DM140" s="396"/>
      <c r="DS140" s="396"/>
      <c r="DY140" s="396"/>
      <c r="EE140" s="396"/>
      <c r="EK140" s="396"/>
      <c r="EQ140" s="396"/>
      <c r="EW140" s="396"/>
      <c r="FC140" s="396"/>
      <c r="FI140" s="396"/>
      <c r="FO140" s="396"/>
      <c r="FU140" s="396"/>
      <c r="GA140" s="396"/>
      <c r="GG140" s="396"/>
      <c r="GM140" s="396"/>
      <c r="GS140" s="396"/>
      <c r="GY140" s="396"/>
      <c r="HE140" s="396"/>
    </row>
    <row r="141" spans="117:223">
      <c r="DM141" s="400"/>
      <c r="DS141" s="400"/>
      <c r="DY141" s="400"/>
      <c r="EE141" s="400"/>
      <c r="EK141" s="400"/>
      <c r="EQ141" s="400"/>
      <c r="EW141" s="400"/>
      <c r="FC141" s="400"/>
      <c r="FI141" s="400"/>
      <c r="FO141" s="400"/>
      <c r="FU141" s="400"/>
      <c r="GA141" s="400"/>
      <c r="GG141" s="400"/>
      <c r="GM141" s="400"/>
      <c r="GS141" s="400"/>
      <c r="GY141" s="400"/>
      <c r="HE141" s="400"/>
    </row>
    <row r="142" spans="117:223">
      <c r="DM142" s="472"/>
      <c r="DS142" s="472"/>
      <c r="DY142" s="472"/>
      <c r="EE142" s="472"/>
      <c r="EK142" s="472"/>
      <c r="EQ142" s="472"/>
      <c r="EW142" s="472"/>
      <c r="FC142" s="472"/>
      <c r="FI142" s="502"/>
      <c r="FO142" s="472"/>
      <c r="FU142" s="472"/>
      <c r="GA142" s="472"/>
      <c r="GG142" s="472"/>
      <c r="GM142" s="472"/>
      <c r="GS142" s="472"/>
      <c r="GY142" s="472"/>
      <c r="HE142" s="472"/>
    </row>
    <row r="143" spans="117:223">
      <c r="DM143" s="396"/>
      <c r="DS143" s="396"/>
      <c r="DY143" s="396"/>
      <c r="EE143" s="396"/>
      <c r="EK143" s="396"/>
      <c r="EQ143" s="396"/>
      <c r="EW143" s="396"/>
      <c r="FC143" s="396"/>
      <c r="FI143" s="396"/>
      <c r="FO143" s="396"/>
      <c r="FU143" s="396"/>
      <c r="GA143" s="396"/>
      <c r="GG143" s="396"/>
      <c r="GM143" s="396"/>
      <c r="GS143" s="396"/>
      <c r="GY143" s="396"/>
      <c r="HE143" s="396"/>
    </row>
    <row r="144" spans="117:223">
      <c r="DM144" s="396"/>
      <c r="DS144" s="396"/>
      <c r="DY144" s="396"/>
      <c r="EE144" s="396"/>
      <c r="EK144" s="396"/>
      <c r="EQ144" s="396"/>
      <c r="EW144" s="396"/>
      <c r="FC144" s="396"/>
      <c r="FI144" s="396"/>
      <c r="FO144" s="396"/>
      <c r="FU144" s="396"/>
      <c r="GA144" s="396"/>
      <c r="GG144" s="396"/>
      <c r="GM144" s="396"/>
      <c r="GS144" s="396"/>
      <c r="GY144" s="396"/>
      <c r="HE144" s="396"/>
    </row>
    <row r="145" spans="117:213">
      <c r="DM145" s="396"/>
      <c r="DS145" s="396"/>
      <c r="DY145" s="396"/>
      <c r="EE145" s="396"/>
      <c r="EK145" s="396"/>
      <c r="EQ145" s="396"/>
      <c r="EW145" s="396"/>
      <c r="FC145" s="396"/>
      <c r="FI145" s="396"/>
      <c r="FO145" s="396"/>
      <c r="FU145" s="396"/>
      <c r="GA145" s="396"/>
      <c r="GG145" s="396"/>
      <c r="GM145" s="396"/>
      <c r="GS145" s="396"/>
      <c r="GY145" s="396"/>
      <c r="HE145" s="396"/>
    </row>
    <row r="146" spans="117:213">
      <c r="DM146" s="396"/>
      <c r="DS146" s="396"/>
      <c r="DY146" s="396"/>
      <c r="EE146" s="396"/>
      <c r="EK146" s="396"/>
      <c r="EQ146" s="396"/>
      <c r="EW146" s="396"/>
      <c r="FC146" s="396"/>
      <c r="FI146" s="396"/>
      <c r="FO146" s="396"/>
      <c r="FU146" s="396"/>
      <c r="GA146" s="396"/>
      <c r="GG146" s="396"/>
      <c r="GM146" s="396"/>
      <c r="GS146" s="396"/>
      <c r="GY146" s="396"/>
      <c r="HE146" s="396"/>
    </row>
    <row r="147" spans="117:213">
      <c r="DM147" s="396"/>
      <c r="DS147" s="396"/>
      <c r="DY147" s="396"/>
      <c r="EE147" s="396"/>
      <c r="EK147" s="396"/>
      <c r="EQ147" s="396"/>
      <c r="EW147" s="396"/>
      <c r="FC147" s="396"/>
      <c r="FI147" s="396"/>
      <c r="FO147" s="396"/>
      <c r="FU147" s="396"/>
      <c r="GA147" s="396"/>
      <c r="GG147" s="396"/>
      <c r="GM147" s="396"/>
      <c r="GS147" s="396"/>
      <c r="GY147" s="396"/>
      <c r="HE147" s="396"/>
    </row>
    <row r="148" spans="117:213">
      <c r="DM148" s="396"/>
      <c r="DS148" s="396"/>
      <c r="DY148" s="396"/>
      <c r="EE148" s="396"/>
      <c r="EK148" s="396"/>
      <c r="EQ148" s="396"/>
      <c r="EW148" s="396"/>
      <c r="FC148" s="396"/>
      <c r="FI148" s="396"/>
      <c r="FO148" s="396"/>
      <c r="FU148" s="396"/>
      <c r="GA148" s="396"/>
      <c r="GG148" s="396"/>
      <c r="GM148" s="396"/>
      <c r="GS148" s="396"/>
      <c r="GY148" s="396"/>
      <c r="HE148" s="396"/>
    </row>
    <row r="149" spans="117:213">
      <c r="DM149" s="396"/>
      <c r="DS149" s="396"/>
      <c r="DY149" s="396"/>
      <c r="EE149" s="396"/>
      <c r="EK149" s="396"/>
      <c r="EQ149" s="396"/>
      <c r="EW149" s="396"/>
      <c r="FC149" s="396"/>
      <c r="FI149" s="396"/>
      <c r="FO149" s="396"/>
      <c r="FU149" s="396"/>
      <c r="GA149" s="396"/>
      <c r="GG149" s="396"/>
      <c r="GM149" s="396"/>
      <c r="GS149" s="396"/>
      <c r="GY149" s="396"/>
      <c r="HE149" s="396"/>
    </row>
    <row r="150" spans="117:213">
      <c r="DM150" s="396"/>
      <c r="DS150" s="396"/>
      <c r="DY150" s="396"/>
      <c r="EE150" s="396"/>
      <c r="EK150" s="396"/>
      <c r="EQ150" s="396"/>
      <c r="EW150" s="396"/>
      <c r="FC150" s="396"/>
      <c r="FI150" s="396"/>
      <c r="FO150" s="396"/>
      <c r="FU150" s="396"/>
      <c r="GA150" s="396"/>
      <c r="GG150" s="396"/>
      <c r="GM150" s="396"/>
      <c r="GS150" s="396"/>
      <c r="GY150" s="396"/>
      <c r="HE150" s="396"/>
    </row>
    <row r="151" spans="117:213">
      <c r="DM151" s="396"/>
      <c r="DS151" s="396"/>
      <c r="DY151" s="396"/>
      <c r="EE151" s="396"/>
      <c r="EK151" s="396"/>
      <c r="EQ151" s="396"/>
      <c r="EW151" s="396"/>
      <c r="FC151" s="396"/>
      <c r="FI151" s="396"/>
      <c r="FO151" s="396"/>
      <c r="FU151" s="396"/>
      <c r="GA151" s="396"/>
      <c r="GG151" s="396"/>
      <c r="GM151" s="396"/>
      <c r="GS151" s="396"/>
      <c r="GY151" s="396"/>
      <c r="HE151" s="396"/>
    </row>
    <row r="152" spans="117:213">
      <c r="DM152" s="396"/>
      <c r="DS152" s="396"/>
      <c r="DY152" s="396"/>
      <c r="EE152" s="396"/>
      <c r="EK152" s="396"/>
      <c r="EQ152" s="396"/>
      <c r="EW152" s="396"/>
      <c r="FC152" s="396"/>
      <c r="FI152" s="396"/>
      <c r="FO152" s="396"/>
      <c r="FU152" s="396"/>
      <c r="GA152" s="396"/>
      <c r="GG152" s="396"/>
      <c r="GM152" s="396"/>
      <c r="GS152" s="396"/>
      <c r="GY152" s="396"/>
      <c r="HE152" s="396"/>
    </row>
    <row r="153" spans="117:213">
      <c r="DM153" s="396"/>
      <c r="DS153" s="396"/>
      <c r="DY153" s="396"/>
      <c r="EE153" s="396"/>
      <c r="EK153" s="396"/>
      <c r="EQ153" s="396"/>
      <c r="EW153" s="396"/>
      <c r="FC153" s="396"/>
      <c r="FI153" s="396"/>
      <c r="FO153" s="396"/>
      <c r="FU153" s="396"/>
      <c r="GA153" s="396"/>
      <c r="GG153" s="396"/>
      <c r="GM153" s="396"/>
      <c r="GS153" s="396"/>
      <c r="GY153" s="396"/>
      <c r="HE153" s="396"/>
    </row>
    <row r="154" spans="117:213">
      <c r="DM154" s="396"/>
      <c r="DS154" s="396"/>
      <c r="DY154" s="396"/>
      <c r="EE154" s="396"/>
      <c r="EK154" s="396"/>
      <c r="EQ154" s="396"/>
      <c r="EW154" s="396"/>
      <c r="FC154" s="396"/>
      <c r="FI154" s="396"/>
      <c r="FO154" s="396"/>
      <c r="FU154" s="396"/>
      <c r="GA154" s="396"/>
      <c r="GG154" s="396"/>
      <c r="GM154" s="396"/>
      <c r="GS154" s="396"/>
      <c r="GY154" s="396"/>
      <c r="HE154" s="396"/>
    </row>
    <row r="155" spans="117:213">
      <c r="DM155" s="396"/>
      <c r="DS155" s="396"/>
      <c r="DY155" s="396"/>
      <c r="EE155" s="396"/>
      <c r="EK155" s="396"/>
      <c r="EQ155" s="396"/>
      <c r="EW155" s="396"/>
      <c r="FC155" s="396"/>
      <c r="FI155" s="396"/>
      <c r="FO155" s="396"/>
      <c r="FU155" s="396"/>
      <c r="GA155" s="396"/>
      <c r="GG155" s="396"/>
      <c r="GM155" s="396"/>
      <c r="GS155" s="396"/>
      <c r="GY155" s="396"/>
      <c r="HE155" s="396"/>
    </row>
    <row r="156" spans="117:213">
      <c r="DM156" s="396"/>
      <c r="DS156" s="396"/>
      <c r="DY156" s="396"/>
      <c r="EE156" s="396"/>
      <c r="EK156" s="396"/>
      <c r="EQ156" s="396"/>
      <c r="EW156" s="396"/>
      <c r="FC156" s="396"/>
      <c r="FI156" s="396"/>
      <c r="FO156" s="396"/>
      <c r="FU156" s="396"/>
      <c r="GA156" s="396"/>
      <c r="GG156" s="396"/>
      <c r="GM156" s="396"/>
      <c r="GS156" s="396"/>
      <c r="GY156" s="396"/>
      <c r="HE156" s="396"/>
    </row>
    <row r="157" spans="117:213">
      <c r="DM157" s="396"/>
      <c r="DS157" s="396"/>
      <c r="DY157" s="396"/>
      <c r="EE157" s="396"/>
      <c r="EK157" s="396"/>
      <c r="EQ157" s="396"/>
      <c r="EW157" s="396"/>
      <c r="FC157" s="396"/>
      <c r="FI157" s="396"/>
      <c r="FO157" s="396"/>
      <c r="FU157" s="396"/>
      <c r="GA157" s="396"/>
      <c r="GG157" s="396"/>
      <c r="GM157" s="396"/>
      <c r="GS157" s="396"/>
      <c r="GY157" s="396"/>
      <c r="HE157" s="396"/>
    </row>
    <row r="158" spans="117:213">
      <c r="DM158" s="397"/>
      <c r="DS158" s="397"/>
      <c r="DY158" s="397"/>
      <c r="EE158" s="397"/>
      <c r="EK158" s="397"/>
      <c r="EQ158" s="397"/>
      <c r="EW158" s="397"/>
      <c r="FC158" s="397"/>
      <c r="FI158" s="397"/>
      <c r="FO158" s="397"/>
      <c r="FU158" s="397"/>
      <c r="GA158" s="397"/>
      <c r="GG158" s="397"/>
      <c r="GM158" s="397"/>
      <c r="GS158" s="397"/>
      <c r="GY158" s="397"/>
      <c r="HE158" s="397"/>
    </row>
    <row r="159" spans="117:213">
      <c r="DM159" s="396"/>
      <c r="DS159" s="396"/>
      <c r="DY159" s="396"/>
      <c r="EE159" s="396"/>
      <c r="EK159" s="396"/>
      <c r="EQ159" s="396"/>
      <c r="EW159" s="396"/>
      <c r="FC159" s="396"/>
      <c r="FI159" s="396"/>
      <c r="FO159" s="396"/>
      <c r="FU159" s="396"/>
      <c r="GA159" s="396"/>
      <c r="GG159" s="396"/>
      <c r="GM159" s="396"/>
      <c r="GS159" s="396"/>
      <c r="GY159" s="396"/>
      <c r="HE159" s="396"/>
    </row>
    <row r="160" spans="117:213">
      <c r="DM160" s="397"/>
      <c r="DS160" s="397"/>
      <c r="DY160" s="397"/>
      <c r="EE160" s="397"/>
      <c r="EK160" s="397"/>
      <c r="EQ160" s="397"/>
      <c r="EW160" s="397"/>
      <c r="FC160" s="397"/>
      <c r="FI160" s="397"/>
      <c r="FO160" s="397"/>
      <c r="FU160" s="397"/>
      <c r="GA160" s="397"/>
      <c r="GG160" s="397"/>
      <c r="GM160" s="397"/>
      <c r="GS160" s="397"/>
      <c r="GY160" s="397"/>
      <c r="HE160" s="397"/>
    </row>
    <row r="161" spans="117:213">
      <c r="DM161" s="396"/>
      <c r="DS161" s="396"/>
      <c r="DY161" s="396"/>
      <c r="EE161" s="396"/>
      <c r="EK161" s="396"/>
      <c r="EQ161" s="396"/>
      <c r="EW161" s="396"/>
      <c r="FC161" s="396"/>
      <c r="FI161" s="396"/>
      <c r="FO161" s="396"/>
      <c r="FU161" s="396"/>
      <c r="GA161" s="396"/>
      <c r="GG161" s="396"/>
      <c r="GM161" s="396"/>
      <c r="GS161" s="396"/>
      <c r="GY161" s="396"/>
      <c r="HE161" s="396"/>
    </row>
    <row r="162" spans="117:213">
      <c r="DM162" s="397"/>
      <c r="DS162" s="397"/>
      <c r="DY162" s="397"/>
      <c r="EE162" s="397"/>
      <c r="EK162" s="397"/>
      <c r="EQ162" s="397"/>
      <c r="EW162" s="397"/>
      <c r="FC162" s="397"/>
      <c r="FI162" s="397"/>
      <c r="FO162" s="397"/>
      <c r="FU162" s="397"/>
      <c r="GA162" s="397"/>
      <c r="GG162" s="397"/>
      <c r="GM162" s="397"/>
      <c r="GS162" s="397"/>
      <c r="GY162" s="397"/>
      <c r="HE162" s="397"/>
    </row>
    <row r="163" spans="117:213">
      <c r="DM163" s="396"/>
      <c r="DS163" s="396"/>
      <c r="DY163" s="396"/>
      <c r="EE163" s="396"/>
      <c r="EK163" s="396"/>
      <c r="EQ163" s="396"/>
      <c r="EW163" s="396"/>
      <c r="FC163" s="396"/>
      <c r="FI163" s="396"/>
      <c r="FO163" s="396"/>
      <c r="FU163" s="396"/>
      <c r="GA163" s="396"/>
      <c r="GG163" s="396"/>
      <c r="GM163" s="396"/>
      <c r="GS163" s="396"/>
      <c r="GY163" s="396"/>
      <c r="HE163" s="396"/>
    </row>
    <row r="164" spans="117:213">
      <c r="DM164" s="396"/>
      <c r="DS164" s="396"/>
      <c r="DY164" s="396"/>
      <c r="EE164" s="396"/>
      <c r="EK164" s="396"/>
      <c r="EQ164" s="396"/>
      <c r="EW164" s="396"/>
      <c r="FC164" s="396"/>
      <c r="FI164" s="396"/>
      <c r="FO164" s="396"/>
      <c r="FU164" s="396"/>
      <c r="GA164" s="396"/>
      <c r="GG164" s="396"/>
      <c r="GM164" s="396"/>
      <c r="GS164" s="396"/>
      <c r="GY164" s="396"/>
      <c r="HE164" s="396"/>
    </row>
    <row r="165" spans="117:213">
      <c r="DM165" s="397"/>
      <c r="DS165" s="397"/>
      <c r="DY165" s="397"/>
      <c r="EE165" s="397"/>
      <c r="EK165" s="397"/>
      <c r="EQ165" s="397"/>
      <c r="EW165" s="397"/>
      <c r="FC165" s="397"/>
      <c r="FI165" s="397"/>
      <c r="FO165" s="397"/>
      <c r="FU165" s="397"/>
      <c r="GA165" s="397"/>
      <c r="GG165" s="397"/>
      <c r="GM165" s="397"/>
      <c r="GS165" s="397"/>
      <c r="GY165" s="397"/>
      <c r="HE165" s="397"/>
    </row>
    <row r="166" spans="117:213">
      <c r="DM166" s="397"/>
      <c r="DS166" s="397"/>
      <c r="DY166" s="397"/>
      <c r="EE166" s="397"/>
      <c r="EK166" s="397"/>
      <c r="EQ166" s="397"/>
      <c r="EW166" s="397"/>
      <c r="FC166" s="397"/>
      <c r="FI166" s="397"/>
      <c r="FO166" s="397"/>
      <c r="FU166" s="397"/>
      <c r="GA166" s="397"/>
      <c r="GG166" s="397"/>
      <c r="GM166" s="397"/>
      <c r="GS166" s="397"/>
      <c r="GY166" s="397"/>
      <c r="HE166" s="397"/>
    </row>
    <row r="167" spans="117:213">
      <c r="DM167" s="396"/>
      <c r="DS167" s="396"/>
      <c r="DY167" s="396"/>
      <c r="EE167" s="396"/>
      <c r="EK167" s="396"/>
      <c r="EQ167" s="396"/>
      <c r="EW167" s="396"/>
      <c r="FC167" s="396"/>
      <c r="FI167" s="396"/>
      <c r="FO167" s="396"/>
      <c r="FU167" s="396"/>
      <c r="GA167" s="396"/>
      <c r="GG167" s="396"/>
      <c r="GM167" s="396"/>
      <c r="GS167" s="396"/>
      <c r="GY167" s="396"/>
      <c r="HE167" s="396"/>
    </row>
    <row r="168" spans="117:213">
      <c r="DM168" s="396"/>
      <c r="DS168" s="396"/>
      <c r="DY168" s="396"/>
      <c r="EE168" s="396"/>
      <c r="EK168" s="396"/>
      <c r="EQ168" s="396"/>
      <c r="EW168" s="396"/>
      <c r="FC168" s="396"/>
      <c r="FI168" s="396"/>
      <c r="FO168" s="396"/>
      <c r="FU168" s="396"/>
      <c r="GA168" s="396"/>
      <c r="GG168" s="396"/>
      <c r="GM168" s="396"/>
      <c r="GS168" s="396"/>
      <c r="GY168" s="396"/>
      <c r="HE168" s="396"/>
    </row>
    <row r="169" spans="117:213">
      <c r="DM169" s="470"/>
      <c r="DS169" s="470"/>
      <c r="DY169" s="470"/>
      <c r="EE169" s="470"/>
      <c r="EK169" s="470"/>
      <c r="EQ169" s="470"/>
      <c r="EW169" s="470"/>
      <c r="FC169" s="470"/>
      <c r="FI169" s="398"/>
      <c r="FO169" s="470"/>
      <c r="FU169" s="470"/>
      <c r="GA169" s="470"/>
      <c r="GG169" s="470"/>
      <c r="GM169" s="470"/>
      <c r="GS169" s="470"/>
      <c r="GY169" s="470"/>
      <c r="HE169" s="470"/>
    </row>
    <row r="170" spans="117:213">
      <c r="DM170" s="396"/>
      <c r="DS170" s="396"/>
      <c r="DY170" s="396"/>
      <c r="EE170" s="396"/>
      <c r="EK170" s="396"/>
      <c r="EQ170" s="396"/>
      <c r="EW170" s="396"/>
      <c r="FC170" s="396"/>
      <c r="FI170" s="396"/>
      <c r="FO170" s="396"/>
      <c r="FU170" s="396"/>
      <c r="GA170" s="396"/>
      <c r="GG170" s="396"/>
      <c r="GM170" s="396"/>
      <c r="GS170" s="396"/>
      <c r="GY170" s="396"/>
      <c r="HE170" s="396"/>
    </row>
    <row r="171" spans="117:213">
      <c r="DM171" s="396"/>
      <c r="DS171" s="396"/>
      <c r="DY171" s="396"/>
      <c r="EE171" s="396"/>
      <c r="EK171" s="396"/>
      <c r="EQ171" s="396"/>
      <c r="EW171" s="396"/>
      <c r="FC171" s="396"/>
      <c r="FI171" s="396"/>
      <c r="FO171" s="396"/>
      <c r="FU171" s="396"/>
      <c r="GA171" s="396"/>
      <c r="GG171" s="396"/>
      <c r="GM171" s="396"/>
      <c r="GS171" s="396"/>
      <c r="GY171" s="396"/>
      <c r="HE171" s="396"/>
    </row>
    <row r="172" spans="117:213">
      <c r="DM172" s="396"/>
      <c r="DS172" s="396"/>
      <c r="DY172" s="396"/>
      <c r="EE172" s="396"/>
      <c r="EK172" s="396"/>
      <c r="EQ172" s="396"/>
      <c r="EW172" s="396"/>
      <c r="FC172" s="396"/>
      <c r="FI172" s="396"/>
      <c r="FO172" s="396"/>
      <c r="FU172" s="396"/>
      <c r="GA172" s="396"/>
      <c r="GG172" s="396"/>
      <c r="GM172" s="396"/>
      <c r="GS172" s="396"/>
      <c r="GY172" s="396"/>
      <c r="HE172" s="396"/>
    </row>
    <row r="173" spans="117:213">
      <c r="DM173" s="396"/>
      <c r="DS173" s="396"/>
      <c r="DY173" s="396"/>
      <c r="EE173" s="396"/>
      <c r="EK173" s="396"/>
      <c r="EQ173" s="396"/>
      <c r="EW173" s="396"/>
      <c r="FC173" s="396"/>
      <c r="FI173" s="396"/>
      <c r="FO173" s="396"/>
      <c r="FU173" s="396"/>
      <c r="GA173" s="396"/>
      <c r="GG173" s="396"/>
      <c r="GM173" s="396"/>
      <c r="GS173" s="396"/>
      <c r="GY173" s="396"/>
      <c r="HE173" s="396"/>
    </row>
    <row r="174" spans="117:213">
      <c r="DM174" s="397"/>
      <c r="DS174" s="397"/>
      <c r="DY174" s="397"/>
      <c r="EE174" s="397"/>
      <c r="EK174" s="397"/>
      <c r="EQ174" s="397"/>
      <c r="EW174" s="397"/>
      <c r="FC174" s="397"/>
      <c r="FI174" s="397"/>
      <c r="FO174" s="397"/>
      <c r="FU174" s="397"/>
      <c r="GA174" s="397"/>
      <c r="GG174" s="397"/>
      <c r="GM174" s="397"/>
      <c r="GS174" s="397"/>
      <c r="GY174" s="397"/>
      <c r="HE174" s="397"/>
    </row>
    <row r="175" spans="117:213">
      <c r="DM175" s="396"/>
      <c r="DS175" s="396"/>
      <c r="DY175" s="396"/>
      <c r="EE175" s="396"/>
      <c r="EK175" s="396"/>
      <c r="EQ175" s="396"/>
      <c r="EW175" s="396"/>
      <c r="FC175" s="396"/>
      <c r="FI175" s="396"/>
      <c r="FO175" s="396"/>
      <c r="FU175" s="396"/>
      <c r="GA175" s="396"/>
      <c r="GG175" s="396"/>
      <c r="GM175" s="396"/>
      <c r="GS175" s="396"/>
      <c r="GY175" s="396"/>
      <c r="HE175" s="396"/>
    </row>
    <row r="176" spans="117:213">
      <c r="DM176" s="397"/>
      <c r="DS176" s="397"/>
      <c r="DY176" s="397"/>
      <c r="EE176" s="397"/>
      <c r="EK176" s="397"/>
      <c r="EQ176" s="397"/>
      <c r="EW176" s="397"/>
      <c r="FC176" s="397"/>
      <c r="FI176" s="397"/>
      <c r="FO176" s="397"/>
      <c r="FU176" s="397"/>
      <c r="GA176" s="397"/>
      <c r="GG176" s="397"/>
      <c r="GM176" s="397"/>
      <c r="GS176" s="397"/>
      <c r="GY176" s="397"/>
      <c r="HE176" s="397"/>
    </row>
    <row r="177" spans="117:213">
      <c r="DM177" s="396"/>
      <c r="DS177" s="396"/>
      <c r="DY177" s="396"/>
      <c r="EE177" s="396"/>
      <c r="EK177" s="396"/>
      <c r="EQ177" s="396"/>
      <c r="EW177" s="396"/>
      <c r="FC177" s="396"/>
      <c r="FI177" s="396"/>
      <c r="FO177" s="396"/>
      <c r="FU177" s="396"/>
      <c r="GA177" s="396"/>
      <c r="GG177" s="396"/>
      <c r="GM177" s="396"/>
      <c r="GS177" s="396"/>
      <c r="GY177" s="396"/>
      <c r="HE177" s="396"/>
    </row>
    <row r="178" spans="117:213">
      <c r="DM178" s="397"/>
      <c r="DS178" s="397"/>
      <c r="DY178" s="397"/>
      <c r="EE178" s="397"/>
      <c r="EK178" s="397"/>
      <c r="EQ178" s="397"/>
      <c r="EW178" s="397"/>
      <c r="FC178" s="397"/>
      <c r="FI178" s="397"/>
      <c r="FO178" s="397"/>
      <c r="FU178" s="397"/>
      <c r="GA178" s="397"/>
      <c r="GG178" s="397"/>
      <c r="GM178" s="397"/>
      <c r="GS178" s="397"/>
      <c r="GY178" s="397"/>
      <c r="HE178" s="397"/>
    </row>
    <row r="179" spans="117:213">
      <c r="DM179" s="396"/>
      <c r="DS179" s="396"/>
      <c r="DY179" s="396"/>
      <c r="EE179" s="396"/>
      <c r="EK179" s="396"/>
      <c r="EQ179" s="396"/>
      <c r="EW179" s="396"/>
      <c r="FC179" s="396"/>
      <c r="FI179" s="396"/>
      <c r="FO179" s="396"/>
      <c r="FU179" s="396"/>
      <c r="GA179" s="396"/>
      <c r="GG179" s="396"/>
      <c r="GM179" s="396"/>
      <c r="GS179" s="396"/>
      <c r="GY179" s="396"/>
      <c r="HE179" s="396"/>
    </row>
    <row r="180" spans="117:213">
      <c r="DM180" s="396"/>
      <c r="DS180" s="396"/>
      <c r="DY180" s="396"/>
      <c r="EE180" s="396"/>
      <c r="EK180" s="396"/>
      <c r="EQ180" s="396"/>
      <c r="EW180" s="396"/>
      <c r="FC180" s="396"/>
      <c r="FI180" s="396"/>
      <c r="FO180" s="396"/>
      <c r="FU180" s="396"/>
      <c r="GA180" s="396"/>
      <c r="GG180" s="396"/>
      <c r="GM180" s="396"/>
      <c r="GS180" s="396"/>
      <c r="GY180" s="396"/>
      <c r="HE180" s="396"/>
    </row>
    <row r="181" spans="117:213">
      <c r="DM181" s="397"/>
      <c r="DS181" s="397"/>
      <c r="DY181" s="397"/>
      <c r="EE181" s="397"/>
      <c r="EK181" s="397"/>
      <c r="EQ181" s="397"/>
      <c r="EW181" s="397"/>
      <c r="FC181" s="397"/>
      <c r="FI181" s="397"/>
      <c r="FO181" s="397"/>
      <c r="FU181" s="397"/>
      <c r="GA181" s="397"/>
      <c r="GG181" s="397"/>
      <c r="GM181" s="397"/>
      <c r="GS181" s="397"/>
      <c r="GY181" s="397"/>
      <c r="HE181" s="397"/>
    </row>
    <row r="182" spans="117:213">
      <c r="DM182" s="397"/>
      <c r="DS182" s="397"/>
      <c r="DY182" s="397"/>
      <c r="EE182" s="397"/>
      <c r="EK182" s="397"/>
      <c r="EQ182" s="397"/>
      <c r="EW182" s="397"/>
      <c r="FC182" s="397"/>
      <c r="FI182" s="397"/>
      <c r="FO182" s="397"/>
      <c r="FU182" s="397"/>
      <c r="GA182" s="397"/>
      <c r="GG182" s="397"/>
      <c r="GM182" s="397"/>
      <c r="GS182" s="397"/>
      <c r="GY182" s="397"/>
      <c r="HE182" s="397"/>
    </row>
    <row r="183" spans="117:213">
      <c r="DM183" s="396"/>
      <c r="DS183" s="396"/>
      <c r="DY183" s="396"/>
      <c r="EE183" s="396"/>
      <c r="EK183" s="396"/>
      <c r="EQ183" s="396"/>
      <c r="EW183" s="396"/>
      <c r="FC183" s="396"/>
      <c r="FI183" s="396"/>
      <c r="FO183" s="396"/>
      <c r="FU183" s="396"/>
      <c r="GA183" s="396"/>
      <c r="GG183" s="396"/>
      <c r="GM183" s="396"/>
      <c r="GS183" s="396"/>
      <c r="GY183" s="396"/>
      <c r="HE183" s="396"/>
    </row>
    <row r="184" spans="117:213">
      <c r="DM184" s="396"/>
      <c r="DS184" s="396"/>
      <c r="DY184" s="396"/>
      <c r="EE184" s="396"/>
      <c r="EK184" s="396"/>
      <c r="EQ184" s="396"/>
      <c r="EW184" s="396"/>
      <c r="FC184" s="396"/>
      <c r="FI184" s="396"/>
      <c r="FO184" s="396"/>
      <c r="FU184" s="396"/>
      <c r="GA184" s="396"/>
      <c r="GG184" s="396"/>
      <c r="GM184" s="396"/>
      <c r="GS184" s="396"/>
      <c r="GY184" s="396"/>
      <c r="HE184" s="396"/>
    </row>
    <row r="185" spans="117:213">
      <c r="DM185" s="470"/>
      <c r="DS185" s="470"/>
      <c r="DY185" s="470"/>
      <c r="EE185" s="470"/>
      <c r="EK185" s="470"/>
      <c r="EQ185" s="470"/>
      <c r="EW185" s="470"/>
      <c r="FC185" s="470"/>
      <c r="FI185" s="398"/>
      <c r="FO185" s="470"/>
      <c r="FU185" s="470"/>
      <c r="GA185" s="470"/>
      <c r="GG185" s="470"/>
      <c r="GM185" s="470"/>
      <c r="GS185" s="470"/>
      <c r="GY185" s="470"/>
      <c r="HE185" s="470"/>
    </row>
    <row r="186" spans="117:213">
      <c r="DM186" s="396"/>
      <c r="DS186" s="396"/>
      <c r="DY186" s="396"/>
      <c r="EE186" s="396"/>
      <c r="EK186" s="396"/>
      <c r="EQ186" s="396"/>
      <c r="EW186" s="396"/>
      <c r="FC186" s="396"/>
      <c r="FI186" s="396"/>
      <c r="FO186" s="396"/>
      <c r="FU186" s="396"/>
      <c r="GA186" s="396"/>
      <c r="GG186" s="396"/>
      <c r="GM186" s="396"/>
      <c r="GS186" s="396"/>
      <c r="GY186" s="396"/>
      <c r="HE186" s="396"/>
    </row>
    <row r="187" spans="117:213">
      <c r="DM187" s="396"/>
      <c r="DS187" s="396"/>
      <c r="DY187" s="396"/>
      <c r="EE187" s="396"/>
      <c r="EK187" s="396"/>
      <c r="EQ187" s="396"/>
      <c r="EW187" s="396"/>
      <c r="FC187" s="396"/>
      <c r="FI187" s="396"/>
      <c r="FO187" s="396"/>
      <c r="FU187" s="396"/>
      <c r="GA187" s="396"/>
      <c r="GG187" s="396"/>
      <c r="GM187" s="396"/>
      <c r="GS187" s="396"/>
      <c r="GY187" s="396"/>
      <c r="HE187" s="396"/>
    </row>
    <row r="188" spans="117:213">
      <c r="DM188" s="396"/>
      <c r="DS188" s="396"/>
      <c r="DY188" s="396"/>
      <c r="EE188" s="396"/>
      <c r="EK188" s="396"/>
      <c r="EQ188" s="396"/>
      <c r="EW188" s="396"/>
      <c r="FC188" s="396"/>
      <c r="FI188" s="396"/>
      <c r="FO188" s="396"/>
      <c r="FU188" s="396"/>
      <c r="GA188" s="396"/>
      <c r="GG188" s="396"/>
      <c r="GM188" s="396"/>
      <c r="GS188" s="396"/>
      <c r="GY188" s="396"/>
      <c r="HE188" s="396"/>
    </row>
    <row r="189" spans="117:213">
      <c r="DM189" s="396"/>
      <c r="DS189" s="396"/>
      <c r="DY189" s="396"/>
      <c r="EE189" s="396"/>
      <c r="EK189" s="396"/>
      <c r="EQ189" s="396"/>
      <c r="EW189" s="396"/>
      <c r="FC189" s="396"/>
      <c r="FI189" s="396"/>
      <c r="FO189" s="396"/>
      <c r="FU189" s="396"/>
      <c r="GA189" s="396"/>
      <c r="GG189" s="396"/>
      <c r="GM189" s="396"/>
      <c r="GS189" s="396"/>
      <c r="GY189" s="396"/>
      <c r="HE189" s="396"/>
    </row>
    <row r="190" spans="117:213">
      <c r="DM190" s="397"/>
      <c r="DS190" s="397"/>
      <c r="DY190" s="397"/>
      <c r="EE190" s="397"/>
      <c r="EK190" s="397"/>
      <c r="EQ190" s="397"/>
      <c r="EW190" s="397"/>
      <c r="FC190" s="397"/>
      <c r="FI190" s="397"/>
      <c r="FO190" s="397"/>
      <c r="FU190" s="397"/>
      <c r="GA190" s="397"/>
      <c r="GG190" s="397"/>
      <c r="GM190" s="397"/>
      <c r="GS190" s="397"/>
      <c r="GY190" s="397"/>
      <c r="HE190" s="397"/>
    </row>
    <row r="191" spans="117:213">
      <c r="DM191" s="396"/>
      <c r="DS191" s="396"/>
      <c r="DY191" s="396"/>
      <c r="EE191" s="396"/>
      <c r="EK191" s="396"/>
      <c r="EQ191" s="396"/>
      <c r="EW191" s="396"/>
      <c r="FC191" s="396"/>
      <c r="FI191" s="396"/>
      <c r="FO191" s="396"/>
      <c r="FU191" s="396"/>
      <c r="GA191" s="396"/>
      <c r="GG191" s="396"/>
      <c r="GM191" s="396"/>
      <c r="GS191" s="396"/>
      <c r="GY191" s="396"/>
      <c r="HE191" s="396"/>
    </row>
    <row r="192" spans="117:213">
      <c r="DM192" s="397"/>
      <c r="DS192" s="397"/>
      <c r="DY192" s="397"/>
      <c r="EE192" s="397"/>
      <c r="EK192" s="397"/>
      <c r="EQ192" s="397"/>
      <c r="EW192" s="397"/>
      <c r="FC192" s="397"/>
      <c r="FI192" s="397"/>
      <c r="FO192" s="397"/>
      <c r="FU192" s="397"/>
      <c r="GA192" s="397"/>
      <c r="GG192" s="397"/>
      <c r="GM192" s="397"/>
      <c r="GS192" s="397"/>
      <c r="GY192" s="397"/>
      <c r="HE192" s="397"/>
    </row>
    <row r="193" spans="117:213">
      <c r="DM193" s="396"/>
      <c r="DS193" s="396"/>
      <c r="DY193" s="396"/>
      <c r="EE193" s="396"/>
      <c r="EK193" s="396"/>
      <c r="EQ193" s="396"/>
      <c r="EW193" s="396"/>
      <c r="FC193" s="396"/>
      <c r="FI193" s="396"/>
      <c r="FO193" s="396"/>
      <c r="FU193" s="396"/>
      <c r="GA193" s="396"/>
      <c r="GG193" s="396"/>
      <c r="GM193" s="396"/>
      <c r="GS193" s="396"/>
      <c r="GY193" s="396"/>
      <c r="HE193" s="396"/>
    </row>
    <row r="194" spans="117:213">
      <c r="DM194" s="397"/>
      <c r="DS194" s="397"/>
      <c r="DY194" s="397"/>
      <c r="EE194" s="397"/>
      <c r="EK194" s="397"/>
      <c r="EQ194" s="397"/>
      <c r="EW194" s="397"/>
      <c r="FC194" s="397"/>
      <c r="FI194" s="397"/>
      <c r="FO194" s="397"/>
      <c r="FU194" s="397"/>
      <c r="GA194" s="397"/>
      <c r="GG194" s="397"/>
      <c r="GM194" s="397"/>
      <c r="GS194" s="397"/>
      <c r="GY194" s="397"/>
      <c r="HE194" s="397"/>
    </row>
    <row r="195" spans="117:213">
      <c r="DM195" s="396"/>
      <c r="DS195" s="396"/>
      <c r="DY195" s="396"/>
      <c r="EE195" s="396"/>
      <c r="EK195" s="396"/>
      <c r="EQ195" s="396"/>
      <c r="EW195" s="396"/>
      <c r="FC195" s="396"/>
      <c r="FI195" s="396"/>
      <c r="FO195" s="396"/>
      <c r="FU195" s="396"/>
      <c r="GA195" s="396"/>
      <c r="GG195" s="396"/>
      <c r="GM195" s="396"/>
      <c r="GS195" s="396"/>
      <c r="GY195" s="396"/>
      <c r="HE195" s="396"/>
    </row>
    <row r="196" spans="117:213">
      <c r="DM196" s="396"/>
      <c r="DS196" s="396"/>
      <c r="DY196" s="396"/>
      <c r="EE196" s="396"/>
      <c r="EK196" s="396"/>
      <c r="EQ196" s="396"/>
      <c r="EW196" s="396"/>
      <c r="FC196" s="396"/>
      <c r="FI196" s="396"/>
      <c r="FO196" s="396"/>
      <c r="FU196" s="396"/>
      <c r="GA196" s="396"/>
      <c r="GG196" s="396"/>
      <c r="GM196" s="396"/>
      <c r="GS196" s="396"/>
      <c r="GY196" s="396"/>
      <c r="HE196" s="396"/>
    </row>
    <row r="197" spans="117:213">
      <c r="DM197" s="397"/>
      <c r="DS197" s="397"/>
      <c r="DY197" s="397"/>
      <c r="EE197" s="397"/>
      <c r="EK197" s="397"/>
      <c r="EQ197" s="397"/>
      <c r="EW197" s="397"/>
      <c r="FC197" s="397"/>
      <c r="FI197" s="397"/>
      <c r="FO197" s="397"/>
      <c r="FU197" s="397"/>
      <c r="GA197" s="397"/>
      <c r="GG197" s="397"/>
      <c r="GM197" s="397"/>
      <c r="GS197" s="397"/>
      <c r="GY197" s="397"/>
      <c r="HE197" s="397"/>
    </row>
    <row r="198" spans="117:213">
      <c r="DM198" s="397"/>
      <c r="DS198" s="397"/>
      <c r="DY198" s="397"/>
      <c r="EE198" s="397"/>
      <c r="EK198" s="397"/>
      <c r="EQ198" s="397"/>
      <c r="EW198" s="397"/>
      <c r="FC198" s="397"/>
      <c r="FI198" s="397"/>
      <c r="FO198" s="397"/>
      <c r="FU198" s="397"/>
      <c r="GA198" s="397"/>
      <c r="GG198" s="397"/>
      <c r="GM198" s="397"/>
      <c r="GS198" s="397"/>
      <c r="GY198" s="397"/>
      <c r="HE198" s="397"/>
    </row>
    <row r="199" spans="117:213">
      <c r="DM199" s="396"/>
      <c r="DS199" s="396"/>
      <c r="DY199" s="396"/>
      <c r="EE199" s="396"/>
      <c r="EK199" s="396"/>
      <c r="EQ199" s="396"/>
      <c r="EW199" s="396"/>
      <c r="FC199" s="396"/>
      <c r="FI199" s="396"/>
      <c r="FO199" s="396"/>
      <c r="FU199" s="396"/>
      <c r="GA199" s="396"/>
      <c r="GG199" s="396"/>
      <c r="GM199" s="396"/>
      <c r="GS199" s="396"/>
      <c r="GY199" s="396"/>
      <c r="HE199" s="396"/>
    </row>
    <row r="200" spans="117:213">
      <c r="DM200" s="396"/>
      <c r="DS200" s="396"/>
      <c r="DY200" s="396"/>
      <c r="EE200" s="396"/>
      <c r="EK200" s="396"/>
      <c r="EQ200" s="396"/>
      <c r="EW200" s="396"/>
      <c r="FC200" s="396"/>
      <c r="FI200" s="396"/>
      <c r="FO200" s="396"/>
      <c r="FU200" s="396"/>
      <c r="GA200" s="396"/>
      <c r="GG200" s="396"/>
      <c r="GM200" s="396"/>
      <c r="GS200" s="396"/>
      <c r="GY200" s="396"/>
      <c r="HE200" s="396"/>
    </row>
    <row r="201" spans="117:213">
      <c r="DM201" s="396"/>
      <c r="DS201" s="396"/>
      <c r="DY201" s="396"/>
      <c r="EE201" s="396"/>
      <c r="EK201" s="396"/>
      <c r="EQ201" s="396"/>
      <c r="EW201" s="396"/>
      <c r="FC201" s="396"/>
      <c r="FI201" s="396"/>
      <c r="FO201" s="396"/>
      <c r="FU201" s="396"/>
      <c r="GA201" s="396"/>
      <c r="GG201" s="396"/>
      <c r="GM201" s="396"/>
      <c r="GS201" s="396"/>
      <c r="GY201" s="396"/>
      <c r="HE201" s="396"/>
    </row>
    <row r="202" spans="117:213">
      <c r="DM202" s="396"/>
      <c r="DS202" s="396"/>
      <c r="DY202" s="396"/>
      <c r="EE202" s="396"/>
      <c r="EK202" s="396"/>
      <c r="EQ202" s="396"/>
      <c r="EW202" s="396"/>
      <c r="FC202" s="396"/>
      <c r="FI202" s="396"/>
      <c r="FO202" s="396"/>
      <c r="FU202" s="396"/>
      <c r="GA202" s="396"/>
      <c r="GG202" s="396"/>
      <c r="GM202" s="396"/>
      <c r="GS202" s="396"/>
      <c r="GY202" s="396"/>
      <c r="HE202" s="396"/>
    </row>
    <row r="203" spans="117:213">
      <c r="DM203" s="396"/>
      <c r="DS203" s="396"/>
      <c r="DY203" s="396"/>
      <c r="EE203" s="396"/>
      <c r="EK203" s="396"/>
      <c r="EQ203" s="396"/>
      <c r="EW203" s="396"/>
      <c r="FC203" s="396"/>
      <c r="FI203" s="396"/>
      <c r="FO203" s="396"/>
      <c r="FU203" s="396"/>
      <c r="GA203" s="396"/>
      <c r="GG203" s="396"/>
      <c r="GM203" s="396"/>
      <c r="GS203" s="396"/>
      <c r="GY203" s="396"/>
      <c r="HE203" s="396"/>
    </row>
    <row r="204" spans="117:213">
      <c r="DM204" s="400"/>
      <c r="DS204" s="400"/>
      <c r="DY204" s="400"/>
      <c r="EE204" s="400"/>
      <c r="EK204" s="400"/>
      <c r="EQ204" s="400"/>
      <c r="EW204" s="400"/>
      <c r="FC204" s="400"/>
      <c r="FI204" s="400"/>
      <c r="FO204" s="400"/>
      <c r="FU204" s="400"/>
      <c r="GA204" s="400"/>
      <c r="GG204" s="400"/>
      <c r="GM204" s="400"/>
      <c r="GS204" s="400"/>
      <c r="GY204" s="400"/>
      <c r="HE204" s="400"/>
    </row>
    <row r="205" spans="117:213">
      <c r="DM205" s="396"/>
      <c r="DS205" s="396"/>
      <c r="DY205" s="396"/>
      <c r="EE205" s="396"/>
      <c r="EK205" s="396"/>
      <c r="EQ205" s="396"/>
      <c r="EW205" s="396"/>
      <c r="FC205" s="396"/>
      <c r="FI205" s="396"/>
      <c r="FO205" s="396"/>
      <c r="FU205" s="396"/>
      <c r="GA205" s="396"/>
      <c r="GG205" s="396"/>
      <c r="GM205" s="396"/>
      <c r="GS205" s="396"/>
      <c r="GY205" s="396"/>
      <c r="HE205" s="396"/>
    </row>
    <row r="206" spans="117:213">
      <c r="DM206" s="396"/>
      <c r="DS206" s="396"/>
      <c r="DY206" s="396"/>
      <c r="EE206" s="396"/>
      <c r="EK206" s="396"/>
      <c r="EQ206" s="396"/>
      <c r="EW206" s="396"/>
      <c r="FC206" s="396"/>
      <c r="FI206" s="396"/>
      <c r="FO206" s="396"/>
      <c r="FU206" s="396"/>
      <c r="GA206" s="396"/>
      <c r="GG206" s="396"/>
      <c r="GM206" s="396"/>
      <c r="GS206" s="396"/>
      <c r="GY206" s="396"/>
      <c r="HE206" s="396"/>
    </row>
    <row r="207" spans="117:213">
      <c r="DM207" s="396"/>
      <c r="DS207" s="396"/>
      <c r="DY207" s="396"/>
      <c r="EE207" s="396"/>
      <c r="EK207" s="396"/>
      <c r="EQ207" s="396"/>
      <c r="EW207" s="396"/>
      <c r="FC207" s="396"/>
      <c r="FI207" s="396"/>
      <c r="FO207" s="396"/>
      <c r="FU207" s="396"/>
      <c r="GA207" s="396"/>
      <c r="GG207" s="396"/>
      <c r="GM207" s="396"/>
      <c r="GS207" s="396"/>
      <c r="GY207" s="396"/>
      <c r="HE207" s="396"/>
    </row>
    <row r="208" spans="117:213">
      <c r="DM208" s="396"/>
      <c r="DS208" s="396"/>
      <c r="DY208" s="396"/>
      <c r="EE208" s="396"/>
      <c r="EK208" s="396"/>
      <c r="EQ208" s="396"/>
      <c r="EW208" s="396"/>
      <c r="FC208" s="396"/>
      <c r="FI208" s="396"/>
      <c r="FO208" s="396"/>
      <c r="FU208" s="396"/>
      <c r="GA208" s="396"/>
      <c r="GG208" s="396"/>
      <c r="GM208" s="396"/>
      <c r="GS208" s="396"/>
      <c r="GY208" s="396"/>
      <c r="HE208" s="396"/>
    </row>
    <row r="209" spans="117:213">
      <c r="DM209" s="470"/>
      <c r="DS209" s="470"/>
      <c r="DY209" s="470"/>
      <c r="EE209" s="470"/>
      <c r="EK209" s="470"/>
      <c r="EQ209" s="470"/>
      <c r="EW209" s="470"/>
      <c r="FC209" s="470"/>
      <c r="FI209" s="398"/>
      <c r="FO209" s="470"/>
      <c r="FU209" s="470"/>
      <c r="GA209" s="470"/>
      <c r="GG209" s="470"/>
      <c r="GM209" s="470"/>
      <c r="GS209" s="470"/>
      <c r="GY209" s="470"/>
      <c r="HE209" s="470"/>
    </row>
    <row r="210" spans="117:213">
      <c r="DM210" s="396"/>
      <c r="DS210" s="396"/>
      <c r="DY210" s="396"/>
      <c r="EE210" s="396"/>
      <c r="EK210" s="396"/>
      <c r="EQ210" s="396"/>
      <c r="EW210" s="396"/>
      <c r="FC210" s="396"/>
      <c r="FI210" s="396"/>
      <c r="FO210" s="396"/>
      <c r="FU210" s="396"/>
      <c r="GA210" s="396"/>
      <c r="GG210" s="396"/>
      <c r="GM210" s="396"/>
      <c r="GS210" s="396"/>
      <c r="GY210" s="396"/>
      <c r="HE210" s="396"/>
    </row>
    <row r="211" spans="117:213">
      <c r="DM211" s="470"/>
      <c r="DS211" s="470"/>
      <c r="DY211" s="470"/>
      <c r="EE211" s="470"/>
      <c r="EK211" s="470"/>
      <c r="EQ211" s="470"/>
      <c r="EW211" s="470"/>
      <c r="FC211" s="470"/>
      <c r="FI211" s="398"/>
      <c r="FO211" s="470"/>
      <c r="FU211" s="470"/>
      <c r="GA211" s="470"/>
      <c r="GG211" s="470"/>
      <c r="GM211" s="470"/>
      <c r="GS211" s="470"/>
      <c r="GY211" s="470"/>
      <c r="HE211" s="470"/>
    </row>
    <row r="212" spans="117:213">
      <c r="DM212" s="396"/>
      <c r="DS212" s="396"/>
      <c r="DY212" s="396"/>
      <c r="EE212" s="396"/>
      <c r="EK212" s="396"/>
      <c r="EQ212" s="396"/>
      <c r="EW212" s="396"/>
      <c r="FC212" s="396"/>
      <c r="FI212" s="396"/>
      <c r="FO212" s="396"/>
      <c r="FU212" s="396"/>
      <c r="GA212" s="396"/>
      <c r="GG212" s="396"/>
      <c r="GM212" s="396"/>
      <c r="GS212" s="396"/>
      <c r="GY212" s="396"/>
      <c r="HE212" s="396"/>
    </row>
    <row r="213" spans="117:213">
      <c r="DM213" s="470"/>
      <c r="DS213" s="470"/>
      <c r="DY213" s="470"/>
      <c r="EE213" s="470"/>
      <c r="EK213" s="470"/>
      <c r="EQ213" s="470"/>
      <c r="EW213" s="470"/>
      <c r="FC213" s="470"/>
      <c r="FI213" s="398"/>
      <c r="FO213" s="470"/>
      <c r="FU213" s="470"/>
      <c r="GA213" s="470"/>
      <c r="GG213" s="470"/>
      <c r="GM213" s="470"/>
      <c r="GS213" s="470"/>
      <c r="GY213" s="470"/>
      <c r="HE213" s="470"/>
    </row>
    <row r="214" spans="117:213">
      <c r="DM214" s="396"/>
      <c r="DS214" s="396"/>
      <c r="DY214" s="396"/>
      <c r="EE214" s="396"/>
      <c r="EK214" s="396"/>
      <c r="EQ214" s="396"/>
      <c r="EW214" s="396"/>
      <c r="FC214" s="396"/>
      <c r="FI214" s="396"/>
      <c r="FO214" s="396"/>
      <c r="FU214" s="396"/>
      <c r="GA214" s="396"/>
      <c r="GG214" s="396"/>
      <c r="GM214" s="396"/>
      <c r="GS214" s="396"/>
      <c r="GY214" s="396"/>
      <c r="HE214" s="396"/>
    </row>
    <row r="215" spans="117:213">
      <c r="DM215" s="396"/>
      <c r="DS215" s="396"/>
      <c r="DY215" s="396"/>
      <c r="EE215" s="396"/>
      <c r="EK215" s="396"/>
      <c r="EQ215" s="396"/>
      <c r="EW215" s="396"/>
      <c r="FC215" s="396"/>
      <c r="FI215" s="396"/>
      <c r="FO215" s="396"/>
      <c r="FU215" s="396"/>
      <c r="GA215" s="396"/>
      <c r="GG215" s="396"/>
      <c r="GM215" s="396"/>
      <c r="GS215" s="396"/>
      <c r="GY215" s="396"/>
      <c r="HE215" s="396"/>
    </row>
    <row r="216" spans="117:213">
      <c r="DM216" s="470"/>
      <c r="DS216" s="470"/>
      <c r="DY216" s="470"/>
      <c r="EE216" s="470"/>
      <c r="EK216" s="470"/>
      <c r="EQ216" s="470"/>
      <c r="EW216" s="470"/>
      <c r="FC216" s="470"/>
      <c r="FI216" s="398"/>
      <c r="FO216" s="470"/>
      <c r="FU216" s="470"/>
      <c r="GA216" s="470"/>
      <c r="GG216" s="470"/>
      <c r="GM216" s="470"/>
      <c r="GS216" s="470"/>
      <c r="GY216" s="470"/>
      <c r="HE216" s="470"/>
    </row>
    <row r="217" spans="117:213">
      <c r="DM217" s="470"/>
      <c r="DS217" s="470"/>
      <c r="DY217" s="470"/>
      <c r="EE217" s="470"/>
      <c r="EK217" s="470"/>
      <c r="EQ217" s="470"/>
      <c r="EW217" s="470"/>
      <c r="FC217" s="470"/>
      <c r="FI217" s="398"/>
      <c r="FO217" s="470"/>
      <c r="FU217" s="470"/>
      <c r="GA217" s="470"/>
      <c r="GG217" s="470"/>
      <c r="GM217" s="470"/>
      <c r="GS217" s="470"/>
      <c r="GY217" s="470"/>
      <c r="HE217" s="470"/>
    </row>
    <row r="218" spans="117:213">
      <c r="DM218" s="396"/>
      <c r="DS218" s="396"/>
      <c r="DY218" s="396"/>
      <c r="EE218" s="396"/>
      <c r="EK218" s="396"/>
      <c r="EQ218" s="396"/>
      <c r="EW218" s="396"/>
      <c r="FC218" s="396"/>
      <c r="FI218" s="396"/>
      <c r="FO218" s="396"/>
      <c r="FU218" s="396"/>
      <c r="GA218" s="396"/>
      <c r="GG218" s="396"/>
      <c r="GM218" s="396"/>
      <c r="GS218" s="396"/>
      <c r="GY218" s="396"/>
      <c r="HE218" s="396"/>
    </row>
    <row r="219" spans="117:213">
      <c r="DM219" s="396"/>
      <c r="DS219" s="396"/>
      <c r="DY219" s="396"/>
      <c r="EE219" s="396"/>
      <c r="EK219" s="396"/>
      <c r="EQ219" s="396"/>
      <c r="EW219" s="396"/>
      <c r="FC219" s="396"/>
      <c r="FI219" s="396"/>
      <c r="FO219" s="396"/>
      <c r="FU219" s="396"/>
      <c r="GA219" s="396"/>
      <c r="GG219" s="396"/>
      <c r="GM219" s="396"/>
      <c r="GS219" s="396"/>
      <c r="GY219" s="396"/>
      <c r="HE219" s="396"/>
    </row>
    <row r="220" spans="117:213">
      <c r="DM220" s="470"/>
      <c r="DS220" s="470"/>
      <c r="DY220" s="470"/>
      <c r="EE220" s="470"/>
      <c r="EK220" s="470"/>
      <c r="EQ220" s="470"/>
      <c r="EW220" s="470"/>
      <c r="FC220" s="470"/>
      <c r="FI220" s="398"/>
      <c r="FO220" s="470"/>
      <c r="FU220" s="470"/>
      <c r="GA220" s="470"/>
      <c r="GG220" s="470"/>
      <c r="GM220" s="470"/>
      <c r="GS220" s="470"/>
      <c r="GY220" s="470"/>
      <c r="HE220" s="470"/>
    </row>
    <row r="221" spans="117:213">
      <c r="DM221" s="396"/>
      <c r="DS221" s="396"/>
      <c r="DY221" s="396"/>
      <c r="EE221" s="396"/>
      <c r="EK221" s="396"/>
      <c r="EQ221" s="396"/>
      <c r="EW221" s="396"/>
      <c r="FC221" s="396"/>
      <c r="FI221" s="396"/>
      <c r="FO221" s="396"/>
      <c r="FU221" s="396"/>
      <c r="GA221" s="396"/>
      <c r="GG221" s="396"/>
      <c r="GM221" s="396"/>
      <c r="GS221" s="396"/>
      <c r="GY221" s="396"/>
      <c r="HE221" s="396"/>
    </row>
    <row r="222" spans="117:213">
      <c r="DM222" s="396"/>
      <c r="DS222" s="396"/>
      <c r="DY222" s="396"/>
      <c r="EE222" s="396"/>
      <c r="EK222" s="396"/>
      <c r="EQ222" s="396"/>
      <c r="EW222" s="396"/>
      <c r="FC222" s="396"/>
      <c r="FI222" s="396"/>
      <c r="FO222" s="396"/>
      <c r="FU222" s="396"/>
      <c r="GA222" s="396"/>
      <c r="GG222" s="396"/>
      <c r="GM222" s="396"/>
      <c r="GS222" s="396"/>
      <c r="GY222" s="396"/>
      <c r="HE222" s="396"/>
    </row>
    <row r="223" spans="117:213">
      <c r="DM223" s="396"/>
      <c r="DS223" s="396"/>
      <c r="DY223" s="396"/>
      <c r="EE223" s="396"/>
      <c r="EK223" s="396"/>
      <c r="EQ223" s="396"/>
      <c r="EW223" s="396"/>
      <c r="FC223" s="396"/>
      <c r="FI223" s="396"/>
      <c r="FO223" s="396"/>
      <c r="FU223" s="396"/>
      <c r="GA223" s="396"/>
      <c r="GG223" s="396"/>
      <c r="GM223" s="396"/>
      <c r="GS223" s="396"/>
      <c r="GY223" s="396"/>
      <c r="HE223" s="396"/>
    </row>
    <row r="224" spans="117:213">
      <c r="DM224" s="396"/>
      <c r="DS224" s="396"/>
      <c r="DY224" s="396"/>
      <c r="EE224" s="396"/>
      <c r="EK224" s="396"/>
      <c r="EQ224" s="396"/>
      <c r="EW224" s="396"/>
      <c r="FC224" s="396"/>
      <c r="FI224" s="396"/>
      <c r="FO224" s="396"/>
      <c r="FU224" s="396"/>
      <c r="GA224" s="396"/>
      <c r="GG224" s="396"/>
      <c r="GM224" s="396"/>
      <c r="GS224" s="396"/>
      <c r="GY224" s="396"/>
      <c r="HE224" s="396"/>
    </row>
    <row r="225" spans="117:213">
      <c r="DM225" s="396"/>
      <c r="DS225" s="396"/>
      <c r="DY225" s="396"/>
      <c r="EE225" s="396"/>
      <c r="EK225" s="396"/>
      <c r="EQ225" s="396"/>
      <c r="EW225" s="396"/>
      <c r="FC225" s="396"/>
      <c r="FI225" s="396"/>
      <c r="FO225" s="396"/>
      <c r="FU225" s="396"/>
      <c r="GA225" s="396"/>
      <c r="GG225" s="396"/>
      <c r="GM225" s="396"/>
      <c r="GS225" s="396"/>
      <c r="GY225" s="396"/>
      <c r="HE225" s="396"/>
    </row>
    <row r="226" spans="117:213">
      <c r="DM226" s="397"/>
      <c r="DS226" s="397"/>
      <c r="DY226" s="397"/>
      <c r="EE226" s="397"/>
      <c r="EK226" s="397"/>
      <c r="EQ226" s="397"/>
      <c r="EW226" s="397"/>
      <c r="FC226" s="397"/>
      <c r="FI226" s="397"/>
      <c r="FO226" s="397"/>
      <c r="FU226" s="397"/>
      <c r="GA226" s="397"/>
      <c r="GG226" s="397"/>
      <c r="GM226" s="397"/>
      <c r="GS226" s="397"/>
      <c r="GY226" s="397"/>
      <c r="HE226" s="397"/>
    </row>
    <row r="227" spans="117:213">
      <c r="DM227" s="396"/>
      <c r="DS227" s="396"/>
      <c r="DY227" s="396"/>
      <c r="EE227" s="396"/>
      <c r="EK227" s="396"/>
      <c r="EQ227" s="396"/>
      <c r="EW227" s="396"/>
      <c r="FC227" s="396"/>
      <c r="FI227" s="396"/>
      <c r="FO227" s="396"/>
      <c r="FU227" s="396"/>
      <c r="GA227" s="396"/>
      <c r="GG227" s="396"/>
      <c r="GM227" s="396"/>
      <c r="GS227" s="396"/>
      <c r="GY227" s="396"/>
      <c r="HE227" s="396"/>
    </row>
    <row r="228" spans="117:213">
      <c r="DM228" s="397"/>
      <c r="DS228" s="397"/>
      <c r="DY228" s="397"/>
      <c r="EE228" s="397"/>
      <c r="EK228" s="397"/>
      <c r="EQ228" s="397"/>
      <c r="EW228" s="397"/>
      <c r="FC228" s="397"/>
      <c r="FI228" s="397"/>
      <c r="FO228" s="397"/>
      <c r="FU228" s="397"/>
      <c r="GA228" s="397"/>
      <c r="GG228" s="397"/>
      <c r="GM228" s="397"/>
      <c r="GS228" s="397"/>
      <c r="GY228" s="397"/>
      <c r="HE228" s="397"/>
    </row>
    <row r="229" spans="117:213">
      <c r="DM229" s="396"/>
      <c r="DS229" s="396"/>
      <c r="DY229" s="396"/>
      <c r="EE229" s="396"/>
      <c r="EK229" s="396"/>
      <c r="EQ229" s="396"/>
      <c r="EW229" s="396"/>
      <c r="FC229" s="396"/>
      <c r="FI229" s="396"/>
      <c r="FO229" s="396"/>
      <c r="FU229" s="396"/>
      <c r="GA229" s="396"/>
      <c r="GG229" s="396"/>
      <c r="GM229" s="396"/>
      <c r="GS229" s="396"/>
      <c r="GY229" s="396"/>
      <c r="HE229" s="396"/>
    </row>
    <row r="230" spans="117:213">
      <c r="DM230" s="397"/>
      <c r="DS230" s="397"/>
      <c r="DY230" s="397"/>
      <c r="EE230" s="397"/>
      <c r="EK230" s="397"/>
      <c r="EQ230" s="397"/>
      <c r="EW230" s="397"/>
      <c r="FC230" s="397"/>
      <c r="FI230" s="397"/>
      <c r="FO230" s="397"/>
      <c r="FU230" s="397"/>
      <c r="GA230" s="397"/>
      <c r="GG230" s="397"/>
      <c r="GM230" s="397"/>
      <c r="GS230" s="397"/>
      <c r="GY230" s="397"/>
      <c r="HE230" s="397"/>
    </row>
    <row r="231" spans="117:213">
      <c r="DM231" s="396"/>
      <c r="DS231" s="396"/>
      <c r="DY231" s="396"/>
      <c r="EE231" s="396"/>
      <c r="EK231" s="396"/>
      <c r="EQ231" s="396"/>
      <c r="EW231" s="396"/>
      <c r="FC231" s="396"/>
      <c r="FI231" s="396"/>
      <c r="FO231" s="396"/>
      <c r="FU231" s="396"/>
      <c r="GA231" s="396"/>
      <c r="GG231" s="396"/>
      <c r="GM231" s="396"/>
      <c r="GS231" s="396"/>
      <c r="GY231" s="396"/>
      <c r="HE231" s="396"/>
    </row>
    <row r="232" spans="117:213">
      <c r="DM232" s="396"/>
      <c r="DS232" s="396"/>
      <c r="DY232" s="396"/>
      <c r="EE232" s="396"/>
      <c r="EK232" s="396"/>
      <c r="EQ232" s="396"/>
      <c r="EW232" s="396"/>
      <c r="FC232" s="396"/>
      <c r="FI232" s="396"/>
      <c r="FO232" s="396"/>
      <c r="FU232" s="396"/>
      <c r="GA232" s="396"/>
      <c r="GG232" s="396"/>
      <c r="GM232" s="396"/>
      <c r="GS232" s="396"/>
      <c r="GY232" s="396"/>
      <c r="HE232" s="396"/>
    </row>
    <row r="233" spans="117:213">
      <c r="DM233" s="397"/>
      <c r="DS233" s="397"/>
      <c r="DY233" s="397"/>
      <c r="EE233" s="397"/>
      <c r="EK233" s="397"/>
      <c r="EQ233" s="397"/>
      <c r="EW233" s="397"/>
      <c r="FC233" s="397"/>
      <c r="FI233" s="397"/>
      <c r="FO233" s="397"/>
      <c r="FU233" s="397"/>
      <c r="GA233" s="397"/>
      <c r="GG233" s="397"/>
      <c r="GM233" s="397"/>
      <c r="GS233" s="397"/>
      <c r="GY233" s="397"/>
      <c r="HE233" s="397"/>
    </row>
    <row r="234" spans="117:213">
      <c r="DM234" s="397"/>
      <c r="DS234" s="397"/>
      <c r="DY234" s="397"/>
      <c r="EE234" s="397"/>
      <c r="EK234" s="397"/>
      <c r="EQ234" s="397"/>
      <c r="EW234" s="397"/>
      <c r="FC234" s="397"/>
      <c r="FI234" s="397"/>
      <c r="FO234" s="397"/>
      <c r="FU234" s="397"/>
      <c r="GA234" s="397"/>
      <c r="GG234" s="397"/>
      <c r="GM234" s="397"/>
      <c r="GS234" s="397"/>
      <c r="GY234" s="397"/>
      <c r="HE234" s="397"/>
    </row>
    <row r="235" spans="117:213">
      <c r="DM235" s="396"/>
      <c r="DS235" s="396"/>
      <c r="DY235" s="396"/>
      <c r="EE235" s="396"/>
      <c r="EK235" s="396"/>
      <c r="EQ235" s="396"/>
      <c r="EW235" s="396"/>
      <c r="FC235" s="396"/>
      <c r="FI235" s="396"/>
      <c r="FO235" s="396"/>
      <c r="FU235" s="396"/>
      <c r="GA235" s="396"/>
      <c r="GG235" s="396"/>
      <c r="GM235" s="396"/>
      <c r="GS235" s="396"/>
      <c r="GY235" s="396"/>
      <c r="HE235" s="396"/>
    </row>
    <row r="236" spans="117:213">
      <c r="DM236" s="396"/>
      <c r="DS236" s="396"/>
      <c r="DY236" s="396"/>
      <c r="EE236" s="396"/>
      <c r="EK236" s="396"/>
      <c r="EQ236" s="396"/>
      <c r="EW236" s="396"/>
      <c r="FC236" s="396"/>
      <c r="FI236" s="396"/>
      <c r="FO236" s="396"/>
      <c r="FU236" s="396"/>
      <c r="GA236" s="396"/>
      <c r="GG236" s="396"/>
      <c r="GM236" s="396"/>
      <c r="GS236" s="396"/>
      <c r="GY236" s="396"/>
      <c r="HE236" s="396"/>
    </row>
    <row r="237" spans="117:213">
      <c r="DM237" s="470"/>
      <c r="DS237" s="470"/>
      <c r="DY237" s="470"/>
      <c r="EE237" s="470"/>
      <c r="EK237" s="470"/>
      <c r="EQ237" s="470"/>
      <c r="EW237" s="470"/>
      <c r="FC237" s="470"/>
      <c r="FI237" s="398"/>
      <c r="FO237" s="470"/>
      <c r="FU237" s="470"/>
      <c r="GA237" s="470"/>
      <c r="GG237" s="470"/>
      <c r="GM237" s="470"/>
      <c r="GS237" s="470"/>
      <c r="GY237" s="470"/>
      <c r="HE237" s="470"/>
    </row>
    <row r="238" spans="117:213">
      <c r="DM238" s="396"/>
      <c r="DS238" s="396"/>
      <c r="DY238" s="396"/>
      <c r="EE238" s="396"/>
      <c r="EK238" s="396"/>
      <c r="EQ238" s="396"/>
      <c r="EW238" s="396"/>
      <c r="FC238" s="396"/>
      <c r="FI238" s="396"/>
      <c r="FO238" s="396"/>
      <c r="FU238" s="396"/>
      <c r="GA238" s="396"/>
      <c r="GG238" s="396"/>
      <c r="GM238" s="396"/>
      <c r="GS238" s="396"/>
      <c r="GY238" s="396"/>
      <c r="HE238" s="396"/>
    </row>
    <row r="239" spans="117:213">
      <c r="DM239" s="396"/>
      <c r="DS239" s="396"/>
      <c r="DY239" s="396"/>
      <c r="EE239" s="396"/>
      <c r="EK239" s="396"/>
      <c r="EQ239" s="396"/>
      <c r="EW239" s="396"/>
      <c r="FC239" s="396"/>
      <c r="FI239" s="396"/>
      <c r="FO239" s="396"/>
      <c r="FU239" s="396"/>
      <c r="GA239" s="396"/>
      <c r="GG239" s="396"/>
      <c r="GM239" s="396"/>
      <c r="GS239" s="396"/>
      <c r="GY239" s="396"/>
      <c r="HE239" s="396"/>
    </row>
    <row r="240" spans="117:213">
      <c r="DM240" s="396"/>
      <c r="DS240" s="396"/>
      <c r="DY240" s="396"/>
      <c r="EE240" s="396"/>
      <c r="EK240" s="396"/>
      <c r="EQ240" s="396"/>
      <c r="EW240" s="396"/>
      <c r="FC240" s="396"/>
      <c r="FI240" s="396"/>
      <c r="FO240" s="396"/>
      <c r="FU240" s="396"/>
      <c r="GA240" s="396"/>
      <c r="GG240" s="396"/>
      <c r="GM240" s="396"/>
      <c r="GS240" s="396"/>
      <c r="GY240" s="396"/>
      <c r="HE240" s="396"/>
    </row>
    <row r="241" spans="117:213">
      <c r="DM241" s="396"/>
      <c r="DS241" s="396"/>
      <c r="DY241" s="396"/>
      <c r="EE241" s="396"/>
      <c r="EK241" s="396"/>
      <c r="EQ241" s="396"/>
      <c r="EW241" s="396"/>
      <c r="FC241" s="396"/>
      <c r="FI241" s="396"/>
      <c r="FO241" s="396"/>
      <c r="FU241" s="396"/>
      <c r="GA241" s="396"/>
      <c r="GG241" s="396"/>
      <c r="GM241" s="396"/>
      <c r="GS241" s="396"/>
      <c r="GY241" s="396"/>
      <c r="HE241" s="396"/>
    </row>
    <row r="242" spans="117:213">
      <c r="DM242" s="397"/>
      <c r="DS242" s="397"/>
      <c r="DY242" s="397"/>
      <c r="EE242" s="397"/>
      <c r="EK242" s="397"/>
      <c r="EQ242" s="397"/>
      <c r="EW242" s="397"/>
      <c r="FC242" s="397"/>
      <c r="FI242" s="397"/>
      <c r="FO242" s="397"/>
      <c r="FU242" s="397"/>
      <c r="GA242" s="397"/>
      <c r="GG242" s="397"/>
      <c r="GM242" s="397"/>
      <c r="GS242" s="397"/>
      <c r="GY242" s="397"/>
      <c r="HE242" s="397"/>
    </row>
    <row r="243" spans="117:213">
      <c r="DM243" s="396"/>
      <c r="DS243" s="396"/>
      <c r="DY243" s="396"/>
      <c r="EE243" s="396"/>
      <c r="EK243" s="396"/>
      <c r="EQ243" s="396"/>
      <c r="EW243" s="396"/>
      <c r="FC243" s="396"/>
      <c r="FI243" s="396"/>
      <c r="FO243" s="396"/>
      <c r="FU243" s="396"/>
      <c r="GA243" s="396"/>
      <c r="GG243" s="396"/>
      <c r="GM243" s="396"/>
      <c r="GS243" s="396"/>
      <c r="GY243" s="396"/>
      <c r="HE243" s="396"/>
    </row>
    <row r="244" spans="117:213">
      <c r="DM244" s="397"/>
      <c r="DS244" s="397"/>
      <c r="DY244" s="397"/>
      <c r="EE244" s="397"/>
      <c r="EK244" s="397"/>
      <c r="EQ244" s="397"/>
      <c r="EW244" s="397"/>
      <c r="FC244" s="397"/>
      <c r="FI244" s="397"/>
      <c r="FO244" s="397"/>
      <c r="FU244" s="397"/>
      <c r="GA244" s="397"/>
      <c r="GG244" s="397"/>
      <c r="GM244" s="397"/>
      <c r="GS244" s="397"/>
      <c r="GY244" s="397"/>
      <c r="HE244" s="397"/>
    </row>
    <row r="245" spans="117:213">
      <c r="DM245" s="396"/>
      <c r="DS245" s="396"/>
      <c r="DY245" s="396"/>
      <c r="EE245" s="396"/>
      <c r="EK245" s="396"/>
      <c r="EQ245" s="396"/>
      <c r="EW245" s="396"/>
      <c r="FC245" s="396"/>
      <c r="FI245" s="396"/>
      <c r="FO245" s="396"/>
      <c r="FU245" s="396"/>
      <c r="GA245" s="396"/>
      <c r="GG245" s="396"/>
      <c r="GM245" s="396"/>
      <c r="GS245" s="396"/>
      <c r="GY245" s="396"/>
      <c r="HE245" s="396"/>
    </row>
    <row r="246" spans="117:213">
      <c r="DM246" s="397"/>
      <c r="DS246" s="397"/>
      <c r="DY246" s="397"/>
      <c r="EE246" s="397"/>
      <c r="EK246" s="397"/>
      <c r="EQ246" s="397"/>
      <c r="EW246" s="397"/>
      <c r="FC246" s="397"/>
      <c r="FI246" s="397"/>
      <c r="FO246" s="397"/>
      <c r="FU246" s="397"/>
      <c r="GA246" s="397"/>
      <c r="GG246" s="397"/>
      <c r="GM246" s="397"/>
      <c r="GS246" s="397"/>
      <c r="GY246" s="397"/>
      <c r="HE246" s="397"/>
    </row>
    <row r="247" spans="117:213">
      <c r="DM247" s="396"/>
      <c r="DS247" s="396"/>
      <c r="DY247" s="396"/>
      <c r="EE247" s="396"/>
      <c r="EK247" s="396"/>
      <c r="EQ247" s="396"/>
      <c r="EW247" s="396"/>
      <c r="FC247" s="396"/>
      <c r="FI247" s="396"/>
      <c r="FO247" s="396"/>
      <c r="FU247" s="396"/>
      <c r="GA247" s="396"/>
      <c r="GG247" s="396"/>
      <c r="GM247" s="396"/>
      <c r="GS247" s="396"/>
      <c r="GY247" s="396"/>
      <c r="HE247" s="396"/>
    </row>
    <row r="248" spans="117:213">
      <c r="DM248" s="396"/>
      <c r="DS248" s="396"/>
      <c r="DY248" s="396"/>
      <c r="EE248" s="396"/>
      <c r="EK248" s="396"/>
      <c r="EQ248" s="396"/>
      <c r="EW248" s="396"/>
      <c r="FC248" s="396"/>
      <c r="FI248" s="396"/>
      <c r="FO248" s="396"/>
      <c r="FU248" s="396"/>
      <c r="GA248" s="396"/>
      <c r="GG248" s="396"/>
      <c r="GM248" s="396"/>
      <c r="GS248" s="396"/>
      <c r="GY248" s="396"/>
      <c r="HE248" s="396"/>
    </row>
    <row r="249" spans="117:213">
      <c r="DM249" s="397"/>
      <c r="DS249" s="397"/>
      <c r="DY249" s="397"/>
      <c r="EE249" s="397"/>
      <c r="EK249" s="397"/>
      <c r="EQ249" s="397"/>
      <c r="EW249" s="397"/>
      <c r="FC249" s="397"/>
      <c r="FI249" s="397"/>
      <c r="FO249" s="397"/>
      <c r="FU249" s="397"/>
      <c r="GA249" s="397"/>
      <c r="GG249" s="397"/>
      <c r="GM249" s="397"/>
      <c r="GS249" s="397"/>
      <c r="GY249" s="397"/>
      <c r="HE249" s="397"/>
    </row>
    <row r="250" spans="117:213">
      <c r="DM250" s="397"/>
      <c r="DS250" s="397"/>
      <c r="DY250" s="397"/>
      <c r="EE250" s="397"/>
      <c r="EK250" s="397"/>
      <c r="EQ250" s="397"/>
      <c r="EW250" s="397"/>
      <c r="FC250" s="397"/>
      <c r="FI250" s="397"/>
      <c r="FO250" s="397"/>
      <c r="FU250" s="397"/>
      <c r="GA250" s="397"/>
      <c r="GG250" s="397"/>
      <c r="GM250" s="397"/>
      <c r="GS250" s="397"/>
      <c r="GY250" s="397"/>
      <c r="HE250" s="397"/>
    </row>
    <row r="251" spans="117:213">
      <c r="DM251" s="396"/>
      <c r="DS251" s="396"/>
      <c r="DY251" s="396"/>
      <c r="EE251" s="396"/>
      <c r="EK251" s="396"/>
      <c r="EQ251" s="396"/>
      <c r="EW251" s="396"/>
      <c r="FC251" s="396"/>
      <c r="FI251" s="396"/>
      <c r="FO251" s="396"/>
      <c r="FU251" s="396"/>
      <c r="GA251" s="396"/>
      <c r="GG251" s="396"/>
      <c r="GM251" s="396"/>
      <c r="GS251" s="396"/>
      <c r="GY251" s="396"/>
      <c r="HE251" s="396"/>
    </row>
    <row r="252" spans="117:213">
      <c r="DM252" s="396"/>
      <c r="DS252" s="396"/>
      <c r="DY252" s="396"/>
      <c r="EE252" s="396"/>
      <c r="EK252" s="396"/>
      <c r="EQ252" s="396"/>
      <c r="EW252" s="396"/>
      <c r="FC252" s="396"/>
      <c r="FI252" s="396"/>
      <c r="FO252" s="396"/>
      <c r="FU252" s="396"/>
      <c r="GA252" s="396"/>
      <c r="GG252" s="396"/>
      <c r="GM252" s="396"/>
      <c r="GS252" s="396"/>
      <c r="GY252" s="396"/>
      <c r="HE252" s="396"/>
    </row>
    <row r="253" spans="117:213">
      <c r="DM253" s="470"/>
      <c r="DS253" s="470"/>
      <c r="DY253" s="470"/>
      <c r="EE253" s="470"/>
      <c r="EK253" s="470"/>
      <c r="EQ253" s="470"/>
      <c r="EW253" s="470"/>
      <c r="FC253" s="470"/>
      <c r="FI253" s="398"/>
      <c r="FO253" s="470"/>
      <c r="FU253" s="470"/>
      <c r="GA253" s="470"/>
      <c r="GG253" s="470"/>
      <c r="GM253" s="470"/>
      <c r="GS253" s="470"/>
      <c r="GY253" s="470"/>
      <c r="HE253" s="470"/>
    </row>
    <row r="254" spans="117:213">
      <c r="DM254" s="396"/>
      <c r="DS254" s="396"/>
      <c r="DY254" s="396"/>
      <c r="EE254" s="396"/>
      <c r="EK254" s="396"/>
      <c r="EQ254" s="396"/>
      <c r="EW254" s="396"/>
      <c r="FC254" s="396"/>
      <c r="FI254" s="396"/>
      <c r="FO254" s="396"/>
      <c r="FU254" s="396"/>
      <c r="GA254" s="396"/>
      <c r="GG254" s="396"/>
      <c r="GM254" s="396"/>
      <c r="GS254" s="396"/>
      <c r="GY254" s="396"/>
      <c r="HE254" s="396"/>
    </row>
    <row r="255" spans="117:213">
      <c r="DM255" s="396"/>
      <c r="DS255" s="396"/>
      <c r="DY255" s="396"/>
      <c r="EE255" s="396"/>
      <c r="EK255" s="396"/>
      <c r="EQ255" s="396"/>
      <c r="EW255" s="396"/>
      <c r="FC255" s="396"/>
      <c r="FI255" s="396"/>
      <c r="FO255" s="396"/>
      <c r="FU255" s="396"/>
      <c r="GA255" s="396"/>
      <c r="GG255" s="396"/>
      <c r="GM255" s="396"/>
      <c r="GS255" s="396"/>
      <c r="GY255" s="396"/>
      <c r="HE255" s="396"/>
    </row>
    <row r="256" spans="117:213">
      <c r="DM256" s="396"/>
      <c r="DS256" s="396"/>
      <c r="DY256" s="396"/>
      <c r="EE256" s="396"/>
      <c r="EK256" s="396"/>
      <c r="EQ256" s="396"/>
      <c r="EW256" s="396"/>
      <c r="FC256" s="396"/>
      <c r="FI256" s="396"/>
      <c r="FO256" s="396"/>
      <c r="FU256" s="396"/>
      <c r="GA256" s="396"/>
      <c r="GG256" s="396"/>
      <c r="GM256" s="396"/>
      <c r="GS256" s="396"/>
      <c r="GY256" s="396"/>
      <c r="HE256" s="396"/>
    </row>
    <row r="257" spans="117:213">
      <c r="DM257" s="396"/>
      <c r="DS257" s="396"/>
      <c r="DY257" s="396"/>
      <c r="EE257" s="396"/>
      <c r="EK257" s="396"/>
      <c r="EQ257" s="396"/>
      <c r="EW257" s="396"/>
      <c r="FC257" s="396"/>
      <c r="FI257" s="396"/>
      <c r="FO257" s="396"/>
      <c r="FU257" s="396"/>
      <c r="GA257" s="396"/>
      <c r="GG257" s="396"/>
      <c r="GM257" s="396"/>
      <c r="GS257" s="396"/>
      <c r="GY257" s="396"/>
      <c r="HE257" s="396"/>
    </row>
    <row r="258" spans="117:213">
      <c r="DM258" s="397"/>
      <c r="DS258" s="397"/>
      <c r="DY258" s="397"/>
      <c r="EE258" s="397"/>
      <c r="EK258" s="397"/>
      <c r="EQ258" s="397"/>
      <c r="EW258" s="397"/>
      <c r="FC258" s="397"/>
      <c r="FI258" s="397"/>
      <c r="FO258" s="397"/>
      <c r="FU258" s="397"/>
      <c r="GA258" s="397"/>
      <c r="GG258" s="397"/>
      <c r="GM258" s="397"/>
      <c r="GS258" s="397"/>
      <c r="GY258" s="397"/>
      <c r="HE258" s="397"/>
    </row>
    <row r="259" spans="117:213">
      <c r="DM259" s="396"/>
      <c r="DS259" s="396"/>
      <c r="DY259" s="396"/>
      <c r="EE259" s="396"/>
      <c r="EK259" s="396"/>
      <c r="EQ259" s="396"/>
      <c r="EW259" s="396"/>
      <c r="FC259" s="396"/>
      <c r="FI259" s="396"/>
      <c r="FO259" s="396"/>
      <c r="FU259" s="396"/>
      <c r="GA259" s="396"/>
      <c r="GG259" s="396"/>
      <c r="GM259" s="396"/>
      <c r="GS259" s="396"/>
      <c r="GY259" s="396"/>
      <c r="HE259" s="396"/>
    </row>
    <row r="260" spans="117:213">
      <c r="DM260" s="397"/>
      <c r="DS260" s="397"/>
      <c r="DY260" s="397"/>
      <c r="EE260" s="397"/>
      <c r="EK260" s="397"/>
      <c r="EQ260" s="397"/>
      <c r="EW260" s="397"/>
      <c r="FC260" s="397"/>
      <c r="FI260" s="397"/>
      <c r="FO260" s="397"/>
      <c r="FU260" s="397"/>
      <c r="GA260" s="397"/>
      <c r="GG260" s="397"/>
      <c r="GM260" s="397"/>
      <c r="GS260" s="397"/>
      <c r="GY260" s="397"/>
      <c r="HE260" s="397"/>
    </row>
    <row r="261" spans="117:213">
      <c r="DM261" s="396"/>
      <c r="DS261" s="396"/>
      <c r="DY261" s="396"/>
      <c r="EE261" s="396"/>
      <c r="EK261" s="396"/>
      <c r="EQ261" s="396"/>
      <c r="EW261" s="396"/>
      <c r="FC261" s="396"/>
      <c r="FI261" s="396"/>
      <c r="FO261" s="396"/>
      <c r="FU261" s="396"/>
      <c r="GA261" s="396"/>
      <c r="GG261" s="396"/>
      <c r="GM261" s="396"/>
      <c r="GS261" s="396"/>
      <c r="GY261" s="396"/>
      <c r="HE261" s="396"/>
    </row>
    <row r="262" spans="117:213">
      <c r="DM262" s="397"/>
      <c r="DS262" s="397"/>
      <c r="DY262" s="397"/>
      <c r="EE262" s="397"/>
      <c r="EK262" s="397"/>
      <c r="EQ262" s="397"/>
      <c r="EW262" s="397"/>
      <c r="FC262" s="397"/>
      <c r="FI262" s="397"/>
      <c r="FO262" s="397"/>
      <c r="FU262" s="397"/>
      <c r="GA262" s="397"/>
      <c r="GG262" s="397"/>
      <c r="GM262" s="397"/>
      <c r="GS262" s="397"/>
      <c r="GY262" s="397"/>
      <c r="HE262" s="397"/>
    </row>
    <row r="263" spans="117:213">
      <c r="DM263" s="396"/>
      <c r="DS263" s="396"/>
      <c r="DY263" s="396"/>
      <c r="EE263" s="396"/>
      <c r="EK263" s="396"/>
      <c r="EQ263" s="396"/>
      <c r="EW263" s="396"/>
      <c r="FC263" s="396"/>
      <c r="FI263" s="396"/>
      <c r="FO263" s="396"/>
      <c r="FU263" s="396"/>
      <c r="GA263" s="396"/>
      <c r="GG263" s="396"/>
      <c r="GM263" s="396"/>
      <c r="GS263" s="396"/>
      <c r="GY263" s="396"/>
      <c r="HE263" s="396"/>
    </row>
    <row r="264" spans="117:213">
      <c r="DM264" s="396"/>
      <c r="DS264" s="396"/>
      <c r="DY264" s="396"/>
      <c r="EE264" s="396"/>
      <c r="EK264" s="396"/>
      <c r="EQ264" s="396"/>
      <c r="EW264" s="396"/>
      <c r="FC264" s="396"/>
      <c r="FI264" s="396"/>
      <c r="FO264" s="396"/>
      <c r="FU264" s="396"/>
      <c r="GA264" s="396"/>
      <c r="GG264" s="396"/>
      <c r="GM264" s="396"/>
      <c r="GS264" s="396"/>
      <c r="GY264" s="396"/>
      <c r="HE264" s="396"/>
    </row>
    <row r="265" spans="117:213">
      <c r="DM265" s="397"/>
      <c r="DS265" s="397"/>
      <c r="DY265" s="397"/>
      <c r="EE265" s="397"/>
      <c r="EK265" s="397"/>
      <c r="EQ265" s="397"/>
      <c r="EW265" s="397"/>
      <c r="FC265" s="397"/>
      <c r="FI265" s="397"/>
      <c r="FO265" s="397"/>
      <c r="FU265" s="397"/>
      <c r="GA265" s="397"/>
      <c r="GG265" s="397"/>
      <c r="GM265" s="397"/>
      <c r="GS265" s="397"/>
      <c r="GY265" s="397"/>
      <c r="HE265" s="397"/>
    </row>
    <row r="266" spans="117:213">
      <c r="DM266" s="397"/>
      <c r="DS266" s="397"/>
      <c r="DY266" s="397"/>
      <c r="EE266" s="397"/>
      <c r="EK266" s="397"/>
      <c r="EQ266" s="397"/>
      <c r="EW266" s="397"/>
      <c r="FC266" s="397"/>
      <c r="FI266" s="397"/>
      <c r="FO266" s="397"/>
      <c r="FU266" s="397"/>
      <c r="GA266" s="397"/>
      <c r="GG266" s="397"/>
      <c r="GM266" s="397"/>
      <c r="GS266" s="397"/>
      <c r="GY266" s="397"/>
      <c r="HE266" s="397"/>
    </row>
    <row r="267" spans="117:213">
      <c r="DM267" s="396"/>
      <c r="DS267" s="396"/>
      <c r="DY267" s="396"/>
      <c r="EE267" s="396"/>
      <c r="EK267" s="396"/>
      <c r="EQ267" s="396"/>
      <c r="EW267" s="396"/>
      <c r="FC267" s="396"/>
      <c r="FI267" s="396"/>
      <c r="FO267" s="396"/>
      <c r="FU267" s="396"/>
      <c r="GA267" s="396"/>
      <c r="GG267" s="396"/>
      <c r="GM267" s="396"/>
      <c r="GS267" s="396"/>
      <c r="GY267" s="396"/>
      <c r="HE267" s="396"/>
    </row>
    <row r="268" spans="117:213">
      <c r="DM268" s="396"/>
      <c r="DS268" s="396"/>
      <c r="DY268" s="396"/>
      <c r="EE268" s="396"/>
      <c r="EK268" s="396"/>
      <c r="EQ268" s="396"/>
      <c r="EW268" s="396"/>
      <c r="FC268" s="396"/>
      <c r="FI268" s="396"/>
      <c r="FO268" s="396"/>
      <c r="FU268" s="396"/>
      <c r="GA268" s="396"/>
      <c r="GG268" s="396"/>
      <c r="GM268" s="396"/>
      <c r="GS268" s="396"/>
      <c r="GY268" s="396"/>
      <c r="HE268" s="396"/>
    </row>
    <row r="269" spans="117:213">
      <c r="DM269" s="470"/>
      <c r="DS269" s="470"/>
      <c r="DY269" s="470"/>
      <c r="EE269" s="470"/>
      <c r="EK269" s="470"/>
      <c r="EQ269" s="470"/>
      <c r="EW269" s="470"/>
      <c r="FC269" s="470"/>
      <c r="FI269" s="398"/>
      <c r="FO269" s="470"/>
      <c r="FU269" s="470"/>
      <c r="GA269" s="470"/>
      <c r="GG269" s="470"/>
      <c r="GM269" s="470"/>
      <c r="GS269" s="470"/>
      <c r="GY269" s="470"/>
      <c r="HE269" s="470"/>
    </row>
    <row r="270" spans="117:213">
      <c r="DM270" s="396"/>
      <c r="DS270" s="396"/>
      <c r="DY270" s="396"/>
      <c r="EE270" s="396"/>
      <c r="EK270" s="396"/>
      <c r="EQ270" s="396"/>
      <c r="EW270" s="396"/>
      <c r="FC270" s="396"/>
      <c r="FI270" s="396"/>
      <c r="FO270" s="396"/>
      <c r="FU270" s="396"/>
      <c r="GA270" s="396"/>
      <c r="GG270" s="396"/>
      <c r="GM270" s="396"/>
      <c r="GS270" s="396"/>
      <c r="GY270" s="396"/>
      <c r="HE270" s="396"/>
    </row>
    <row r="271" spans="117:213">
      <c r="DM271" s="397"/>
      <c r="DS271" s="397"/>
      <c r="DY271" s="397"/>
      <c r="EE271" s="397"/>
      <c r="EK271" s="397"/>
      <c r="EQ271" s="397"/>
      <c r="EW271" s="397"/>
      <c r="FC271" s="397"/>
      <c r="FI271" s="397"/>
      <c r="FO271" s="397"/>
      <c r="FU271" s="397"/>
      <c r="GA271" s="397"/>
      <c r="GG271" s="397"/>
      <c r="GM271" s="397"/>
      <c r="GS271" s="397"/>
      <c r="GY271" s="397"/>
      <c r="HE271" s="397"/>
    </row>
    <row r="272" spans="117:213">
      <c r="DM272" s="396"/>
      <c r="DS272" s="396"/>
      <c r="DY272" s="396"/>
      <c r="EE272" s="396"/>
      <c r="EK272" s="396"/>
      <c r="EQ272" s="396"/>
      <c r="EW272" s="396"/>
      <c r="FC272" s="396"/>
      <c r="FI272" s="396"/>
      <c r="FO272" s="396"/>
      <c r="FU272" s="396"/>
      <c r="GA272" s="396"/>
      <c r="GG272" s="396"/>
      <c r="GM272" s="396"/>
      <c r="GS272" s="396"/>
      <c r="GY272" s="396"/>
      <c r="HE272" s="396"/>
    </row>
    <row r="273" spans="117:213">
      <c r="DM273" s="397"/>
      <c r="DS273" s="397"/>
      <c r="DY273" s="397"/>
      <c r="EE273" s="397"/>
      <c r="EK273" s="397"/>
      <c r="EQ273" s="397"/>
      <c r="EW273" s="397"/>
      <c r="FC273" s="397"/>
      <c r="FI273" s="422"/>
      <c r="FO273" s="397"/>
      <c r="FU273" s="397"/>
      <c r="GA273" s="397"/>
      <c r="GG273" s="397"/>
      <c r="GM273" s="397"/>
      <c r="GS273" s="397"/>
      <c r="GY273" s="397"/>
      <c r="HE273" s="397"/>
    </row>
    <row r="274" spans="117:213">
      <c r="DM274" s="394"/>
      <c r="DS274" s="394"/>
      <c r="DY274" s="394"/>
      <c r="EE274" s="394"/>
      <c r="EK274" s="394"/>
      <c r="EQ274" s="394"/>
      <c r="EW274" s="394"/>
      <c r="FC274" s="394"/>
      <c r="FI274" s="503"/>
      <c r="FO274" s="394"/>
      <c r="FU274" s="394"/>
      <c r="GA274" s="394"/>
      <c r="GG274" s="394"/>
      <c r="GM274" s="394"/>
      <c r="GS274" s="394"/>
      <c r="GY274" s="394"/>
      <c r="HE274" s="394"/>
    </row>
    <row r="275" spans="117:213">
      <c r="DM275" s="402"/>
      <c r="DS275" s="402"/>
      <c r="DY275" s="402"/>
      <c r="EE275" s="402"/>
      <c r="EK275" s="402"/>
      <c r="EQ275" s="402"/>
      <c r="EW275" s="402"/>
      <c r="FC275" s="402"/>
      <c r="FI275" s="402"/>
      <c r="FO275" s="402"/>
      <c r="FU275" s="402"/>
      <c r="GA275" s="402"/>
      <c r="GG275" s="402"/>
      <c r="GM275" s="402"/>
      <c r="GS275" s="402"/>
      <c r="GY275" s="402"/>
      <c r="HE275" s="402"/>
    </row>
    <row r="276" spans="117:213">
      <c r="DM276" s="470"/>
      <c r="DS276" s="470"/>
      <c r="DY276" s="470"/>
      <c r="EE276" s="470"/>
      <c r="EK276" s="470"/>
      <c r="EQ276" s="470"/>
      <c r="EW276" s="470"/>
      <c r="FC276" s="470"/>
      <c r="FI276" s="398"/>
      <c r="FO276" s="470"/>
      <c r="FU276" s="470"/>
      <c r="GA276" s="470"/>
      <c r="GG276" s="470"/>
      <c r="GM276" s="470"/>
      <c r="GS276" s="470"/>
      <c r="GY276" s="470"/>
      <c r="HE276" s="470"/>
    </row>
    <row r="279" spans="117:213">
      <c r="DM279" s="396"/>
      <c r="DS279" s="396"/>
      <c r="DY279" s="396"/>
      <c r="EE279" s="396"/>
      <c r="EK279" s="396"/>
      <c r="EQ279" s="396"/>
      <c r="EW279" s="396"/>
      <c r="FC279" s="396"/>
      <c r="FI279" s="396"/>
      <c r="FO279" s="396"/>
      <c r="FU279" s="396"/>
      <c r="GA279" s="396"/>
      <c r="GG279" s="396"/>
      <c r="GM279" s="396"/>
      <c r="GS279" s="396"/>
      <c r="GY279" s="396"/>
      <c r="HE279" s="396"/>
    </row>
    <row r="280" spans="117:213">
      <c r="DM280" s="470"/>
      <c r="DS280" s="470"/>
      <c r="DY280" s="470"/>
      <c r="EE280" s="470"/>
      <c r="EK280" s="470"/>
      <c r="EQ280" s="470"/>
      <c r="EW280" s="470"/>
      <c r="FC280" s="470"/>
      <c r="FI280" s="398"/>
      <c r="FO280" s="470"/>
      <c r="FU280" s="470"/>
      <c r="GA280" s="470"/>
      <c r="GG280" s="470"/>
      <c r="GM280" s="470"/>
      <c r="GS280" s="470"/>
      <c r="GY280" s="470"/>
      <c r="HE280" s="470"/>
    </row>
    <row r="281" spans="117:213">
      <c r="DM281" s="396"/>
      <c r="DS281" s="396"/>
      <c r="DY281" s="396"/>
      <c r="EE281" s="396"/>
      <c r="EK281" s="396"/>
      <c r="EQ281" s="396"/>
      <c r="EW281" s="396"/>
      <c r="FC281" s="396"/>
      <c r="FI281" s="396"/>
      <c r="FO281" s="396"/>
      <c r="FU281" s="396"/>
      <c r="GA281" s="396"/>
      <c r="GG281" s="396"/>
      <c r="GM281" s="396"/>
      <c r="GS281" s="396"/>
      <c r="GY281" s="396"/>
      <c r="HE281" s="396"/>
    </row>
    <row r="282" spans="117:213">
      <c r="DM282" s="396"/>
      <c r="DS282" s="396"/>
      <c r="DY282" s="396"/>
      <c r="EE282" s="396"/>
      <c r="EK282" s="396"/>
      <c r="EQ282" s="396"/>
      <c r="EW282" s="396"/>
      <c r="FC282" s="396"/>
      <c r="FI282" s="396"/>
      <c r="FO282" s="396"/>
      <c r="FU282" s="396"/>
      <c r="GA282" s="396"/>
      <c r="GG282" s="396"/>
      <c r="GM282" s="396"/>
      <c r="GS282" s="396"/>
      <c r="GY282" s="396"/>
      <c r="HE282" s="396"/>
    </row>
    <row r="283" spans="117:213">
      <c r="DM283" s="396"/>
      <c r="DS283" s="396"/>
      <c r="DY283" s="396"/>
      <c r="EE283" s="396"/>
      <c r="EK283" s="396"/>
      <c r="EQ283" s="396"/>
      <c r="EW283" s="396"/>
      <c r="FC283" s="396"/>
      <c r="FI283" s="396"/>
      <c r="FO283" s="396"/>
      <c r="FU283" s="396"/>
      <c r="GA283" s="396"/>
      <c r="GG283" s="396"/>
      <c r="GM283" s="396"/>
      <c r="GS283" s="396"/>
      <c r="GY283" s="396"/>
      <c r="HE283" s="396"/>
    </row>
    <row r="284" spans="117:213">
      <c r="DM284" s="399"/>
      <c r="DS284" s="399"/>
      <c r="DY284" s="399"/>
      <c r="EE284" s="399"/>
      <c r="EK284" s="399"/>
      <c r="EQ284" s="399"/>
      <c r="EW284" s="399"/>
      <c r="FC284" s="399"/>
      <c r="FI284" s="399"/>
      <c r="FO284" s="399"/>
      <c r="FU284" s="399"/>
      <c r="GA284" s="399"/>
      <c r="GG284" s="399"/>
      <c r="GM284" s="399"/>
      <c r="GS284" s="399"/>
      <c r="GY284" s="399"/>
      <c r="HE284" s="399"/>
    </row>
    <row r="285" spans="117:213">
      <c r="DM285" s="396"/>
      <c r="DS285" s="396"/>
      <c r="DY285" s="396"/>
      <c r="EE285" s="396"/>
      <c r="EK285" s="396"/>
      <c r="EQ285" s="396"/>
      <c r="EW285" s="396"/>
      <c r="FC285" s="396"/>
      <c r="FI285" s="396"/>
      <c r="FO285" s="396"/>
      <c r="FU285" s="396"/>
      <c r="GA285" s="396"/>
      <c r="GG285" s="396"/>
      <c r="GM285" s="396"/>
      <c r="GS285" s="396"/>
      <c r="GY285" s="396"/>
      <c r="HE285" s="396"/>
    </row>
    <row r="286" spans="117:213">
      <c r="DM286" s="396"/>
      <c r="DS286" s="396"/>
      <c r="DY286" s="396"/>
      <c r="EE286" s="396"/>
      <c r="EK286" s="396"/>
      <c r="EQ286" s="396"/>
      <c r="EW286" s="396"/>
      <c r="FC286" s="396"/>
      <c r="FI286" s="396"/>
      <c r="FO286" s="396"/>
      <c r="FU286" s="396"/>
      <c r="GA286" s="396"/>
      <c r="GG286" s="396"/>
      <c r="GM286" s="396"/>
      <c r="GS286" s="396"/>
      <c r="GY286" s="396"/>
      <c r="HE286" s="396"/>
    </row>
    <row r="287" spans="117:213">
      <c r="DM287" s="396"/>
      <c r="DS287" s="396"/>
      <c r="DY287" s="396"/>
      <c r="EE287" s="396"/>
      <c r="EK287" s="396"/>
      <c r="EQ287" s="396"/>
      <c r="EW287" s="396"/>
      <c r="FC287" s="396"/>
      <c r="FI287" s="396"/>
      <c r="FO287" s="396"/>
      <c r="FU287" s="396"/>
      <c r="GA287" s="396"/>
      <c r="GG287" s="396"/>
      <c r="GM287" s="396"/>
      <c r="GS287" s="396"/>
      <c r="GY287" s="396"/>
      <c r="HE287" s="396"/>
    </row>
    <row r="288" spans="117:213">
      <c r="DM288" s="396"/>
      <c r="DS288" s="396"/>
      <c r="DY288" s="396"/>
      <c r="EE288" s="396"/>
      <c r="EK288" s="396"/>
      <c r="EQ288" s="396"/>
      <c r="EW288" s="396"/>
      <c r="FC288" s="396"/>
      <c r="FI288" s="396"/>
      <c r="FO288" s="396"/>
      <c r="FU288" s="396"/>
      <c r="GA288" s="396"/>
      <c r="GG288" s="396"/>
      <c r="GM288" s="396"/>
      <c r="GS288" s="396"/>
      <c r="GY288" s="396"/>
      <c r="HE288" s="396"/>
    </row>
    <row r="289" spans="117:213">
      <c r="DM289" s="396"/>
      <c r="DS289" s="396"/>
      <c r="DY289" s="396"/>
      <c r="EE289" s="396"/>
      <c r="EK289" s="396"/>
      <c r="EQ289" s="396"/>
      <c r="EW289" s="396"/>
      <c r="FC289" s="396"/>
      <c r="FI289" s="396"/>
      <c r="FO289" s="396"/>
      <c r="FU289" s="396"/>
      <c r="GA289" s="396"/>
      <c r="GG289" s="396"/>
      <c r="GM289" s="396"/>
      <c r="GS289" s="396"/>
      <c r="GY289" s="396"/>
      <c r="HE289" s="396"/>
    </row>
    <row r="290" spans="117:213">
      <c r="DM290" s="401"/>
      <c r="DS290" s="401"/>
      <c r="DY290" s="401"/>
      <c r="EE290" s="401"/>
      <c r="EK290" s="401"/>
      <c r="EQ290" s="401"/>
      <c r="EW290" s="401"/>
      <c r="FC290" s="401"/>
      <c r="FI290" s="401"/>
      <c r="FO290" s="401"/>
      <c r="FU290" s="401"/>
      <c r="GA290" s="401"/>
      <c r="GG290" s="401"/>
      <c r="GM290" s="401"/>
      <c r="GS290" s="401"/>
      <c r="GY290" s="401"/>
      <c r="HE290" s="401"/>
    </row>
    <row r="291" spans="117:213">
      <c r="DM291" s="396"/>
      <c r="DS291" s="396"/>
      <c r="DY291" s="396"/>
      <c r="EE291" s="396"/>
      <c r="EK291" s="396"/>
      <c r="EQ291" s="396"/>
      <c r="EW291" s="396"/>
      <c r="FC291" s="396"/>
      <c r="FI291" s="396"/>
      <c r="FO291" s="396"/>
      <c r="FU291" s="396"/>
      <c r="GA291" s="396"/>
      <c r="GG291" s="396"/>
      <c r="GM291" s="396"/>
      <c r="GS291" s="396"/>
      <c r="GY291" s="396"/>
      <c r="HE291" s="396"/>
    </row>
    <row r="292" spans="117:213">
      <c r="DM292" s="396"/>
      <c r="DS292" s="396"/>
      <c r="DY292" s="396"/>
      <c r="EE292" s="396"/>
      <c r="EK292" s="396"/>
      <c r="EQ292" s="396"/>
      <c r="EW292" s="396"/>
      <c r="FC292" s="396"/>
      <c r="FI292" s="396"/>
      <c r="FO292" s="396"/>
      <c r="FU292" s="396"/>
      <c r="GA292" s="396"/>
      <c r="GG292" s="396"/>
      <c r="GM292" s="396"/>
      <c r="GS292" s="396"/>
      <c r="GY292" s="396"/>
      <c r="HE292" s="396"/>
    </row>
    <row r="293" spans="117:213">
      <c r="DM293" s="396"/>
      <c r="DS293" s="396"/>
      <c r="DY293" s="396"/>
      <c r="EE293" s="396"/>
      <c r="EK293" s="396"/>
      <c r="EQ293" s="396"/>
      <c r="EW293" s="396"/>
      <c r="FC293" s="396"/>
      <c r="FI293" s="396"/>
      <c r="FO293" s="396"/>
      <c r="FU293" s="396"/>
      <c r="GA293" s="396"/>
      <c r="GG293" s="396"/>
      <c r="GM293" s="396"/>
      <c r="GS293" s="396"/>
      <c r="GY293" s="396"/>
      <c r="HE293" s="396"/>
    </row>
    <row r="294" spans="117:213">
      <c r="DM294" s="396"/>
      <c r="DS294" s="396"/>
      <c r="DY294" s="396"/>
      <c r="EE294" s="396"/>
      <c r="EK294" s="396"/>
      <c r="EQ294" s="396"/>
      <c r="EW294" s="396"/>
      <c r="FC294" s="396"/>
      <c r="FI294" s="396"/>
      <c r="FO294" s="396"/>
      <c r="FU294" s="396"/>
      <c r="GA294" s="396"/>
      <c r="GG294" s="396"/>
      <c r="GM294" s="396"/>
      <c r="GS294" s="396"/>
      <c r="GY294" s="396"/>
      <c r="HE294" s="396"/>
    </row>
    <row r="295" spans="117:213">
      <c r="DM295" s="396"/>
      <c r="DS295" s="396"/>
      <c r="DY295" s="396"/>
      <c r="EE295" s="396"/>
      <c r="EK295" s="396"/>
      <c r="EQ295" s="396"/>
      <c r="EW295" s="396"/>
      <c r="FC295" s="396"/>
      <c r="FI295" s="396"/>
      <c r="FO295" s="396"/>
      <c r="FU295" s="396"/>
      <c r="GA295" s="396"/>
      <c r="GG295" s="396"/>
      <c r="GM295" s="396"/>
      <c r="GS295" s="396"/>
      <c r="GY295" s="396"/>
      <c r="HE295" s="396"/>
    </row>
    <row r="296" spans="117:213">
      <c r="DM296" s="396"/>
      <c r="DS296" s="396"/>
      <c r="DY296" s="396"/>
      <c r="EE296" s="396"/>
      <c r="EK296" s="396"/>
      <c r="EQ296" s="396"/>
      <c r="EW296" s="396"/>
      <c r="FC296" s="396"/>
      <c r="FI296" s="396"/>
      <c r="FO296" s="396"/>
      <c r="FU296" s="396"/>
      <c r="GA296" s="396"/>
      <c r="GG296" s="396"/>
      <c r="GM296" s="396"/>
      <c r="GS296" s="396"/>
      <c r="GY296" s="396"/>
      <c r="HE296" s="396"/>
    </row>
    <row r="297" spans="117:213">
      <c r="DM297" s="401"/>
      <c r="DS297" s="401"/>
      <c r="DY297" s="401"/>
      <c r="EE297" s="401"/>
      <c r="EK297" s="401"/>
      <c r="EQ297" s="401"/>
      <c r="EW297" s="401"/>
      <c r="FC297" s="401"/>
      <c r="FI297" s="401"/>
      <c r="FO297" s="401"/>
      <c r="FU297" s="401"/>
      <c r="GA297" s="401"/>
      <c r="GG297" s="401"/>
      <c r="GM297" s="401"/>
      <c r="GS297" s="401"/>
      <c r="GY297" s="401"/>
      <c r="HE297" s="401"/>
    </row>
    <row r="298" spans="117:213">
      <c r="DM298" s="396"/>
      <c r="DS298" s="396"/>
      <c r="DY298" s="396"/>
      <c r="EE298" s="396"/>
      <c r="EK298" s="396"/>
      <c r="EQ298" s="396"/>
      <c r="EW298" s="396"/>
      <c r="FC298" s="396"/>
      <c r="FI298" s="396"/>
      <c r="FO298" s="396"/>
      <c r="FU298" s="396"/>
      <c r="GA298" s="396"/>
      <c r="GG298" s="396"/>
      <c r="GM298" s="396"/>
      <c r="GS298" s="396"/>
      <c r="GY298" s="396"/>
      <c r="HE298" s="396"/>
    </row>
    <row r="299" spans="117:213">
      <c r="DM299" s="396"/>
      <c r="DS299" s="396"/>
      <c r="DY299" s="396"/>
      <c r="EE299" s="396"/>
      <c r="EK299" s="396"/>
      <c r="EQ299" s="396"/>
      <c r="EW299" s="396"/>
      <c r="FC299" s="396"/>
      <c r="FI299" s="396"/>
      <c r="FO299" s="396"/>
      <c r="FU299" s="396"/>
      <c r="GA299" s="396"/>
      <c r="GG299" s="396"/>
      <c r="GM299" s="396"/>
      <c r="GS299" s="396"/>
      <c r="GY299" s="396"/>
      <c r="HE299" s="396"/>
    </row>
    <row r="300" spans="117:213">
      <c r="DM300" s="396"/>
      <c r="DS300" s="396"/>
      <c r="DY300" s="396"/>
      <c r="EE300" s="396"/>
      <c r="EK300" s="396"/>
      <c r="EQ300" s="396"/>
      <c r="EW300" s="396"/>
      <c r="FC300" s="396"/>
      <c r="FI300" s="396"/>
      <c r="FO300" s="396"/>
      <c r="FU300" s="396"/>
      <c r="GA300" s="396"/>
      <c r="GG300" s="396"/>
      <c r="GM300" s="396"/>
      <c r="GS300" s="396"/>
      <c r="GY300" s="396"/>
      <c r="HE300" s="396"/>
    </row>
    <row r="301" spans="117:213">
      <c r="DM301" s="396"/>
      <c r="DS301" s="396"/>
      <c r="DY301" s="396"/>
      <c r="EE301" s="396"/>
      <c r="EK301" s="396"/>
      <c r="EQ301" s="396"/>
      <c r="EW301" s="396"/>
      <c r="FC301" s="396"/>
      <c r="FI301" s="396"/>
      <c r="FO301" s="396"/>
      <c r="FU301" s="396"/>
      <c r="GA301" s="396"/>
      <c r="GG301" s="396"/>
      <c r="GM301" s="396"/>
      <c r="GS301" s="396"/>
      <c r="GY301" s="396"/>
      <c r="HE301" s="396"/>
    </row>
    <row r="302" spans="117:213">
      <c r="DM302" s="396"/>
      <c r="DS302" s="396"/>
      <c r="DY302" s="396"/>
      <c r="EE302" s="396"/>
      <c r="EK302" s="396"/>
      <c r="EQ302" s="396"/>
      <c r="EW302" s="396"/>
      <c r="FC302" s="396"/>
      <c r="FI302" s="396"/>
      <c r="FO302" s="396"/>
      <c r="FU302" s="396"/>
      <c r="GA302" s="396"/>
      <c r="GG302" s="396"/>
      <c r="GM302" s="396"/>
      <c r="GS302" s="396"/>
      <c r="GY302" s="396"/>
      <c r="HE302" s="396"/>
    </row>
    <row r="303" spans="117:213">
      <c r="DM303" s="396"/>
      <c r="DS303" s="396"/>
      <c r="DY303" s="396"/>
      <c r="EE303" s="396"/>
      <c r="EK303" s="396"/>
      <c r="EQ303" s="396"/>
      <c r="EW303" s="396"/>
      <c r="FC303" s="396"/>
      <c r="FI303" s="396"/>
      <c r="FO303" s="396"/>
      <c r="FU303" s="396"/>
      <c r="GA303" s="396"/>
      <c r="GG303" s="396"/>
      <c r="GM303" s="396"/>
      <c r="GS303" s="396"/>
      <c r="GY303" s="396"/>
      <c r="HE303" s="396"/>
    </row>
    <row r="305" spans="117:213">
      <c r="DM305" s="396"/>
      <c r="DS305" s="396"/>
      <c r="DY305" s="396"/>
      <c r="EE305" s="396"/>
      <c r="EK305" s="396"/>
      <c r="EQ305" s="396"/>
      <c r="EW305" s="396"/>
      <c r="FC305" s="396"/>
      <c r="FI305" s="396"/>
      <c r="FO305" s="396"/>
      <c r="FU305" s="396"/>
      <c r="GA305" s="396"/>
      <c r="GG305" s="396"/>
      <c r="GM305" s="396"/>
      <c r="GS305" s="396"/>
      <c r="GY305" s="396"/>
      <c r="HE305" s="396"/>
    </row>
    <row r="306" spans="117:213">
      <c r="DM306" s="396"/>
      <c r="DS306" s="396"/>
      <c r="DY306" s="396"/>
      <c r="EE306" s="396"/>
      <c r="EK306" s="396"/>
      <c r="EQ306" s="396"/>
      <c r="EW306" s="396"/>
      <c r="FC306" s="396"/>
      <c r="FI306" s="396"/>
      <c r="FO306" s="396"/>
      <c r="FU306" s="396"/>
      <c r="GA306" s="396"/>
      <c r="GG306" s="396"/>
      <c r="GM306" s="396"/>
      <c r="GS306" s="396"/>
      <c r="GY306" s="396"/>
      <c r="HE306" s="396"/>
    </row>
    <row r="307" spans="117:213">
      <c r="DM307" s="396"/>
      <c r="DS307" s="396"/>
      <c r="DY307" s="396"/>
      <c r="EE307" s="396"/>
      <c r="EK307" s="396"/>
      <c r="EQ307" s="396"/>
      <c r="EW307" s="396"/>
      <c r="FC307" s="396"/>
      <c r="FI307" s="396"/>
      <c r="FO307" s="396"/>
      <c r="FU307" s="396"/>
      <c r="GA307" s="396"/>
      <c r="GG307" s="396"/>
      <c r="GM307" s="396"/>
      <c r="GS307" s="396"/>
      <c r="GY307" s="396"/>
      <c r="HE307" s="396"/>
    </row>
    <row r="308" spans="117:213">
      <c r="DM308" s="396"/>
      <c r="DS308" s="396"/>
      <c r="DY308" s="396"/>
      <c r="EE308" s="396"/>
      <c r="EK308" s="396"/>
      <c r="EQ308" s="396"/>
      <c r="EW308" s="396"/>
      <c r="FC308" s="396"/>
      <c r="FI308" s="396"/>
      <c r="FO308" s="396"/>
      <c r="FU308" s="396"/>
      <c r="GA308" s="396"/>
      <c r="GG308" s="396"/>
      <c r="GM308" s="396"/>
      <c r="GS308" s="396"/>
      <c r="GY308" s="396"/>
      <c r="HE308" s="396"/>
    </row>
    <row r="309" spans="117:213">
      <c r="DM309" s="396"/>
      <c r="DS309" s="396"/>
      <c r="DY309" s="396"/>
      <c r="EE309" s="396"/>
      <c r="EK309" s="396"/>
      <c r="EQ309" s="396"/>
      <c r="EW309" s="396"/>
      <c r="FC309" s="396"/>
      <c r="FI309" s="396"/>
      <c r="FO309" s="396"/>
      <c r="FU309" s="396"/>
      <c r="GA309" s="396"/>
      <c r="GG309" s="396"/>
      <c r="GM309" s="396"/>
      <c r="GS309" s="396"/>
      <c r="GY309" s="396"/>
      <c r="HE309" s="396"/>
    </row>
    <row r="310" spans="117:213">
      <c r="DM310" s="396"/>
      <c r="DS310" s="396"/>
      <c r="DY310" s="396"/>
      <c r="EE310" s="396"/>
      <c r="EK310" s="396"/>
      <c r="EQ310" s="396"/>
      <c r="EW310" s="396"/>
      <c r="FC310" s="396"/>
      <c r="FI310" s="396"/>
      <c r="FO310" s="396"/>
      <c r="FU310" s="396"/>
      <c r="GA310" s="396"/>
      <c r="GG310" s="396"/>
      <c r="GM310" s="396"/>
      <c r="GS310" s="396"/>
      <c r="GY310" s="396"/>
      <c r="HE310" s="396"/>
    </row>
    <row r="311" spans="117:213">
      <c r="DM311" s="396"/>
      <c r="DS311" s="396"/>
      <c r="DY311" s="396"/>
      <c r="EE311" s="396"/>
      <c r="EK311" s="396"/>
      <c r="EQ311" s="396"/>
      <c r="EW311" s="396"/>
      <c r="FC311" s="396"/>
      <c r="FI311" s="396"/>
      <c r="FO311" s="396"/>
      <c r="FU311" s="396"/>
      <c r="GA311" s="396"/>
      <c r="GG311" s="396"/>
      <c r="GM311" s="396"/>
      <c r="GS311" s="396"/>
      <c r="GY311" s="396"/>
      <c r="HE311" s="396"/>
    </row>
    <row r="312" spans="117:213">
      <c r="DM312" s="396"/>
      <c r="DS312" s="396"/>
      <c r="DY312" s="396"/>
      <c r="EE312" s="396"/>
      <c r="EK312" s="396"/>
      <c r="EQ312" s="396"/>
      <c r="EW312" s="396"/>
      <c r="FC312" s="396"/>
      <c r="FI312" s="396"/>
      <c r="FO312" s="396"/>
      <c r="FU312" s="396"/>
      <c r="GA312" s="396"/>
      <c r="GG312" s="396"/>
      <c r="GM312" s="396"/>
      <c r="GS312" s="396"/>
      <c r="GY312" s="396"/>
      <c r="HE312" s="396"/>
    </row>
    <row r="313" spans="117:213">
      <c r="DM313" s="396"/>
      <c r="DS313" s="396"/>
      <c r="DY313" s="396"/>
      <c r="EE313" s="396"/>
      <c r="EK313" s="396"/>
      <c r="EQ313" s="396"/>
      <c r="EW313" s="396"/>
      <c r="FC313" s="396"/>
      <c r="FI313" s="396"/>
      <c r="FO313" s="396"/>
      <c r="FU313" s="396"/>
      <c r="GA313" s="396"/>
      <c r="GG313" s="396"/>
      <c r="GM313" s="396"/>
      <c r="GS313" s="396"/>
      <c r="GY313" s="396"/>
      <c r="HE313" s="396"/>
    </row>
    <row r="314" spans="117:213">
      <c r="DM314" s="396"/>
      <c r="DS314" s="396"/>
      <c r="DY314" s="396"/>
      <c r="EE314" s="396"/>
      <c r="EK314" s="396"/>
      <c r="EQ314" s="396"/>
      <c r="EW314" s="396"/>
      <c r="FC314" s="396"/>
      <c r="FI314" s="396"/>
      <c r="FO314" s="396"/>
      <c r="FU314" s="396"/>
      <c r="GA314" s="396"/>
      <c r="GG314" s="396"/>
      <c r="GM314" s="396"/>
      <c r="GS314" s="396"/>
      <c r="GY314" s="396"/>
      <c r="HE314" s="396"/>
    </row>
    <row r="315" spans="117:213">
      <c r="DM315" s="396"/>
      <c r="DS315" s="396"/>
      <c r="DY315" s="396"/>
      <c r="EE315" s="396"/>
      <c r="EK315" s="396"/>
      <c r="EQ315" s="396"/>
      <c r="EW315" s="396"/>
      <c r="FC315" s="396"/>
      <c r="FI315" s="396"/>
      <c r="FO315" s="396"/>
      <c r="FU315" s="396"/>
      <c r="GA315" s="396"/>
      <c r="GG315" s="396"/>
      <c r="GM315" s="396"/>
      <c r="GS315" s="396"/>
      <c r="GY315" s="396"/>
      <c r="HE315" s="396"/>
    </row>
    <row r="316" spans="117:213">
      <c r="DM316" s="396"/>
      <c r="DS316" s="396"/>
      <c r="DY316" s="396"/>
      <c r="EE316" s="396"/>
      <c r="EK316" s="396"/>
      <c r="EQ316" s="396"/>
      <c r="EW316" s="396"/>
      <c r="FC316" s="396"/>
      <c r="FI316" s="396"/>
      <c r="FO316" s="396"/>
      <c r="FU316" s="396"/>
      <c r="GA316" s="396"/>
      <c r="GG316" s="396"/>
      <c r="GM316" s="396"/>
      <c r="GS316" s="396"/>
      <c r="GY316" s="396"/>
      <c r="HE316" s="396"/>
    </row>
    <row r="317" spans="117:213">
      <c r="DM317" s="396"/>
      <c r="DS317" s="396"/>
      <c r="DY317" s="396"/>
      <c r="EE317" s="396"/>
      <c r="EK317" s="396"/>
      <c r="EQ317" s="396"/>
      <c r="EW317" s="396"/>
      <c r="FC317" s="396"/>
      <c r="FI317" s="396"/>
      <c r="FO317" s="396"/>
      <c r="FU317" s="396"/>
      <c r="GA317" s="396"/>
      <c r="GG317" s="396"/>
      <c r="GM317" s="396"/>
      <c r="GS317" s="396"/>
      <c r="GY317" s="396"/>
      <c r="HE317" s="396"/>
    </row>
    <row r="318" spans="117:213">
      <c r="DM318" s="396"/>
      <c r="DS318" s="396"/>
      <c r="DY318" s="396"/>
      <c r="EE318" s="396"/>
      <c r="EK318" s="396"/>
      <c r="EQ318" s="396"/>
      <c r="EW318" s="396"/>
      <c r="FC318" s="396"/>
      <c r="FI318" s="396"/>
      <c r="FO318" s="396"/>
      <c r="FU318" s="396"/>
      <c r="GA318" s="396"/>
      <c r="GG318" s="396"/>
      <c r="GM318" s="396"/>
      <c r="GS318" s="396"/>
      <c r="GY318" s="396"/>
      <c r="HE318" s="396"/>
    </row>
    <row r="319" spans="117:213">
      <c r="DM319" s="396"/>
      <c r="DS319" s="396"/>
      <c r="DY319" s="396"/>
      <c r="EE319" s="396"/>
      <c r="EK319" s="396"/>
      <c r="EQ319" s="396"/>
      <c r="EW319" s="396"/>
      <c r="FC319" s="396"/>
      <c r="FI319" s="396"/>
      <c r="FO319" s="396"/>
      <c r="FU319" s="396"/>
      <c r="GA319" s="396"/>
      <c r="GG319" s="396"/>
      <c r="GM319" s="396"/>
      <c r="GS319" s="396"/>
      <c r="GY319" s="396"/>
      <c r="HE319" s="396"/>
    </row>
    <row r="320" spans="117:213">
      <c r="DM320" s="396"/>
      <c r="DS320" s="396"/>
      <c r="DY320" s="396"/>
      <c r="EE320" s="396"/>
      <c r="EK320" s="396"/>
      <c r="EQ320" s="396"/>
      <c r="EW320" s="396"/>
      <c r="FC320" s="396"/>
      <c r="FI320" s="396"/>
      <c r="FO320" s="396"/>
      <c r="FU320" s="396"/>
      <c r="GA320" s="396"/>
      <c r="GG320" s="396"/>
      <c r="GM320" s="396"/>
      <c r="GS320" s="396"/>
      <c r="GY320" s="396"/>
      <c r="HE320" s="396"/>
    </row>
    <row r="321" spans="117:213">
      <c r="DM321" s="396"/>
      <c r="DS321" s="396"/>
      <c r="DY321" s="396"/>
      <c r="EE321" s="396"/>
      <c r="EK321" s="396"/>
      <c r="EQ321" s="396"/>
      <c r="EW321" s="396"/>
      <c r="FC321" s="396"/>
      <c r="FI321" s="396"/>
      <c r="FO321" s="396"/>
      <c r="FU321" s="396"/>
      <c r="GA321" s="396"/>
      <c r="GG321" s="396"/>
      <c r="GM321" s="396"/>
      <c r="GS321" s="396"/>
      <c r="GY321" s="396"/>
      <c r="HE321" s="396"/>
    </row>
    <row r="322" spans="117:213">
      <c r="DM322" s="396"/>
      <c r="DS322" s="396"/>
      <c r="DY322" s="396"/>
      <c r="EE322" s="396"/>
      <c r="EK322" s="396"/>
      <c r="EQ322" s="396"/>
      <c r="EW322" s="396"/>
      <c r="FC322" s="396"/>
      <c r="FI322" s="396"/>
      <c r="FO322" s="396"/>
      <c r="FU322" s="396"/>
      <c r="GA322" s="396"/>
      <c r="GG322" s="396"/>
      <c r="GM322" s="396"/>
      <c r="GS322" s="396"/>
      <c r="GY322" s="396"/>
      <c r="HE322" s="396"/>
    </row>
    <row r="323" spans="117:213">
      <c r="DM323" s="396"/>
      <c r="DS323" s="396"/>
      <c r="DY323" s="396"/>
      <c r="EE323" s="396"/>
      <c r="EK323" s="396"/>
      <c r="EQ323" s="396"/>
      <c r="EW323" s="396"/>
      <c r="FC323" s="396"/>
      <c r="FI323" s="396"/>
      <c r="FO323" s="396"/>
      <c r="FU323" s="396"/>
      <c r="GA323" s="396"/>
      <c r="GG323" s="396"/>
      <c r="GM323" s="396"/>
      <c r="GS323" s="396"/>
      <c r="GY323" s="396"/>
      <c r="HE323" s="396"/>
    </row>
    <row r="324" spans="117:213">
      <c r="DM324" s="396"/>
      <c r="DS324" s="396"/>
      <c r="DY324" s="396"/>
      <c r="EE324" s="396"/>
      <c r="EK324" s="396"/>
      <c r="EQ324" s="396"/>
      <c r="EW324" s="396"/>
      <c r="FC324" s="396"/>
      <c r="FI324" s="396"/>
      <c r="FO324" s="396"/>
      <c r="FU324" s="396"/>
      <c r="GA324" s="396"/>
      <c r="GG324" s="396"/>
      <c r="GM324" s="396"/>
      <c r="GS324" s="396"/>
      <c r="GY324" s="396"/>
      <c r="HE324" s="396"/>
    </row>
    <row r="325" spans="117:213">
      <c r="DM325" s="396"/>
      <c r="DS325" s="396"/>
      <c r="DY325" s="396"/>
      <c r="EE325" s="396"/>
      <c r="EK325" s="396"/>
      <c r="EQ325" s="396"/>
      <c r="EW325" s="396"/>
      <c r="FC325" s="396"/>
      <c r="FI325" s="396"/>
      <c r="FO325" s="396"/>
      <c r="FU325" s="396"/>
      <c r="GA325" s="396"/>
      <c r="GG325" s="396"/>
      <c r="GM325" s="396"/>
      <c r="GS325" s="396"/>
      <c r="GY325" s="396"/>
      <c r="HE325" s="396"/>
    </row>
    <row r="326" spans="117:213">
      <c r="DM326" s="396"/>
      <c r="DS326" s="396"/>
      <c r="DY326" s="396"/>
      <c r="EE326" s="396"/>
      <c r="EK326" s="396"/>
      <c r="EQ326" s="396"/>
      <c r="EW326" s="396"/>
      <c r="FC326" s="396"/>
      <c r="FI326" s="396"/>
      <c r="FO326" s="396"/>
      <c r="FU326" s="396"/>
      <c r="GA326" s="396"/>
      <c r="GG326" s="396"/>
      <c r="GM326" s="396"/>
      <c r="GS326" s="396"/>
      <c r="GY326" s="396"/>
      <c r="HE326" s="396"/>
    </row>
    <row r="327" spans="117:213">
      <c r="DM327" s="396"/>
      <c r="DS327" s="396"/>
      <c r="DY327" s="396"/>
      <c r="EE327" s="396"/>
      <c r="EK327" s="396"/>
      <c r="EQ327" s="396"/>
      <c r="EW327" s="396"/>
      <c r="FC327" s="396"/>
      <c r="FI327" s="396"/>
      <c r="FO327" s="396"/>
      <c r="FU327" s="396"/>
      <c r="GA327" s="396"/>
      <c r="GG327" s="396"/>
      <c r="GM327" s="396"/>
      <c r="GS327" s="396"/>
      <c r="GY327" s="396"/>
      <c r="HE327" s="396"/>
    </row>
    <row r="328" spans="117:213">
      <c r="DM328" s="396"/>
      <c r="DS328" s="396"/>
      <c r="DY328" s="396"/>
      <c r="EE328" s="396"/>
      <c r="EK328" s="396"/>
      <c r="EQ328" s="396"/>
      <c r="EW328" s="396"/>
      <c r="FC328" s="396"/>
      <c r="FI328" s="396"/>
      <c r="FO328" s="396"/>
      <c r="FU328" s="396"/>
      <c r="GA328" s="396"/>
      <c r="GG328" s="396"/>
      <c r="GM328" s="396"/>
      <c r="GS328" s="396"/>
      <c r="GY328" s="396"/>
      <c r="HE328" s="396"/>
    </row>
    <row r="329" spans="117:213">
      <c r="DM329" s="396"/>
      <c r="DS329" s="396"/>
      <c r="DY329" s="396"/>
      <c r="EE329" s="396"/>
      <c r="EK329" s="396"/>
      <c r="EQ329" s="396"/>
      <c r="EW329" s="396"/>
      <c r="FC329" s="396"/>
      <c r="FI329" s="396"/>
      <c r="FO329" s="396"/>
      <c r="FU329" s="396"/>
      <c r="GA329" s="396"/>
      <c r="GG329" s="396"/>
      <c r="GM329" s="396"/>
      <c r="GS329" s="396"/>
      <c r="GY329" s="396"/>
      <c r="HE329" s="396"/>
    </row>
    <row r="330" spans="117:213">
      <c r="DM330" s="396"/>
      <c r="DS330" s="396"/>
      <c r="DY330" s="396"/>
      <c r="EE330" s="396"/>
      <c r="EK330" s="396"/>
      <c r="EQ330" s="396"/>
      <c r="EW330" s="396"/>
      <c r="FC330" s="396"/>
      <c r="FI330" s="396"/>
      <c r="FO330" s="396"/>
      <c r="FU330" s="396"/>
      <c r="GA330" s="396"/>
      <c r="GG330" s="396"/>
      <c r="GM330" s="396"/>
      <c r="GS330" s="396"/>
      <c r="GY330" s="396"/>
      <c r="HE330" s="396"/>
    </row>
    <row r="331" spans="117:213">
      <c r="DM331" s="396"/>
      <c r="DS331" s="396"/>
      <c r="DY331" s="396"/>
      <c r="EE331" s="396"/>
      <c r="EK331" s="396"/>
      <c r="EQ331" s="396"/>
      <c r="EW331" s="396"/>
      <c r="FC331" s="396"/>
      <c r="FI331" s="396"/>
      <c r="FO331" s="396"/>
      <c r="FU331" s="396"/>
      <c r="GA331" s="396"/>
      <c r="GG331" s="396"/>
      <c r="GM331" s="396"/>
      <c r="GS331" s="396"/>
      <c r="GY331" s="396"/>
      <c r="HE331" s="396"/>
    </row>
    <row r="332" spans="117:213">
      <c r="DM332" s="396"/>
      <c r="DS332" s="396"/>
      <c r="DY332" s="396"/>
      <c r="EE332" s="396"/>
      <c r="EK332" s="396"/>
      <c r="EQ332" s="396"/>
      <c r="EW332" s="396"/>
      <c r="FC332" s="396"/>
      <c r="FI332" s="396"/>
      <c r="FO332" s="396"/>
      <c r="FU332" s="396"/>
      <c r="GA332" s="396"/>
      <c r="GG332" s="396"/>
      <c r="GM332" s="396"/>
      <c r="GS332" s="396"/>
      <c r="GY332" s="396"/>
      <c r="HE332" s="396"/>
    </row>
    <row r="333" spans="117:213">
      <c r="DM333" s="396"/>
      <c r="DS333" s="396"/>
      <c r="DY333" s="396"/>
      <c r="EE333" s="396"/>
      <c r="EK333" s="396"/>
      <c r="EQ333" s="396"/>
      <c r="EW333" s="396"/>
      <c r="FC333" s="396"/>
      <c r="FI333" s="396"/>
      <c r="FO333" s="396"/>
      <c r="FU333" s="396"/>
      <c r="GA333" s="396"/>
      <c r="GG333" s="396"/>
      <c r="GM333" s="396"/>
      <c r="GS333" s="396"/>
      <c r="GY333" s="396"/>
      <c r="HE333" s="396"/>
    </row>
    <row r="334" spans="117:213">
      <c r="DM334" s="396"/>
      <c r="DS334" s="396"/>
      <c r="DY334" s="396"/>
      <c r="EE334" s="396"/>
      <c r="EK334" s="396"/>
      <c r="EQ334" s="396"/>
      <c r="EW334" s="396"/>
      <c r="FC334" s="396"/>
      <c r="FI334" s="396"/>
      <c r="FO334" s="396"/>
      <c r="FU334" s="396"/>
      <c r="GA334" s="396"/>
      <c r="GG334" s="396"/>
      <c r="GM334" s="396"/>
      <c r="GS334" s="396"/>
      <c r="GY334" s="396"/>
      <c r="HE334" s="396"/>
    </row>
    <row r="335" spans="117:213">
      <c r="DM335" s="396"/>
      <c r="DS335" s="396"/>
      <c r="DY335" s="396"/>
      <c r="EE335" s="396"/>
      <c r="EK335" s="396"/>
      <c r="EQ335" s="396"/>
      <c r="EW335" s="396"/>
      <c r="FC335" s="396"/>
      <c r="FI335" s="396"/>
      <c r="FO335" s="396"/>
      <c r="FU335" s="396"/>
      <c r="GA335" s="396"/>
      <c r="GG335" s="396"/>
      <c r="GM335" s="396"/>
      <c r="GS335" s="396"/>
      <c r="GY335" s="396"/>
      <c r="HE335" s="396"/>
    </row>
    <row r="336" spans="117:213">
      <c r="DM336" s="396"/>
      <c r="DS336" s="396"/>
      <c r="DY336" s="396"/>
      <c r="EE336" s="396"/>
      <c r="EK336" s="396"/>
      <c r="EQ336" s="396"/>
      <c r="EW336" s="396"/>
      <c r="FC336" s="396"/>
      <c r="FI336" s="396"/>
      <c r="FO336" s="396"/>
      <c r="FU336" s="396"/>
      <c r="GA336" s="396"/>
      <c r="GG336" s="396"/>
      <c r="GM336" s="396"/>
      <c r="GS336" s="396"/>
      <c r="GY336" s="396"/>
      <c r="HE336" s="396"/>
    </row>
    <row r="337" spans="117:213">
      <c r="DM337" s="396"/>
      <c r="DS337" s="396"/>
      <c r="DY337" s="396"/>
      <c r="EE337" s="396"/>
      <c r="EK337" s="396"/>
      <c r="EQ337" s="396"/>
      <c r="EW337" s="396"/>
      <c r="FC337" s="396"/>
      <c r="FI337" s="396"/>
      <c r="FO337" s="396"/>
      <c r="FU337" s="396"/>
      <c r="GA337" s="396"/>
      <c r="GG337" s="396"/>
      <c r="GM337" s="396"/>
      <c r="GS337" s="396"/>
      <c r="GY337" s="396"/>
      <c r="HE337" s="396"/>
    </row>
    <row r="338" spans="117:213">
      <c r="DM338" s="396"/>
      <c r="DS338" s="396"/>
      <c r="DY338" s="396"/>
      <c r="EE338" s="396"/>
      <c r="EK338" s="396"/>
      <c r="EQ338" s="396"/>
      <c r="EW338" s="396"/>
      <c r="FC338" s="396"/>
      <c r="FI338" s="396"/>
      <c r="FO338" s="396"/>
      <c r="FU338" s="396"/>
      <c r="GA338" s="396"/>
      <c r="GG338" s="396"/>
      <c r="GM338" s="396"/>
      <c r="GS338" s="396"/>
      <c r="GY338" s="396"/>
      <c r="HE338" s="396"/>
    </row>
    <row r="340" spans="117:213">
      <c r="DM340" s="396"/>
      <c r="DS340" s="396"/>
      <c r="DY340" s="396"/>
      <c r="EE340" s="396"/>
      <c r="EK340" s="396"/>
      <c r="EQ340" s="396"/>
      <c r="EW340" s="396"/>
      <c r="FC340" s="396"/>
      <c r="FI340" s="396"/>
      <c r="FO340" s="396"/>
      <c r="FU340" s="396"/>
      <c r="GA340" s="396"/>
      <c r="GG340" s="396"/>
      <c r="GM340" s="396"/>
      <c r="GS340" s="396"/>
      <c r="GY340" s="396"/>
      <c r="HE340" s="396"/>
    </row>
    <row r="341" spans="117:213">
      <c r="DM341" s="396"/>
      <c r="DS341" s="396"/>
      <c r="DY341" s="396"/>
      <c r="EE341" s="396"/>
      <c r="EK341" s="396"/>
      <c r="EQ341" s="396"/>
      <c r="EW341" s="396"/>
      <c r="FC341" s="396"/>
      <c r="FI341" s="396"/>
      <c r="FO341" s="396"/>
      <c r="FU341" s="396"/>
      <c r="GA341" s="396"/>
      <c r="GG341" s="396"/>
      <c r="GM341" s="396"/>
      <c r="GS341" s="396"/>
      <c r="GY341" s="396"/>
      <c r="HE341" s="396"/>
    </row>
    <row r="342" spans="117:213">
      <c r="DM342" s="396"/>
      <c r="DS342" s="396"/>
      <c r="DY342" s="396"/>
      <c r="EE342" s="396"/>
      <c r="EK342" s="396"/>
      <c r="EQ342" s="396"/>
      <c r="EW342" s="396"/>
      <c r="FC342" s="396"/>
      <c r="FI342" s="396"/>
      <c r="FO342" s="396"/>
      <c r="FU342" s="396"/>
      <c r="GA342" s="396"/>
      <c r="GG342" s="396"/>
      <c r="GM342" s="396"/>
      <c r="GS342" s="396"/>
      <c r="GY342" s="396"/>
      <c r="HE342" s="396"/>
    </row>
    <row r="343" spans="117:213">
      <c r="DM343" s="396"/>
      <c r="DS343" s="396"/>
      <c r="DY343" s="396"/>
      <c r="EE343" s="396"/>
      <c r="EK343" s="396"/>
      <c r="EQ343" s="396"/>
      <c r="EW343" s="396"/>
      <c r="FC343" s="396"/>
      <c r="FI343" s="396"/>
      <c r="FO343" s="396"/>
      <c r="FU343" s="396"/>
      <c r="GA343" s="396"/>
      <c r="GG343" s="396"/>
      <c r="GM343" s="396"/>
      <c r="GS343" s="396"/>
      <c r="GY343" s="396"/>
      <c r="HE343" s="396"/>
    </row>
    <row r="344" spans="117:213">
      <c r="DM344" s="396"/>
      <c r="DS344" s="396"/>
      <c r="DY344" s="396"/>
      <c r="EE344" s="396"/>
      <c r="EK344" s="396"/>
      <c r="EQ344" s="396"/>
      <c r="EW344" s="396"/>
      <c r="FC344" s="396"/>
      <c r="FI344" s="396"/>
      <c r="FO344" s="396"/>
      <c r="FU344" s="396"/>
      <c r="GA344" s="396"/>
      <c r="GG344" s="396"/>
      <c r="GM344" s="396"/>
      <c r="GS344" s="396"/>
      <c r="GY344" s="396"/>
      <c r="HE344" s="396"/>
    </row>
    <row r="345" spans="117:213">
      <c r="DM345" s="396"/>
      <c r="DS345" s="396"/>
      <c r="DY345" s="396"/>
      <c r="EE345" s="396"/>
      <c r="EK345" s="396"/>
      <c r="EQ345" s="396"/>
      <c r="EW345" s="396"/>
      <c r="FC345" s="396"/>
      <c r="FI345" s="396"/>
      <c r="FO345" s="396"/>
      <c r="FU345" s="396"/>
      <c r="GA345" s="396"/>
      <c r="GG345" s="396"/>
      <c r="GM345" s="396"/>
      <c r="GS345" s="396"/>
      <c r="GY345" s="396"/>
      <c r="HE345" s="396"/>
    </row>
    <row r="346" spans="117:213">
      <c r="DM346" s="396"/>
      <c r="DS346" s="396"/>
      <c r="DY346" s="396"/>
      <c r="EE346" s="396"/>
      <c r="EK346" s="396"/>
      <c r="EQ346" s="396"/>
      <c r="EW346" s="396"/>
      <c r="FC346" s="396"/>
      <c r="FI346" s="396"/>
      <c r="FO346" s="396"/>
      <c r="FU346" s="396"/>
      <c r="GA346" s="396"/>
      <c r="GG346" s="396"/>
      <c r="GM346" s="396"/>
      <c r="GS346" s="396"/>
      <c r="GY346" s="396"/>
      <c r="HE346" s="396"/>
    </row>
    <row r="347" spans="117:213">
      <c r="DM347" s="396"/>
      <c r="DS347" s="396"/>
      <c r="DY347" s="396"/>
      <c r="EE347" s="396"/>
      <c r="EK347" s="396"/>
      <c r="EQ347" s="396"/>
      <c r="EW347" s="396"/>
      <c r="FC347" s="396"/>
      <c r="FI347" s="396"/>
      <c r="FO347" s="396"/>
      <c r="FU347" s="396"/>
      <c r="GA347" s="396"/>
      <c r="GG347" s="396"/>
      <c r="GM347" s="396"/>
      <c r="GS347" s="396"/>
      <c r="GY347" s="396"/>
      <c r="HE347" s="396"/>
    </row>
    <row r="348" spans="117:213">
      <c r="DM348" s="396"/>
      <c r="DS348" s="396"/>
      <c r="DY348" s="396"/>
      <c r="EE348" s="396"/>
      <c r="EK348" s="396"/>
      <c r="EQ348" s="396"/>
      <c r="EW348" s="396"/>
      <c r="FC348" s="396"/>
      <c r="FI348" s="396"/>
      <c r="FO348" s="396"/>
      <c r="FU348" s="396"/>
      <c r="GA348" s="396"/>
      <c r="GG348" s="396"/>
      <c r="GM348" s="396"/>
      <c r="GS348" s="396"/>
      <c r="GY348" s="396"/>
      <c r="HE348" s="396"/>
    </row>
    <row r="349" spans="117:213">
      <c r="DM349" s="396"/>
      <c r="DS349" s="396"/>
      <c r="DY349" s="396"/>
      <c r="EE349" s="396"/>
      <c r="EK349" s="396"/>
      <c r="EQ349" s="396"/>
      <c r="EW349" s="396"/>
      <c r="FC349" s="396"/>
      <c r="FI349" s="396"/>
      <c r="FO349" s="396"/>
      <c r="FU349" s="396"/>
      <c r="GA349" s="396"/>
      <c r="GG349" s="396"/>
      <c r="GM349" s="396"/>
      <c r="GS349" s="396"/>
      <c r="GY349" s="396"/>
      <c r="HE349" s="396"/>
    </row>
    <row r="350" spans="117:213">
      <c r="DM350" s="396"/>
      <c r="DS350" s="396"/>
      <c r="DY350" s="396"/>
      <c r="EE350" s="396"/>
      <c r="EK350" s="396"/>
      <c r="EQ350" s="396"/>
      <c r="EW350" s="396"/>
      <c r="FC350" s="396"/>
      <c r="FI350" s="396"/>
      <c r="FO350" s="396"/>
      <c r="FU350" s="396"/>
      <c r="GA350" s="396"/>
      <c r="GG350" s="396"/>
      <c r="GM350" s="396"/>
      <c r="GS350" s="396"/>
      <c r="GY350" s="396"/>
      <c r="HE350" s="396"/>
    </row>
    <row r="351" spans="117:213">
      <c r="DM351" s="396"/>
      <c r="DS351" s="396"/>
      <c r="DY351" s="396"/>
      <c r="EE351" s="396"/>
      <c r="EK351" s="396"/>
      <c r="EQ351" s="396"/>
      <c r="EW351" s="396"/>
      <c r="FC351" s="396"/>
      <c r="FI351" s="396"/>
      <c r="FO351" s="396"/>
      <c r="FU351" s="396"/>
      <c r="GA351" s="396"/>
      <c r="GG351" s="396"/>
      <c r="GM351" s="396"/>
      <c r="GS351" s="396"/>
      <c r="GY351" s="396"/>
      <c r="HE351" s="396"/>
    </row>
    <row r="352" spans="117:213">
      <c r="DM352" s="396"/>
      <c r="DS352" s="396"/>
      <c r="DY352" s="396"/>
      <c r="EE352" s="396"/>
      <c r="EK352" s="396"/>
      <c r="EQ352" s="396"/>
      <c r="EW352" s="396"/>
      <c r="FC352" s="396"/>
      <c r="FI352" s="396"/>
      <c r="FO352" s="396"/>
      <c r="FU352" s="396"/>
      <c r="GA352" s="396"/>
      <c r="GG352" s="396"/>
      <c r="GM352" s="396"/>
      <c r="GS352" s="396"/>
      <c r="GY352" s="396"/>
      <c r="HE352" s="396"/>
    </row>
    <row r="353" spans="117:213">
      <c r="DM353" s="396"/>
      <c r="DS353" s="396"/>
      <c r="DY353" s="396"/>
      <c r="EE353" s="396"/>
      <c r="EK353" s="396"/>
      <c r="EQ353" s="396"/>
      <c r="EW353" s="396"/>
      <c r="FC353" s="396"/>
      <c r="FI353" s="396"/>
      <c r="FO353" s="396"/>
      <c r="FU353" s="396"/>
      <c r="GA353" s="396"/>
      <c r="GG353" s="396"/>
      <c r="GM353" s="396"/>
      <c r="GS353" s="396"/>
      <c r="GY353" s="396"/>
      <c r="HE353" s="396"/>
    </row>
    <row r="354" spans="117:213">
      <c r="DM354" s="396"/>
      <c r="DS354" s="396"/>
      <c r="DY354" s="396"/>
      <c r="EE354" s="396"/>
      <c r="EK354" s="396"/>
      <c r="EQ354" s="396"/>
      <c r="EW354" s="396"/>
      <c r="FC354" s="396"/>
      <c r="FI354" s="396"/>
      <c r="FO354" s="396"/>
      <c r="FU354" s="396"/>
      <c r="GA354" s="396"/>
      <c r="GG354" s="396"/>
      <c r="GM354" s="396"/>
      <c r="GS354" s="396"/>
      <c r="GY354" s="396"/>
      <c r="HE354" s="396"/>
    </row>
    <row r="355" spans="117:213">
      <c r="DM355" s="396"/>
      <c r="DS355" s="396"/>
      <c r="DY355" s="396"/>
      <c r="EE355" s="396"/>
      <c r="EK355" s="396"/>
      <c r="EQ355" s="396"/>
      <c r="EW355" s="396"/>
      <c r="FC355" s="396"/>
      <c r="FI355" s="396"/>
      <c r="FO355" s="396"/>
      <c r="FU355" s="396"/>
      <c r="GA355" s="396"/>
      <c r="GG355" s="396"/>
      <c r="GM355" s="396"/>
      <c r="GS355" s="396"/>
      <c r="GY355" s="396"/>
      <c r="HE355" s="396"/>
    </row>
    <row r="356" spans="117:213">
      <c r="DM356" s="396"/>
      <c r="DS356" s="396"/>
      <c r="DY356" s="396"/>
      <c r="EE356" s="396"/>
      <c r="EK356" s="396"/>
      <c r="EQ356" s="396"/>
      <c r="EW356" s="396"/>
      <c r="FC356" s="396"/>
      <c r="FI356" s="396"/>
      <c r="FO356" s="396"/>
      <c r="FU356" s="396"/>
      <c r="GA356" s="396"/>
      <c r="GG356" s="396"/>
      <c r="GM356" s="396"/>
      <c r="GS356" s="396"/>
      <c r="GY356" s="396"/>
      <c r="HE356" s="396"/>
    </row>
    <row r="357" spans="117:213">
      <c r="DM357" s="396"/>
      <c r="DS357" s="396"/>
      <c r="DY357" s="396"/>
      <c r="EE357" s="396"/>
      <c r="EK357" s="396"/>
      <c r="EQ357" s="396"/>
      <c r="EW357" s="396"/>
      <c r="FC357" s="396"/>
      <c r="FI357" s="396"/>
      <c r="FO357" s="396"/>
      <c r="FU357" s="396"/>
      <c r="GA357" s="396"/>
      <c r="GG357" s="396"/>
      <c r="GM357" s="396"/>
      <c r="GS357" s="396"/>
      <c r="GY357" s="396"/>
      <c r="HE357" s="396"/>
    </row>
    <row r="358" spans="117:213">
      <c r="DM358" s="396"/>
      <c r="DS358" s="396"/>
      <c r="DY358" s="396"/>
      <c r="EE358" s="396"/>
      <c r="EK358" s="396"/>
      <c r="EQ358" s="396"/>
      <c r="EW358" s="396"/>
      <c r="FC358" s="396"/>
      <c r="FI358" s="396"/>
      <c r="FO358" s="396"/>
      <c r="FU358" s="396"/>
      <c r="GA358" s="396"/>
      <c r="GG358" s="396"/>
      <c r="GM358" s="396"/>
      <c r="GS358" s="396"/>
      <c r="GY358" s="396"/>
      <c r="HE358" s="396"/>
    </row>
    <row r="359" spans="117:213">
      <c r="DM359" s="396"/>
      <c r="DS359" s="396"/>
      <c r="DY359" s="396"/>
      <c r="EE359" s="396"/>
      <c r="EK359" s="396"/>
      <c r="EQ359" s="396"/>
      <c r="EW359" s="396"/>
      <c r="FC359" s="396"/>
      <c r="FI359" s="396"/>
      <c r="FO359" s="396"/>
      <c r="FU359" s="396"/>
      <c r="GA359" s="396"/>
      <c r="GG359" s="396"/>
      <c r="GM359" s="396"/>
      <c r="GS359" s="396"/>
      <c r="GY359" s="396"/>
      <c r="HE359" s="396"/>
    </row>
    <row r="360" spans="117:213">
      <c r="DM360" s="396"/>
      <c r="DS360" s="396"/>
      <c r="DY360" s="396"/>
      <c r="EE360" s="396"/>
      <c r="EK360" s="396"/>
      <c r="EQ360" s="396"/>
      <c r="EW360" s="396"/>
      <c r="FC360" s="396"/>
      <c r="FI360" s="396"/>
      <c r="FO360" s="396"/>
      <c r="FU360" s="396"/>
      <c r="GA360" s="396"/>
      <c r="GG360" s="396"/>
      <c r="GM360" s="396"/>
      <c r="GS360" s="396"/>
      <c r="GY360" s="396"/>
      <c r="HE360" s="396"/>
    </row>
    <row r="361" spans="117:213">
      <c r="DM361" s="396"/>
      <c r="DS361" s="396"/>
      <c r="DY361" s="396"/>
      <c r="EE361" s="396"/>
      <c r="EK361" s="396"/>
      <c r="EQ361" s="396"/>
      <c r="EW361" s="396"/>
      <c r="FC361" s="396"/>
      <c r="FI361" s="396"/>
      <c r="FO361" s="396"/>
      <c r="FU361" s="396"/>
      <c r="GA361" s="396"/>
      <c r="GG361" s="396"/>
      <c r="GM361" s="396"/>
      <c r="GS361" s="396"/>
      <c r="GY361" s="396"/>
      <c r="HE361" s="396"/>
    </row>
    <row r="362" spans="117:213">
      <c r="DM362" s="396"/>
      <c r="DS362" s="396"/>
      <c r="DY362" s="396"/>
      <c r="EE362" s="396"/>
      <c r="EK362" s="396"/>
      <c r="EQ362" s="396"/>
      <c r="EW362" s="396"/>
      <c r="FC362" s="396"/>
      <c r="FI362" s="396"/>
      <c r="FO362" s="396"/>
      <c r="FU362" s="396"/>
      <c r="GA362" s="396"/>
      <c r="GG362" s="396"/>
      <c r="GM362" s="396"/>
      <c r="GS362" s="396"/>
      <c r="GY362" s="396"/>
      <c r="HE362" s="396"/>
    </row>
    <row r="363" spans="117:213">
      <c r="DM363" s="396"/>
      <c r="DS363" s="396"/>
      <c r="DY363" s="396"/>
      <c r="EE363" s="396"/>
      <c r="EK363" s="396"/>
      <c r="EQ363" s="396"/>
      <c r="EW363" s="396"/>
      <c r="FC363" s="396"/>
      <c r="FI363" s="396"/>
      <c r="FO363" s="396"/>
      <c r="FU363" s="396"/>
      <c r="GA363" s="396"/>
      <c r="GG363" s="396"/>
      <c r="GM363" s="396"/>
      <c r="GS363" s="396"/>
      <c r="GY363" s="396"/>
      <c r="HE363" s="396"/>
    </row>
    <row r="364" spans="117:213">
      <c r="DM364" s="396"/>
      <c r="DS364" s="396"/>
      <c r="DY364" s="396"/>
      <c r="EE364" s="396"/>
      <c r="EK364" s="396"/>
      <c r="EQ364" s="396"/>
      <c r="EW364" s="396"/>
      <c r="FC364" s="396"/>
      <c r="FI364" s="396"/>
      <c r="FO364" s="396"/>
      <c r="FU364" s="396"/>
      <c r="GA364" s="396"/>
      <c r="GG364" s="396"/>
      <c r="GM364" s="396"/>
      <c r="GS364" s="396"/>
      <c r="GY364" s="396"/>
      <c r="HE364" s="396"/>
    </row>
    <row r="365" spans="117:213">
      <c r="DM365" s="396"/>
      <c r="DS365" s="396"/>
      <c r="DY365" s="396"/>
      <c r="EE365" s="396"/>
      <c r="EK365" s="396"/>
      <c r="EQ365" s="396"/>
      <c r="EW365" s="396"/>
      <c r="FC365" s="396"/>
      <c r="FI365" s="396"/>
      <c r="FO365" s="396"/>
      <c r="FU365" s="396"/>
      <c r="GA365" s="396"/>
      <c r="GG365" s="396"/>
      <c r="GM365" s="396"/>
      <c r="GS365" s="396"/>
      <c r="GY365" s="396"/>
      <c r="HE365" s="396"/>
    </row>
    <row r="366" spans="117:213">
      <c r="DM366" s="396"/>
      <c r="DS366" s="396"/>
      <c r="DY366" s="396"/>
      <c r="EE366" s="396"/>
      <c r="EK366" s="396"/>
      <c r="EQ366" s="396"/>
      <c r="EW366" s="396"/>
      <c r="FC366" s="396"/>
      <c r="FI366" s="396"/>
      <c r="FO366" s="396"/>
      <c r="FU366" s="396"/>
      <c r="GA366" s="396"/>
      <c r="GG366" s="396"/>
      <c r="GM366" s="396"/>
      <c r="GS366" s="396"/>
      <c r="GY366" s="396"/>
      <c r="HE366" s="396"/>
    </row>
    <row r="367" spans="117:213">
      <c r="DM367" s="396"/>
      <c r="DS367" s="396"/>
      <c r="DY367" s="396"/>
      <c r="EE367" s="396"/>
      <c r="EK367" s="396"/>
      <c r="EQ367" s="396"/>
      <c r="EW367" s="396"/>
      <c r="FC367" s="396"/>
      <c r="FI367" s="396"/>
      <c r="FO367" s="396"/>
      <c r="FU367" s="396"/>
      <c r="GA367" s="396"/>
      <c r="GG367" s="396"/>
      <c r="GM367" s="396"/>
      <c r="GS367" s="396"/>
      <c r="GY367" s="396"/>
      <c r="HE367" s="396"/>
    </row>
    <row r="369" spans="117:213">
      <c r="DM369" s="396"/>
      <c r="DS369" s="396"/>
      <c r="DY369" s="396"/>
      <c r="EE369" s="396"/>
      <c r="EK369" s="396"/>
      <c r="EQ369" s="396"/>
      <c r="EW369" s="396"/>
      <c r="FC369" s="396"/>
      <c r="FI369" s="396"/>
      <c r="FO369" s="396"/>
      <c r="FU369" s="396"/>
      <c r="GA369" s="396"/>
      <c r="GG369" s="396"/>
      <c r="GM369" s="396"/>
      <c r="GS369" s="396"/>
      <c r="GY369" s="396"/>
      <c r="HE369" s="396"/>
    </row>
    <row r="370" spans="117:213">
      <c r="DM370" s="396"/>
      <c r="DS370" s="396"/>
      <c r="DY370" s="396"/>
      <c r="EE370" s="396"/>
      <c r="EK370" s="396"/>
      <c r="EQ370" s="396"/>
      <c r="EW370" s="396"/>
      <c r="FC370" s="396"/>
      <c r="FI370" s="396"/>
      <c r="FO370" s="396"/>
      <c r="FU370" s="396"/>
      <c r="GA370" s="396"/>
      <c r="GG370" s="396"/>
      <c r="GM370" s="396"/>
      <c r="GS370" s="396"/>
      <c r="GY370" s="396"/>
      <c r="HE370" s="396"/>
    </row>
    <row r="371" spans="117:213">
      <c r="DM371" s="396"/>
      <c r="DS371" s="396"/>
      <c r="DY371" s="396"/>
      <c r="EE371" s="396"/>
      <c r="EK371" s="396"/>
      <c r="EQ371" s="396"/>
      <c r="EW371" s="396"/>
      <c r="FC371" s="396"/>
      <c r="FI371" s="396"/>
      <c r="FO371" s="396"/>
      <c r="FU371" s="396"/>
      <c r="GA371" s="396"/>
      <c r="GG371" s="396"/>
      <c r="GM371" s="396"/>
      <c r="GS371" s="396"/>
      <c r="GY371" s="396"/>
      <c r="HE371" s="396"/>
    </row>
    <row r="372" spans="117:213">
      <c r="DM372" s="396"/>
      <c r="DS372" s="396"/>
      <c r="DY372" s="396"/>
      <c r="EE372" s="396"/>
      <c r="EK372" s="396"/>
      <c r="EQ372" s="396"/>
      <c r="EW372" s="396"/>
      <c r="FC372" s="396"/>
      <c r="FI372" s="396"/>
      <c r="FO372" s="396"/>
      <c r="FU372" s="396"/>
      <c r="GA372" s="396"/>
      <c r="GG372" s="396"/>
      <c r="GM372" s="396"/>
      <c r="GS372" s="396"/>
      <c r="GY372" s="396"/>
      <c r="HE372" s="396"/>
    </row>
    <row r="373" spans="117:213">
      <c r="DM373" s="396"/>
      <c r="DS373" s="396"/>
      <c r="DY373" s="396"/>
      <c r="EE373" s="396"/>
      <c r="EK373" s="396"/>
      <c r="EQ373" s="396"/>
      <c r="EW373" s="396"/>
      <c r="FC373" s="396"/>
      <c r="FI373" s="396"/>
      <c r="FO373" s="396"/>
      <c r="FU373" s="396"/>
      <c r="GA373" s="396"/>
      <c r="GG373" s="396"/>
      <c r="GM373" s="396"/>
      <c r="GS373" s="396"/>
      <c r="GY373" s="396"/>
      <c r="HE373" s="396"/>
    </row>
    <row r="374" spans="117:213">
      <c r="DM374" s="397"/>
      <c r="DS374" s="397"/>
      <c r="DY374" s="397"/>
      <c r="EE374" s="397"/>
      <c r="EK374" s="397"/>
      <c r="EQ374" s="397"/>
      <c r="EW374" s="397"/>
      <c r="FC374" s="397"/>
      <c r="FI374" s="397"/>
      <c r="FO374" s="397"/>
      <c r="FU374" s="397"/>
      <c r="GA374" s="397"/>
      <c r="GG374" s="397"/>
      <c r="GM374" s="397"/>
      <c r="GS374" s="397"/>
      <c r="GY374" s="397"/>
      <c r="HE374" s="397"/>
    </row>
    <row r="375" spans="117:213">
      <c r="DM375" s="396"/>
      <c r="DS375" s="396"/>
      <c r="DY375" s="396"/>
      <c r="EE375" s="396"/>
      <c r="EK375" s="396"/>
      <c r="EQ375" s="396"/>
      <c r="EW375" s="396"/>
      <c r="FC375" s="396"/>
      <c r="FI375" s="396"/>
      <c r="FO375" s="396"/>
      <c r="FU375" s="396"/>
      <c r="GA375" s="396"/>
      <c r="GG375" s="396"/>
      <c r="GM375" s="396"/>
      <c r="GS375" s="396"/>
      <c r="GY375" s="396"/>
      <c r="HE375" s="396"/>
    </row>
    <row r="376" spans="117:213">
      <c r="DM376" s="396"/>
      <c r="DS376" s="396"/>
      <c r="DY376" s="396"/>
      <c r="EE376" s="396"/>
      <c r="EK376" s="396"/>
      <c r="EQ376" s="396"/>
      <c r="EW376" s="396"/>
      <c r="FC376" s="396"/>
      <c r="FI376" s="396"/>
      <c r="FO376" s="396"/>
      <c r="FU376" s="396"/>
      <c r="GA376" s="396"/>
      <c r="GG376" s="396"/>
      <c r="GM376" s="396"/>
      <c r="GS376" s="396"/>
      <c r="GY376" s="396"/>
      <c r="HE376" s="396"/>
    </row>
    <row r="377" spans="117:213">
      <c r="DM377" s="396"/>
      <c r="DS377" s="396"/>
      <c r="DY377" s="396"/>
      <c r="EE377" s="396"/>
      <c r="EK377" s="396"/>
      <c r="EQ377" s="396"/>
      <c r="EW377" s="396"/>
      <c r="FC377" s="396"/>
      <c r="FI377" s="396"/>
      <c r="FO377" s="396"/>
      <c r="FU377" s="396"/>
      <c r="GA377" s="396"/>
      <c r="GG377" s="396"/>
      <c r="GM377" s="396"/>
      <c r="GS377" s="396"/>
      <c r="GY377" s="396"/>
      <c r="HE377" s="396"/>
    </row>
    <row r="378" spans="117:213">
      <c r="DM378" s="396"/>
      <c r="DS378" s="396"/>
      <c r="DY378" s="396"/>
      <c r="EE378" s="396"/>
      <c r="EK378" s="396"/>
      <c r="EQ378" s="396"/>
      <c r="EW378" s="396"/>
      <c r="FC378" s="396"/>
      <c r="FI378" s="396"/>
      <c r="FO378" s="396"/>
      <c r="FU378" s="396"/>
      <c r="GA378" s="396"/>
      <c r="GG378" s="396"/>
      <c r="GM378" s="396"/>
      <c r="GS378" s="396"/>
      <c r="GY378" s="396"/>
      <c r="HE378" s="396"/>
    </row>
    <row r="379" spans="117:213">
      <c r="DM379" s="396"/>
      <c r="DS379" s="396"/>
      <c r="DY379" s="396"/>
      <c r="EE379" s="396"/>
      <c r="EK379" s="396"/>
      <c r="EQ379" s="396"/>
      <c r="EW379" s="396"/>
      <c r="FC379" s="396"/>
      <c r="FI379" s="396"/>
      <c r="FO379" s="396"/>
      <c r="FU379" s="396"/>
      <c r="GA379" s="396"/>
      <c r="GG379" s="396"/>
      <c r="GM379" s="396"/>
      <c r="GS379" s="396"/>
      <c r="GY379" s="396"/>
      <c r="HE379" s="396"/>
    </row>
    <row r="380" spans="117:213">
      <c r="DM380" s="396"/>
      <c r="DS380" s="396"/>
      <c r="DY380" s="396"/>
      <c r="EE380" s="396"/>
      <c r="EK380" s="396"/>
      <c r="EQ380" s="396"/>
      <c r="EW380" s="396"/>
      <c r="FC380" s="396"/>
      <c r="FI380" s="396"/>
      <c r="FO380" s="396"/>
      <c r="FU380" s="396"/>
      <c r="GA380" s="396"/>
      <c r="GG380" s="396"/>
      <c r="GM380" s="396"/>
      <c r="GS380" s="396"/>
      <c r="GY380" s="396"/>
      <c r="HE380" s="396"/>
    </row>
    <row r="381" spans="117:213">
      <c r="DM381" s="396"/>
      <c r="DS381" s="396"/>
      <c r="DY381" s="396"/>
      <c r="EE381" s="396"/>
      <c r="EK381" s="396"/>
      <c r="EQ381" s="396"/>
      <c r="EW381" s="396"/>
      <c r="FC381" s="396"/>
      <c r="FI381" s="396"/>
      <c r="FO381" s="396"/>
      <c r="FU381" s="396"/>
      <c r="GA381" s="396"/>
      <c r="GG381" s="396"/>
      <c r="GM381" s="396"/>
      <c r="GS381" s="396"/>
      <c r="GY381" s="396"/>
      <c r="HE381" s="396"/>
    </row>
    <row r="382" spans="117:213">
      <c r="DM382" s="396"/>
      <c r="DS382" s="396"/>
      <c r="DY382" s="396"/>
      <c r="EE382" s="396"/>
      <c r="EK382" s="396"/>
      <c r="EQ382" s="396"/>
      <c r="EW382" s="396"/>
      <c r="FC382" s="396"/>
      <c r="FI382" s="396"/>
      <c r="FO382" s="396"/>
      <c r="FU382" s="396"/>
      <c r="GA382" s="396"/>
      <c r="GG382" s="396"/>
      <c r="GM382" s="396"/>
      <c r="GS382" s="396"/>
      <c r="GY382" s="396"/>
      <c r="HE382" s="396"/>
    </row>
    <row r="383" spans="117:213">
      <c r="DM383" s="396"/>
      <c r="DS383" s="396"/>
      <c r="DY383" s="396"/>
      <c r="EE383" s="396"/>
      <c r="EK383" s="396"/>
      <c r="EQ383" s="396"/>
      <c r="EW383" s="396"/>
      <c r="FC383" s="396"/>
      <c r="FI383" s="396"/>
      <c r="FO383" s="396"/>
      <c r="FU383" s="396"/>
      <c r="GA383" s="396"/>
      <c r="GG383" s="396"/>
      <c r="GM383" s="396"/>
      <c r="GS383" s="396"/>
      <c r="GY383" s="396"/>
      <c r="HE383" s="396"/>
    </row>
    <row r="384" spans="117:213">
      <c r="DM384" s="396"/>
      <c r="DS384" s="396"/>
      <c r="DY384" s="396"/>
      <c r="EE384" s="396"/>
      <c r="EK384" s="396"/>
      <c r="EQ384" s="396"/>
      <c r="EW384" s="396"/>
      <c r="FC384" s="396"/>
      <c r="FI384" s="396"/>
      <c r="FO384" s="396"/>
      <c r="FU384" s="396"/>
      <c r="GA384" s="396"/>
      <c r="GG384" s="396"/>
      <c r="GM384" s="396"/>
      <c r="GS384" s="396"/>
      <c r="GY384" s="396"/>
      <c r="HE384" s="396"/>
    </row>
    <row r="385" spans="117:213">
      <c r="DM385" s="396"/>
      <c r="DS385" s="396"/>
      <c r="DY385" s="396"/>
      <c r="EE385" s="396"/>
      <c r="EK385" s="396"/>
      <c r="EQ385" s="396"/>
      <c r="EW385" s="396"/>
      <c r="FC385" s="396"/>
      <c r="FI385" s="396"/>
      <c r="FO385" s="396"/>
      <c r="FU385" s="396"/>
      <c r="GA385" s="396"/>
      <c r="GG385" s="396"/>
      <c r="GM385" s="396"/>
      <c r="GS385" s="396"/>
      <c r="GY385" s="396"/>
      <c r="HE385" s="396"/>
    </row>
    <row r="386" spans="117:213">
      <c r="DM386" s="396"/>
      <c r="DS386" s="396"/>
      <c r="DY386" s="396"/>
      <c r="EE386" s="396"/>
      <c r="EK386" s="396"/>
      <c r="EQ386" s="396"/>
      <c r="EW386" s="396"/>
      <c r="FC386" s="396"/>
      <c r="FI386" s="396"/>
      <c r="FO386" s="396"/>
      <c r="FU386" s="396"/>
      <c r="GA386" s="396"/>
      <c r="GG386" s="396"/>
      <c r="GM386" s="396"/>
      <c r="GS386" s="396"/>
      <c r="GY386" s="396"/>
      <c r="HE386" s="396"/>
    </row>
    <row r="387" spans="117:213">
      <c r="DM387" s="396"/>
      <c r="DS387" s="396"/>
      <c r="DY387" s="396"/>
      <c r="EE387" s="396"/>
      <c r="EK387" s="396"/>
      <c r="EQ387" s="396"/>
      <c r="EW387" s="396"/>
      <c r="FC387" s="396"/>
      <c r="FI387" s="396"/>
      <c r="FO387" s="396"/>
      <c r="FU387" s="396"/>
      <c r="GA387" s="396"/>
      <c r="GG387" s="396"/>
      <c r="GM387" s="396"/>
      <c r="GS387" s="396"/>
      <c r="GY387" s="396"/>
      <c r="HE387" s="396"/>
    </row>
    <row r="388" spans="117:213">
      <c r="DM388" s="396"/>
      <c r="DS388" s="396"/>
      <c r="DY388" s="396"/>
      <c r="EE388" s="396"/>
      <c r="EK388" s="396"/>
      <c r="EQ388" s="396"/>
      <c r="EW388" s="396"/>
      <c r="FC388" s="396"/>
      <c r="FI388" s="396"/>
      <c r="FO388" s="396"/>
      <c r="FU388" s="396"/>
      <c r="GA388" s="396"/>
      <c r="GG388" s="396"/>
      <c r="GM388" s="396"/>
      <c r="GS388" s="396"/>
      <c r="GY388" s="396"/>
      <c r="HE388" s="396"/>
    </row>
    <row r="389" spans="117:213">
      <c r="DM389" s="396"/>
      <c r="DS389" s="396"/>
      <c r="DY389" s="396"/>
      <c r="EE389" s="396"/>
      <c r="EK389" s="396"/>
      <c r="EQ389" s="396"/>
      <c r="EW389" s="396"/>
      <c r="FC389" s="396"/>
      <c r="FI389" s="396"/>
      <c r="FO389" s="396"/>
      <c r="FU389" s="396"/>
      <c r="GA389" s="396"/>
      <c r="GG389" s="396"/>
      <c r="GM389" s="396"/>
      <c r="GS389" s="396"/>
      <c r="GY389" s="396"/>
      <c r="HE389" s="396"/>
    </row>
    <row r="390" spans="117:213">
      <c r="DM390" s="396"/>
      <c r="DS390" s="396"/>
      <c r="DY390" s="396"/>
      <c r="EE390" s="396"/>
      <c r="EK390" s="396"/>
      <c r="EQ390" s="396"/>
      <c r="EW390" s="396"/>
      <c r="FC390" s="396"/>
      <c r="FI390" s="396"/>
      <c r="FO390" s="396"/>
      <c r="FU390" s="396"/>
      <c r="GA390" s="396"/>
      <c r="GG390" s="396"/>
      <c r="GM390" s="396"/>
      <c r="GS390" s="396"/>
      <c r="GY390" s="396"/>
      <c r="HE390" s="396"/>
    </row>
    <row r="391" spans="117:213">
      <c r="DM391" s="396"/>
      <c r="DS391" s="396"/>
      <c r="DY391" s="396"/>
      <c r="EE391" s="396"/>
      <c r="EK391" s="396"/>
      <c r="EQ391" s="396"/>
      <c r="EW391" s="396"/>
      <c r="FC391" s="396"/>
      <c r="FI391" s="396"/>
      <c r="FO391" s="396"/>
      <c r="FU391" s="396"/>
      <c r="GA391" s="396"/>
      <c r="GG391" s="396"/>
      <c r="GM391" s="396"/>
      <c r="GS391" s="396"/>
      <c r="GY391" s="396"/>
      <c r="HE391" s="396"/>
    </row>
    <row r="392" spans="117:213">
      <c r="DM392" s="397"/>
      <c r="DS392" s="397"/>
      <c r="DY392" s="397"/>
      <c r="EE392" s="397"/>
      <c r="EK392" s="397"/>
      <c r="EQ392" s="397"/>
      <c r="EW392" s="397"/>
      <c r="FC392" s="397"/>
      <c r="FI392" s="397"/>
      <c r="FO392" s="397"/>
      <c r="FU392" s="397"/>
      <c r="GA392" s="397"/>
      <c r="GG392" s="397"/>
      <c r="GM392" s="397"/>
      <c r="GS392" s="397"/>
      <c r="GY392" s="397"/>
      <c r="HE392" s="397"/>
    </row>
    <row r="393" spans="117:213">
      <c r="DM393" s="394"/>
      <c r="DS393" s="394"/>
      <c r="DY393" s="394"/>
      <c r="EE393" s="394"/>
      <c r="EK393" s="394"/>
      <c r="EQ393" s="394"/>
      <c r="EW393" s="394"/>
      <c r="FC393" s="394"/>
      <c r="FI393" s="503"/>
      <c r="FO393" s="394"/>
      <c r="FU393" s="394"/>
      <c r="GA393" s="394"/>
      <c r="GG393" s="394"/>
      <c r="GM393" s="394"/>
      <c r="GS393" s="394"/>
      <c r="GY393" s="394"/>
      <c r="HE393" s="394"/>
    </row>
    <row r="394" spans="117:213">
      <c r="DM394" s="402"/>
      <c r="DS394" s="402"/>
      <c r="DY394" s="402"/>
      <c r="EE394" s="402"/>
      <c r="EK394" s="402"/>
      <c r="EQ394" s="402"/>
      <c r="EW394" s="402"/>
      <c r="FC394" s="402"/>
      <c r="FI394" s="423"/>
      <c r="FO394" s="402"/>
      <c r="FU394" s="402"/>
      <c r="GA394" s="402"/>
      <c r="GG394" s="402"/>
      <c r="GM394" s="402"/>
      <c r="GS394" s="402"/>
      <c r="GY394" s="402"/>
      <c r="HE394" s="402"/>
    </row>
    <row r="395" spans="117:213">
      <c r="DM395" s="402"/>
      <c r="DS395" s="402"/>
      <c r="DY395" s="402"/>
      <c r="EE395" s="402"/>
      <c r="EK395" s="402"/>
      <c r="EQ395" s="402"/>
      <c r="EW395" s="402"/>
      <c r="FC395" s="402"/>
      <c r="FI395" s="402"/>
      <c r="FO395" s="402"/>
      <c r="FU395" s="402"/>
      <c r="GA395" s="402"/>
      <c r="GG395" s="402"/>
      <c r="GM395" s="402"/>
      <c r="GS395" s="402"/>
      <c r="GY395" s="402"/>
      <c r="HE395" s="402"/>
    </row>
    <row r="397" spans="117:213">
      <c r="DM397" s="399"/>
      <c r="DS397" s="399"/>
      <c r="DY397" s="399"/>
      <c r="EE397" s="399"/>
      <c r="EK397" s="399"/>
      <c r="EQ397" s="399"/>
      <c r="EW397" s="399"/>
      <c r="FC397" s="399"/>
      <c r="FI397" s="399"/>
      <c r="FO397" s="399"/>
      <c r="FU397" s="399"/>
      <c r="GA397" s="399"/>
      <c r="GG397" s="399"/>
      <c r="GM397" s="399"/>
      <c r="GS397" s="399"/>
      <c r="GY397" s="399"/>
      <c r="HE397" s="399"/>
    </row>
    <row r="398" spans="117:213">
      <c r="DM398" s="397"/>
      <c r="DS398" s="397"/>
      <c r="DY398" s="397"/>
      <c r="EE398" s="397"/>
      <c r="EK398" s="397"/>
      <c r="EQ398" s="397"/>
      <c r="EW398" s="397"/>
      <c r="FC398" s="397"/>
      <c r="FI398" s="397"/>
      <c r="FO398" s="397"/>
      <c r="FU398" s="397"/>
      <c r="GA398" s="397"/>
      <c r="GG398" s="397"/>
      <c r="GM398" s="397"/>
      <c r="GS398" s="397"/>
      <c r="GY398" s="397"/>
      <c r="HE398" s="397"/>
    </row>
    <row r="399" spans="117:213">
      <c r="DM399" s="397"/>
      <c r="DS399" s="397"/>
      <c r="DY399" s="397"/>
      <c r="EE399" s="397"/>
      <c r="EK399" s="397"/>
      <c r="EQ399" s="397"/>
      <c r="EW399" s="397"/>
      <c r="FC399" s="397"/>
      <c r="FI399" s="397"/>
      <c r="FO399" s="397"/>
      <c r="FU399" s="397"/>
      <c r="GA399" s="397"/>
      <c r="GG399" s="397"/>
      <c r="GM399" s="397"/>
      <c r="GS399" s="397"/>
      <c r="GY399" s="397"/>
      <c r="HE399" s="397"/>
    </row>
    <row r="400" spans="117:213">
      <c r="DM400" s="397"/>
      <c r="DS400" s="397"/>
      <c r="DY400" s="397"/>
      <c r="EE400" s="397"/>
      <c r="EK400" s="397"/>
      <c r="EQ400" s="397"/>
      <c r="EW400" s="397"/>
      <c r="FC400" s="397"/>
      <c r="FI400" s="397"/>
      <c r="FO400" s="397"/>
      <c r="FU400" s="397"/>
      <c r="GA400" s="397"/>
      <c r="GG400" s="397"/>
      <c r="GM400" s="397"/>
      <c r="GS400" s="397"/>
      <c r="GY400" s="397"/>
      <c r="HE400" s="397"/>
    </row>
    <row r="401" spans="117:213">
      <c r="DM401" s="397"/>
      <c r="DS401" s="397"/>
      <c r="DY401" s="397"/>
      <c r="EE401" s="397"/>
      <c r="EK401" s="397"/>
      <c r="EQ401" s="397"/>
      <c r="EW401" s="397"/>
      <c r="FC401" s="397"/>
      <c r="FI401" s="397"/>
      <c r="FO401" s="397"/>
      <c r="FU401" s="397"/>
      <c r="GA401" s="397"/>
      <c r="GG401" s="397"/>
      <c r="GM401" s="397"/>
      <c r="GS401" s="397"/>
      <c r="GY401" s="397"/>
      <c r="HE401" s="397"/>
    </row>
    <row r="402" spans="117:213">
      <c r="DM402" s="402"/>
      <c r="DS402" s="402"/>
      <c r="DY402" s="402"/>
      <c r="EE402" s="402"/>
      <c r="EK402" s="402"/>
      <c r="EQ402" s="402"/>
      <c r="EW402" s="402"/>
      <c r="FC402" s="402"/>
      <c r="FI402" s="423"/>
      <c r="FO402" s="402"/>
      <c r="FU402" s="402"/>
      <c r="GA402" s="402"/>
      <c r="GG402" s="402"/>
      <c r="GM402" s="402"/>
      <c r="GS402" s="402"/>
      <c r="GY402" s="402"/>
      <c r="HE402" s="402"/>
    </row>
    <row r="404" spans="117:213">
      <c r="DM404" s="403"/>
      <c r="DS404" s="403"/>
      <c r="DY404" s="403"/>
      <c r="EE404" s="403"/>
      <c r="EK404" s="403"/>
      <c r="EQ404" s="403"/>
      <c r="EW404" s="403"/>
      <c r="FC404" s="403"/>
      <c r="FI404" s="403"/>
      <c r="FO404" s="403"/>
      <c r="FU404" s="403"/>
      <c r="GA404" s="403"/>
      <c r="GG404" s="403"/>
      <c r="GM404" s="403"/>
      <c r="GS404" s="403"/>
      <c r="GY404" s="403"/>
      <c r="HE404" s="403"/>
    </row>
    <row r="407" spans="117:213">
      <c r="DM407" s="396"/>
      <c r="DS407" s="396"/>
      <c r="DY407" s="396"/>
      <c r="EE407" s="396"/>
      <c r="EK407" s="396"/>
      <c r="EQ407" s="396"/>
      <c r="EW407" s="396"/>
      <c r="FC407" s="396"/>
      <c r="FI407" s="396"/>
      <c r="FO407" s="396"/>
      <c r="FU407" s="396"/>
      <c r="GA407" s="396"/>
      <c r="GG407" s="396"/>
      <c r="GM407" s="396"/>
      <c r="GS407" s="396"/>
      <c r="GY407" s="396"/>
      <c r="HE407" s="396"/>
    </row>
    <row r="408" spans="117:213">
      <c r="DM408" s="396"/>
      <c r="DS408" s="396"/>
      <c r="DY408" s="396"/>
      <c r="EE408" s="396"/>
      <c r="EK408" s="396"/>
      <c r="EQ408" s="396"/>
      <c r="EW408" s="396"/>
      <c r="FC408" s="396"/>
      <c r="FI408" s="396"/>
      <c r="FO408" s="396"/>
      <c r="FU408" s="396"/>
      <c r="GA408" s="396"/>
      <c r="GG408" s="396"/>
      <c r="GM408" s="396"/>
      <c r="GS408" s="396"/>
      <c r="GY408" s="396"/>
      <c r="HE408" s="396"/>
    </row>
    <row r="409" spans="117:213">
      <c r="DM409" s="404"/>
      <c r="DS409" s="404"/>
      <c r="DY409" s="404"/>
      <c r="EE409" s="404"/>
      <c r="EK409" s="404"/>
      <c r="EQ409" s="404"/>
      <c r="EW409" s="404"/>
      <c r="FC409" s="404"/>
      <c r="FI409" s="404"/>
      <c r="FO409" s="404"/>
      <c r="FU409" s="404"/>
      <c r="GA409" s="404"/>
      <c r="GG409" s="404"/>
      <c r="GM409" s="404"/>
      <c r="GS409" s="404"/>
      <c r="GY409" s="404"/>
      <c r="HE409" s="404"/>
    </row>
    <row r="411" spans="117:213">
      <c r="DM411" s="396"/>
      <c r="DS411" s="396"/>
      <c r="DY411" s="396"/>
      <c r="EE411" s="396"/>
      <c r="EK411" s="396"/>
      <c r="EQ411" s="396"/>
      <c r="EW411" s="396"/>
      <c r="FC411" s="396"/>
      <c r="FI411" s="396"/>
      <c r="FO411" s="396"/>
      <c r="FU411" s="396"/>
      <c r="GA411" s="396"/>
      <c r="GG411" s="396"/>
      <c r="GM411" s="396"/>
      <c r="GS411" s="396"/>
      <c r="GY411" s="396"/>
      <c r="HE411" s="396"/>
    </row>
    <row r="414" spans="117:213">
      <c r="DM414" s="403"/>
      <c r="DS414" s="403"/>
      <c r="DY414" s="403"/>
      <c r="EE414" s="403"/>
      <c r="EK414" s="403"/>
      <c r="EQ414" s="403"/>
      <c r="EW414" s="403"/>
      <c r="FC414" s="403"/>
      <c r="FI414" s="403"/>
      <c r="FO414" s="403"/>
      <c r="FU414" s="403"/>
      <c r="GA414" s="403"/>
      <c r="GG414" s="403"/>
      <c r="GM414" s="403"/>
      <c r="GS414" s="403"/>
      <c r="GY414" s="403"/>
      <c r="HE414" s="403"/>
    </row>
    <row r="416" spans="117:213">
      <c r="DM416" s="396"/>
      <c r="DS416" s="396"/>
      <c r="DY416" s="396"/>
      <c r="EE416" s="396"/>
      <c r="EK416" s="396"/>
      <c r="EQ416" s="396"/>
      <c r="EW416" s="396"/>
      <c r="FC416" s="396"/>
      <c r="FI416" s="396"/>
      <c r="FO416" s="396"/>
      <c r="FU416" s="396"/>
      <c r="GA416" s="396"/>
      <c r="GG416" s="396"/>
      <c r="GM416" s="396"/>
      <c r="GS416" s="396"/>
      <c r="GY416" s="396"/>
      <c r="HE416" s="396"/>
    </row>
    <row r="417" spans="117:213">
      <c r="DM417" s="396"/>
      <c r="DS417" s="396"/>
      <c r="DY417" s="396"/>
      <c r="EE417" s="396"/>
      <c r="EK417" s="396"/>
      <c r="EQ417" s="396"/>
      <c r="EW417" s="396"/>
      <c r="FC417" s="396"/>
      <c r="FI417" s="396"/>
      <c r="FO417" s="396"/>
      <c r="FU417" s="396"/>
      <c r="GA417" s="396"/>
      <c r="GG417" s="396"/>
      <c r="GM417" s="396"/>
      <c r="GS417" s="396"/>
      <c r="GY417" s="396"/>
      <c r="HE417" s="396"/>
    </row>
    <row r="418" spans="117:213">
      <c r="DM418" s="396"/>
      <c r="DS418" s="396"/>
      <c r="DY418" s="396"/>
      <c r="EE418" s="396"/>
      <c r="EK418" s="396"/>
      <c r="EQ418" s="396"/>
      <c r="EW418" s="396"/>
      <c r="FC418" s="396"/>
      <c r="FI418" s="396"/>
      <c r="FO418" s="396"/>
      <c r="FU418" s="396"/>
      <c r="GA418" s="396"/>
      <c r="GG418" s="396"/>
      <c r="GM418" s="396"/>
      <c r="GS418" s="396"/>
      <c r="GY418" s="396"/>
      <c r="HE418" s="396"/>
    </row>
    <row r="419" spans="117:213">
      <c r="DM419" s="396"/>
      <c r="DS419" s="396"/>
      <c r="DY419" s="396"/>
      <c r="EE419" s="396"/>
      <c r="EK419" s="396"/>
      <c r="EQ419" s="396"/>
      <c r="EW419" s="396"/>
      <c r="FC419" s="396"/>
      <c r="FI419" s="396"/>
      <c r="FO419" s="396"/>
      <c r="FU419" s="396"/>
      <c r="GA419" s="396"/>
      <c r="GG419" s="396"/>
      <c r="GM419" s="396"/>
      <c r="GS419" s="396"/>
      <c r="GY419" s="396"/>
      <c r="HE419" s="396"/>
    </row>
    <row r="420" spans="117:213">
      <c r="DM420" s="396"/>
      <c r="DS420" s="396"/>
      <c r="DY420" s="396"/>
      <c r="EE420" s="396"/>
      <c r="EK420" s="396"/>
      <c r="EQ420" s="396"/>
      <c r="EW420" s="396"/>
      <c r="FC420" s="396"/>
      <c r="FI420" s="396"/>
      <c r="FO420" s="396"/>
      <c r="FU420" s="396"/>
      <c r="GA420" s="396"/>
      <c r="GG420" s="396"/>
      <c r="GM420" s="396"/>
      <c r="GS420" s="396"/>
      <c r="GY420" s="396"/>
      <c r="HE420" s="396"/>
    </row>
    <row r="421" spans="117:213">
      <c r="DM421" s="396"/>
      <c r="DS421" s="396"/>
      <c r="DY421" s="396"/>
      <c r="EE421" s="396"/>
      <c r="EK421" s="396"/>
      <c r="EQ421" s="396"/>
      <c r="EW421" s="396"/>
      <c r="FC421" s="396"/>
      <c r="FI421" s="396"/>
      <c r="FO421" s="396"/>
      <c r="FU421" s="396"/>
      <c r="GA421" s="396"/>
      <c r="GG421" s="396"/>
      <c r="GM421" s="396"/>
      <c r="GS421" s="396"/>
      <c r="GY421" s="396"/>
      <c r="HE421" s="396"/>
    </row>
    <row r="422" spans="117:213">
      <c r="DM422" s="396"/>
      <c r="DS422" s="396"/>
      <c r="DY422" s="396"/>
      <c r="EE422" s="396"/>
      <c r="EK422" s="396"/>
      <c r="EQ422" s="396"/>
      <c r="EW422" s="396"/>
      <c r="FC422" s="396"/>
      <c r="FI422" s="396"/>
      <c r="FO422" s="396"/>
      <c r="FU422" s="396"/>
      <c r="GA422" s="396"/>
      <c r="GG422" s="396"/>
      <c r="GM422" s="396"/>
      <c r="GS422" s="396"/>
      <c r="GY422" s="396"/>
      <c r="HE422" s="396"/>
    </row>
    <row r="423" spans="117:213">
      <c r="DM423" s="396"/>
      <c r="DS423" s="396"/>
      <c r="DY423" s="396"/>
      <c r="EE423" s="396"/>
      <c r="EK423" s="396"/>
      <c r="EQ423" s="396"/>
      <c r="EW423" s="396"/>
      <c r="FC423" s="396"/>
      <c r="FI423" s="396"/>
      <c r="FO423" s="396"/>
      <c r="FU423" s="396"/>
      <c r="GA423" s="396"/>
      <c r="GG423" s="396"/>
      <c r="GM423" s="396"/>
      <c r="GS423" s="396"/>
      <c r="GY423" s="396"/>
      <c r="HE423" s="396"/>
    </row>
    <row r="424" spans="117:213">
      <c r="DM424" s="397"/>
      <c r="DS424" s="397"/>
      <c r="DY424" s="397"/>
      <c r="EE424" s="397"/>
      <c r="EK424" s="397"/>
      <c r="EQ424" s="397"/>
      <c r="EW424" s="397"/>
      <c r="FC424" s="397"/>
      <c r="FI424" s="397"/>
      <c r="FO424" s="397"/>
      <c r="FU424" s="397"/>
      <c r="GA424" s="397"/>
      <c r="GG424" s="397"/>
      <c r="GM424" s="397"/>
      <c r="GS424" s="397"/>
      <c r="GY424" s="397"/>
      <c r="HE424" s="397"/>
    </row>
    <row r="425" spans="117:213">
      <c r="DM425" s="397"/>
      <c r="DS425" s="397"/>
      <c r="DY425" s="397"/>
      <c r="EE425" s="397"/>
      <c r="EK425" s="397"/>
      <c r="EQ425" s="397"/>
      <c r="EW425" s="397"/>
      <c r="FC425" s="397"/>
      <c r="FI425" s="397"/>
      <c r="FO425" s="397"/>
      <c r="FU425" s="397"/>
      <c r="GA425" s="397"/>
      <c r="GG425" s="397"/>
      <c r="GM425" s="397"/>
      <c r="GS425" s="397"/>
      <c r="GY425" s="397"/>
      <c r="HE425" s="397"/>
    </row>
    <row r="426" spans="117:213">
      <c r="DM426" s="396"/>
      <c r="DS426" s="396"/>
      <c r="DY426" s="396"/>
      <c r="EE426" s="396"/>
      <c r="EK426" s="396"/>
      <c r="EQ426" s="396"/>
      <c r="EW426" s="396"/>
      <c r="FC426" s="396"/>
      <c r="FI426" s="396"/>
      <c r="FO426" s="396"/>
      <c r="FU426" s="396"/>
      <c r="GA426" s="396"/>
      <c r="GG426" s="396"/>
      <c r="GM426" s="396"/>
      <c r="GS426" s="396"/>
      <c r="GY426" s="396"/>
      <c r="HE426" s="396"/>
    </row>
    <row r="427" spans="117:213">
      <c r="DM427" s="403"/>
      <c r="DS427" s="403"/>
      <c r="DY427" s="403"/>
      <c r="EE427" s="403"/>
      <c r="EK427" s="403"/>
      <c r="EQ427" s="403"/>
      <c r="EW427" s="403"/>
      <c r="FC427" s="403"/>
      <c r="FI427" s="403"/>
      <c r="FO427" s="403"/>
      <c r="FU427" s="403"/>
      <c r="GA427" s="403"/>
      <c r="GG427" s="403"/>
      <c r="GM427" s="403"/>
      <c r="GS427" s="403"/>
      <c r="GY427" s="403"/>
      <c r="HE427" s="403"/>
    </row>
    <row r="428" spans="117:213">
      <c r="DM428" s="396"/>
      <c r="DS428" s="396"/>
      <c r="DY428" s="396"/>
      <c r="EE428" s="396"/>
      <c r="EK428" s="396"/>
      <c r="EQ428" s="396"/>
      <c r="EW428" s="396"/>
      <c r="FC428" s="396"/>
      <c r="FI428" s="396"/>
      <c r="FO428" s="396"/>
      <c r="FU428" s="396"/>
      <c r="GA428" s="396"/>
      <c r="GG428" s="396"/>
      <c r="GM428" s="396"/>
      <c r="GS428" s="396"/>
      <c r="GY428" s="396"/>
      <c r="HE428" s="396"/>
    </row>
    <row r="429" spans="117:213">
      <c r="DM429" s="397"/>
      <c r="DS429" s="397"/>
      <c r="DY429" s="397"/>
      <c r="EE429" s="397"/>
      <c r="EK429" s="397"/>
      <c r="EQ429" s="397"/>
      <c r="EW429" s="397"/>
      <c r="FC429" s="397"/>
      <c r="FI429" s="397"/>
      <c r="FO429" s="397"/>
      <c r="FU429" s="397"/>
      <c r="GA429" s="397"/>
      <c r="GG429" s="397"/>
      <c r="GM429" s="397"/>
      <c r="GS429" s="397"/>
      <c r="GY429" s="397"/>
      <c r="HE429" s="397"/>
    </row>
    <row r="430" spans="117:213">
      <c r="DM430" s="396"/>
      <c r="DS430" s="396"/>
      <c r="DY430" s="396"/>
      <c r="EE430" s="396"/>
      <c r="EK430" s="396"/>
      <c r="EQ430" s="396"/>
      <c r="EW430" s="396"/>
      <c r="FC430" s="396"/>
      <c r="FI430" s="396"/>
      <c r="FO430" s="396"/>
      <c r="FU430" s="396"/>
      <c r="GA430" s="396"/>
      <c r="GG430" s="396"/>
      <c r="GM430" s="396"/>
      <c r="GS430" s="396"/>
      <c r="GY430" s="396"/>
      <c r="HE430" s="396"/>
    </row>
    <row r="431" spans="117:213">
      <c r="DM431" s="396"/>
      <c r="DS431" s="396"/>
      <c r="DY431" s="396"/>
      <c r="EE431" s="396"/>
      <c r="EK431" s="396"/>
      <c r="EQ431" s="396"/>
      <c r="EW431" s="396"/>
      <c r="FC431" s="396"/>
      <c r="FI431" s="396"/>
      <c r="FO431" s="396"/>
      <c r="FU431" s="396"/>
      <c r="GA431" s="396"/>
      <c r="GG431" s="396"/>
      <c r="GM431" s="396"/>
      <c r="GS431" s="396"/>
      <c r="GY431" s="396"/>
      <c r="HE431" s="396"/>
    </row>
    <row r="432" spans="117:213">
      <c r="DM432" s="396"/>
      <c r="DS432" s="396"/>
      <c r="DY432" s="396"/>
      <c r="EE432" s="396"/>
      <c r="EK432" s="396"/>
      <c r="EQ432" s="396"/>
      <c r="EW432" s="396"/>
      <c r="FC432" s="396"/>
      <c r="FI432" s="396"/>
      <c r="FO432" s="396"/>
      <c r="FU432" s="396"/>
      <c r="GA432" s="396"/>
      <c r="GG432" s="396"/>
      <c r="GM432" s="396"/>
      <c r="GS432" s="396"/>
      <c r="GY432" s="396"/>
      <c r="HE432" s="396"/>
    </row>
    <row r="433" spans="117:213">
      <c r="DM433" s="396"/>
      <c r="DS433" s="396"/>
      <c r="DY433" s="396"/>
      <c r="EE433" s="396"/>
      <c r="EK433" s="396"/>
      <c r="EQ433" s="396"/>
      <c r="EW433" s="396"/>
      <c r="FC433" s="396"/>
      <c r="FI433" s="396"/>
      <c r="FO433" s="396"/>
      <c r="FU433" s="396"/>
      <c r="GA433" s="396"/>
      <c r="GG433" s="396"/>
      <c r="GM433" s="396"/>
      <c r="GS433" s="396"/>
      <c r="GY433" s="396"/>
      <c r="HE433" s="396"/>
    </row>
    <row r="434" spans="117:213">
      <c r="DM434" s="397"/>
      <c r="DS434" s="397"/>
      <c r="DY434" s="397"/>
      <c r="EE434" s="397"/>
      <c r="EK434" s="397"/>
      <c r="EQ434" s="397"/>
      <c r="EW434" s="397"/>
      <c r="FC434" s="397"/>
      <c r="FI434" s="397"/>
      <c r="FO434" s="397"/>
      <c r="FU434" s="397"/>
      <c r="GA434" s="397"/>
      <c r="GG434" s="397"/>
      <c r="GM434" s="397"/>
      <c r="GS434" s="397"/>
      <c r="GY434" s="397"/>
      <c r="HE434" s="397"/>
    </row>
    <row r="435" spans="117:213">
      <c r="DM435" s="397"/>
      <c r="DS435" s="397"/>
      <c r="DY435" s="397"/>
      <c r="EE435" s="397"/>
      <c r="EK435" s="397"/>
      <c r="EQ435" s="397"/>
      <c r="EW435" s="397"/>
      <c r="FC435" s="397"/>
      <c r="FI435" s="397"/>
      <c r="FO435" s="397"/>
      <c r="FU435" s="397"/>
      <c r="GA435" s="397"/>
      <c r="GG435" s="397"/>
      <c r="GM435" s="397"/>
      <c r="GS435" s="397"/>
      <c r="GY435" s="397"/>
      <c r="HE435" s="397"/>
    </row>
    <row r="436" spans="117:213">
      <c r="DM436" s="396"/>
      <c r="DS436" s="396"/>
      <c r="DY436" s="396"/>
      <c r="EE436" s="396"/>
      <c r="EK436" s="396"/>
      <c r="EQ436" s="396"/>
      <c r="EW436" s="396"/>
      <c r="FC436" s="396"/>
      <c r="FI436" s="396"/>
      <c r="FO436" s="396"/>
      <c r="FU436" s="396"/>
      <c r="GA436" s="396"/>
      <c r="GG436" s="396"/>
      <c r="GM436" s="396"/>
      <c r="GS436" s="396"/>
      <c r="GY436" s="396"/>
      <c r="HE436" s="396"/>
    </row>
    <row r="437" spans="117:213">
      <c r="DM437" s="396"/>
      <c r="DS437" s="396"/>
      <c r="DY437" s="396"/>
      <c r="EE437" s="396"/>
      <c r="EK437" s="396"/>
      <c r="EQ437" s="396"/>
      <c r="EW437" s="396"/>
      <c r="FC437" s="396"/>
      <c r="FI437" s="396"/>
      <c r="FO437" s="396"/>
      <c r="FU437" s="396"/>
      <c r="GA437" s="396"/>
      <c r="GG437" s="396"/>
      <c r="GM437" s="396"/>
      <c r="GS437" s="396"/>
      <c r="GY437" s="396"/>
      <c r="HE437" s="396"/>
    </row>
    <row r="438" spans="117:213">
      <c r="DM438" s="397"/>
      <c r="DS438" s="397"/>
      <c r="DY438" s="397"/>
      <c r="EE438" s="397"/>
      <c r="EK438" s="397"/>
      <c r="EQ438" s="397"/>
      <c r="EW438" s="397"/>
      <c r="FC438" s="397"/>
      <c r="FI438" s="397"/>
      <c r="FO438" s="397"/>
      <c r="FU438" s="397"/>
      <c r="GA438" s="397"/>
      <c r="GG438" s="397"/>
      <c r="GM438" s="397"/>
      <c r="GS438" s="397"/>
      <c r="GY438" s="397"/>
      <c r="HE438" s="397"/>
    </row>
    <row r="439" spans="117:213">
      <c r="DM439" s="397"/>
      <c r="DS439" s="397"/>
      <c r="DY439" s="397"/>
      <c r="EE439" s="397"/>
      <c r="EK439" s="397"/>
      <c r="EQ439" s="397"/>
      <c r="EW439" s="397"/>
      <c r="FC439" s="397"/>
      <c r="FI439" s="397"/>
      <c r="FO439" s="397"/>
      <c r="FU439" s="397"/>
      <c r="GA439" s="397"/>
      <c r="GG439" s="397"/>
      <c r="GM439" s="397"/>
      <c r="GS439" s="397"/>
      <c r="GY439" s="397"/>
      <c r="HE439" s="397"/>
    </row>
    <row r="440" spans="117:213">
      <c r="DM440" s="396"/>
      <c r="DS440" s="396"/>
      <c r="DY440" s="396"/>
      <c r="EE440" s="396"/>
      <c r="EK440" s="396"/>
      <c r="EQ440" s="396"/>
      <c r="EW440" s="396"/>
      <c r="FC440" s="396"/>
      <c r="FI440" s="396"/>
      <c r="FO440" s="396"/>
      <c r="FU440" s="396"/>
      <c r="GA440" s="396"/>
      <c r="GG440" s="396"/>
      <c r="GM440" s="396"/>
      <c r="GS440" s="396"/>
      <c r="GY440" s="396"/>
      <c r="HE440" s="396"/>
    </row>
    <row r="441" spans="117:213">
      <c r="DM441" s="396"/>
      <c r="DS441" s="396"/>
      <c r="DY441" s="396"/>
      <c r="EE441" s="396"/>
      <c r="EK441" s="396"/>
      <c r="EQ441" s="396"/>
      <c r="EW441" s="396"/>
      <c r="FC441" s="396"/>
      <c r="FI441" s="396"/>
      <c r="FO441" s="396"/>
      <c r="FU441" s="396"/>
      <c r="GA441" s="396"/>
      <c r="GG441" s="396"/>
      <c r="GM441" s="396"/>
      <c r="GS441" s="396"/>
      <c r="GY441" s="396"/>
      <c r="HE441" s="396"/>
    </row>
    <row r="442" spans="117:213">
      <c r="DM442" s="396"/>
      <c r="DS442" s="396"/>
      <c r="DY442" s="396"/>
      <c r="EE442" s="396"/>
      <c r="EK442" s="396"/>
      <c r="EQ442" s="396"/>
      <c r="EW442" s="396"/>
      <c r="FC442" s="396"/>
      <c r="FI442" s="396"/>
      <c r="FO442" s="396"/>
      <c r="FU442" s="396"/>
      <c r="GA442" s="396"/>
      <c r="GG442" s="396"/>
      <c r="GM442" s="396"/>
      <c r="GS442" s="396"/>
      <c r="GY442" s="396"/>
      <c r="HE442" s="396"/>
    </row>
    <row r="443" spans="117:213">
      <c r="DM443" s="396"/>
      <c r="DS443" s="396"/>
      <c r="DY443" s="396"/>
      <c r="EE443" s="396"/>
      <c r="EK443" s="396"/>
      <c r="EQ443" s="396"/>
      <c r="EW443" s="396"/>
      <c r="FC443" s="396"/>
      <c r="FI443" s="396"/>
      <c r="FO443" s="396"/>
      <c r="FU443" s="396"/>
      <c r="GA443" s="396"/>
      <c r="GG443" s="396"/>
      <c r="GM443" s="396"/>
      <c r="GS443" s="396"/>
      <c r="GY443" s="396"/>
      <c r="HE443" s="396"/>
    </row>
    <row r="444" spans="117:213">
      <c r="DM444" s="397"/>
      <c r="DS444" s="397"/>
      <c r="DY444" s="397"/>
      <c r="EE444" s="397"/>
      <c r="EK444" s="397"/>
      <c r="EQ444" s="397"/>
      <c r="EW444" s="397"/>
      <c r="FC444" s="397"/>
      <c r="FI444" s="397"/>
      <c r="FO444" s="397"/>
      <c r="FU444" s="397"/>
      <c r="GA444" s="397"/>
      <c r="GG444" s="397"/>
      <c r="GM444" s="397"/>
      <c r="GS444" s="397"/>
      <c r="GY444" s="397"/>
      <c r="HE444" s="397"/>
    </row>
    <row r="445" spans="117:213">
      <c r="DM445" s="397"/>
      <c r="DS445" s="397"/>
      <c r="DY445" s="397"/>
      <c r="EE445" s="397"/>
      <c r="EK445" s="397"/>
      <c r="EQ445" s="397"/>
      <c r="EW445" s="397"/>
      <c r="FC445" s="397"/>
      <c r="FI445" s="397"/>
      <c r="FO445" s="397"/>
      <c r="FU445" s="397"/>
      <c r="GA445" s="397"/>
      <c r="GG445" s="397"/>
      <c r="GM445" s="397"/>
      <c r="GS445" s="397"/>
      <c r="GY445" s="397"/>
      <c r="HE445" s="397"/>
    </row>
    <row r="446" spans="117:213">
      <c r="DM446" s="396"/>
      <c r="DS446" s="396"/>
      <c r="DY446" s="396"/>
      <c r="EE446" s="396"/>
      <c r="EK446" s="396"/>
      <c r="EQ446" s="396"/>
      <c r="EW446" s="396"/>
      <c r="FC446" s="396"/>
      <c r="FI446" s="396"/>
      <c r="FO446" s="396"/>
      <c r="FU446" s="396"/>
      <c r="GA446" s="396"/>
      <c r="GG446" s="396"/>
      <c r="GM446" s="396"/>
      <c r="GS446" s="396"/>
      <c r="GY446" s="396"/>
      <c r="HE446" s="396"/>
    </row>
    <row r="447" spans="117:213">
      <c r="DM447" s="397"/>
      <c r="DS447" s="397"/>
      <c r="DY447" s="397"/>
      <c r="EE447" s="397"/>
      <c r="EK447" s="397"/>
      <c r="EQ447" s="397"/>
      <c r="EW447" s="397"/>
      <c r="FC447" s="397"/>
      <c r="FI447" s="397"/>
      <c r="FO447" s="397"/>
      <c r="FU447" s="397"/>
      <c r="GA447" s="397"/>
      <c r="GG447" s="397"/>
      <c r="GM447" s="397"/>
      <c r="GS447" s="397"/>
      <c r="GY447" s="397"/>
      <c r="HE447" s="397"/>
    </row>
    <row r="448" spans="117:213">
      <c r="DM448" s="397"/>
      <c r="DS448" s="397"/>
      <c r="DY448" s="397"/>
      <c r="EE448" s="397"/>
      <c r="EK448" s="397"/>
      <c r="EQ448" s="397"/>
      <c r="EW448" s="397"/>
      <c r="FC448" s="397"/>
      <c r="FI448" s="397"/>
      <c r="FO448" s="397"/>
      <c r="FU448" s="397"/>
      <c r="GA448" s="397"/>
      <c r="GG448" s="397"/>
      <c r="GM448" s="397"/>
      <c r="GS448" s="397"/>
      <c r="GY448" s="397"/>
      <c r="HE448" s="397"/>
    </row>
    <row r="449" spans="117:213">
      <c r="DM449" s="396"/>
      <c r="DS449" s="396"/>
      <c r="DY449" s="396"/>
      <c r="EE449" s="396"/>
      <c r="EK449" s="396"/>
      <c r="EQ449" s="396"/>
      <c r="EW449" s="396"/>
      <c r="FC449" s="396"/>
      <c r="FI449" s="396"/>
      <c r="FO449" s="396"/>
      <c r="FU449" s="396"/>
      <c r="GA449" s="396"/>
      <c r="GG449" s="396"/>
      <c r="GM449" s="396"/>
      <c r="GS449" s="396"/>
      <c r="GY449" s="396"/>
      <c r="HE449" s="396"/>
    </row>
    <row r="450" spans="117:213">
      <c r="DM450" s="396"/>
      <c r="DS450" s="396"/>
      <c r="DY450" s="396"/>
      <c r="EE450" s="396"/>
      <c r="EK450" s="396"/>
      <c r="EQ450" s="396"/>
      <c r="EW450" s="396"/>
      <c r="FC450" s="396"/>
      <c r="FI450" s="396"/>
      <c r="FO450" s="396"/>
      <c r="FU450" s="396"/>
      <c r="GA450" s="396"/>
      <c r="GG450" s="396"/>
      <c r="GM450" s="396"/>
      <c r="GS450" s="396"/>
      <c r="GY450" s="396"/>
      <c r="HE450" s="396"/>
    </row>
    <row r="451" spans="117:213">
      <c r="DM451" s="397"/>
      <c r="DS451" s="397"/>
      <c r="DY451" s="397"/>
      <c r="EE451" s="397"/>
      <c r="EK451" s="397"/>
      <c r="EQ451" s="397"/>
      <c r="EW451" s="397"/>
      <c r="FC451" s="397"/>
      <c r="FI451" s="397"/>
      <c r="FO451" s="397"/>
      <c r="FU451" s="397"/>
      <c r="GA451" s="397"/>
      <c r="GG451" s="397"/>
      <c r="GM451" s="397"/>
      <c r="GS451" s="397"/>
      <c r="GY451" s="397"/>
      <c r="HE451" s="397"/>
    </row>
    <row r="452" spans="117:213">
      <c r="DM452" s="397"/>
      <c r="DS452" s="397"/>
      <c r="DY452" s="397"/>
      <c r="EE452" s="397"/>
      <c r="EK452" s="397"/>
      <c r="EQ452" s="397"/>
      <c r="EW452" s="397"/>
      <c r="FC452" s="397"/>
      <c r="FI452" s="397"/>
      <c r="FO452" s="397"/>
      <c r="FU452" s="397"/>
      <c r="GA452" s="397"/>
      <c r="GG452" s="397"/>
      <c r="GM452" s="397"/>
      <c r="GS452" s="397"/>
      <c r="GY452" s="397"/>
      <c r="HE452" s="397"/>
    </row>
    <row r="453" spans="117:213">
      <c r="DM453" s="396"/>
      <c r="DS453" s="396"/>
      <c r="DY453" s="396"/>
      <c r="EE453" s="396"/>
      <c r="EK453" s="396"/>
      <c r="EQ453" s="396"/>
      <c r="EW453" s="396"/>
      <c r="FC453" s="396"/>
      <c r="FI453" s="396"/>
      <c r="FO453" s="396"/>
      <c r="FU453" s="396"/>
      <c r="GA453" s="396"/>
      <c r="GG453" s="396"/>
      <c r="GM453" s="396"/>
      <c r="GS453" s="396"/>
      <c r="GY453" s="396"/>
      <c r="HE453" s="396"/>
    </row>
    <row r="454" spans="117:213">
      <c r="DM454" s="396"/>
      <c r="DS454" s="396"/>
      <c r="DY454" s="396"/>
      <c r="EE454" s="396"/>
      <c r="EK454" s="396"/>
      <c r="EQ454" s="396"/>
      <c r="EW454" s="396"/>
      <c r="FC454" s="396"/>
      <c r="FI454" s="396"/>
      <c r="FO454" s="396"/>
      <c r="FU454" s="396"/>
      <c r="GA454" s="396"/>
      <c r="GG454" s="396"/>
      <c r="GM454" s="396"/>
      <c r="GS454" s="396"/>
      <c r="GY454" s="396"/>
      <c r="HE454" s="396"/>
    </row>
    <row r="455" spans="117:213">
      <c r="DM455" s="396"/>
      <c r="DS455" s="396"/>
      <c r="DY455" s="396"/>
      <c r="EE455" s="396"/>
      <c r="EK455" s="396"/>
      <c r="EQ455" s="396"/>
      <c r="EW455" s="396"/>
      <c r="FC455" s="396"/>
      <c r="FI455" s="396"/>
      <c r="FO455" s="396"/>
      <c r="FU455" s="396"/>
      <c r="GA455" s="396"/>
      <c r="GG455" s="396"/>
      <c r="GM455" s="396"/>
      <c r="GS455" s="396"/>
      <c r="GY455" s="396"/>
      <c r="HE455" s="396"/>
    </row>
    <row r="456" spans="117:213">
      <c r="DM456" s="396"/>
      <c r="DS456" s="396"/>
      <c r="DY456" s="396"/>
      <c r="EE456" s="396"/>
      <c r="EK456" s="396"/>
      <c r="EQ456" s="396"/>
      <c r="EW456" s="396"/>
      <c r="FC456" s="396"/>
      <c r="FI456" s="396"/>
      <c r="FO456" s="396"/>
      <c r="FU456" s="396"/>
      <c r="GA456" s="396"/>
      <c r="GG456" s="396"/>
      <c r="GM456" s="396"/>
      <c r="GS456" s="396"/>
      <c r="GY456" s="396"/>
      <c r="HE456" s="396"/>
    </row>
    <row r="457" spans="117:213">
      <c r="DM457" s="397"/>
      <c r="DS457" s="397"/>
      <c r="DY457" s="397"/>
      <c r="EE457" s="397"/>
      <c r="EK457" s="397"/>
      <c r="EQ457" s="397"/>
      <c r="EW457" s="397"/>
      <c r="FC457" s="397"/>
      <c r="FI457" s="397"/>
      <c r="FO457" s="397"/>
      <c r="FU457" s="397"/>
      <c r="GA457" s="397"/>
      <c r="GG457" s="397"/>
      <c r="GM457" s="397"/>
      <c r="GS457" s="397"/>
      <c r="GY457" s="397"/>
      <c r="HE457" s="397"/>
    </row>
    <row r="458" spans="117:213">
      <c r="DM458" s="396"/>
      <c r="DS458" s="396"/>
      <c r="DY458" s="396"/>
      <c r="EE458" s="396"/>
      <c r="EK458" s="396"/>
      <c r="EQ458" s="396"/>
      <c r="EW458" s="396"/>
      <c r="FC458" s="396"/>
      <c r="FI458" s="396"/>
      <c r="FO458" s="396"/>
      <c r="FU458" s="396"/>
      <c r="GA458" s="396"/>
      <c r="GG458" s="396"/>
      <c r="GM458" s="396"/>
      <c r="GS458" s="396"/>
      <c r="GY458" s="396"/>
      <c r="HE458" s="396"/>
    </row>
    <row r="459" spans="117:213">
      <c r="DM459" s="396"/>
      <c r="DS459" s="396"/>
      <c r="DY459" s="396"/>
      <c r="EE459" s="396"/>
      <c r="EK459" s="396"/>
      <c r="EQ459" s="396"/>
      <c r="EW459" s="396"/>
      <c r="FC459" s="396"/>
      <c r="FI459" s="396"/>
      <c r="FO459" s="396"/>
      <c r="FU459" s="396"/>
      <c r="GA459" s="396"/>
      <c r="GG459" s="396"/>
      <c r="GM459" s="396"/>
      <c r="GS459" s="396"/>
      <c r="GY459" s="396"/>
      <c r="HE459" s="396"/>
    </row>
    <row r="460" spans="117:213">
      <c r="DM460" s="396"/>
      <c r="DS460" s="396"/>
      <c r="DY460" s="396"/>
      <c r="EE460" s="396"/>
      <c r="EK460" s="396"/>
      <c r="EQ460" s="396"/>
      <c r="EW460" s="396"/>
      <c r="FC460" s="396"/>
      <c r="FI460" s="396"/>
      <c r="FO460" s="396"/>
      <c r="FU460" s="396"/>
      <c r="GA460" s="396"/>
      <c r="GG460" s="396"/>
      <c r="GM460" s="396"/>
      <c r="GS460" s="396"/>
      <c r="GY460" s="396"/>
      <c r="HE460" s="396"/>
    </row>
    <row r="461" spans="117:213">
      <c r="DM461" s="396"/>
      <c r="DS461" s="396"/>
      <c r="DY461" s="396"/>
      <c r="EE461" s="396"/>
      <c r="EK461" s="396"/>
      <c r="EQ461" s="396"/>
      <c r="EW461" s="396"/>
      <c r="FC461" s="396"/>
      <c r="FI461" s="396"/>
      <c r="FO461" s="396"/>
      <c r="FU461" s="396"/>
      <c r="GA461" s="396"/>
      <c r="GG461" s="396"/>
      <c r="GM461" s="396"/>
      <c r="GS461" s="396"/>
      <c r="GY461" s="396"/>
      <c r="HE461" s="396"/>
    </row>
    <row r="462" spans="117:213">
      <c r="DM462" s="397"/>
      <c r="DS462" s="397"/>
      <c r="DY462" s="397"/>
      <c r="EE462" s="397"/>
      <c r="EK462" s="397"/>
      <c r="EQ462" s="397"/>
      <c r="EW462" s="397"/>
      <c r="FC462" s="397"/>
      <c r="FI462" s="397"/>
      <c r="FO462" s="397"/>
      <c r="FU462" s="397"/>
      <c r="GA462" s="397"/>
      <c r="GG462" s="397"/>
      <c r="GM462" s="397"/>
      <c r="GS462" s="397"/>
      <c r="GY462" s="397"/>
      <c r="HE462" s="397"/>
    </row>
    <row r="463" spans="117:213">
      <c r="DM463" s="394"/>
      <c r="DS463" s="394"/>
      <c r="DY463" s="394"/>
      <c r="EE463" s="394"/>
      <c r="EK463" s="394"/>
      <c r="EQ463" s="394"/>
      <c r="EW463" s="394"/>
      <c r="FC463" s="394"/>
      <c r="FI463" s="503"/>
      <c r="FO463" s="394"/>
      <c r="FU463" s="394"/>
      <c r="GA463" s="394"/>
      <c r="GG463" s="394"/>
      <c r="GM463" s="394"/>
      <c r="GS463" s="394"/>
      <c r="GY463" s="394"/>
      <c r="HE463" s="394"/>
    </row>
    <row r="464" spans="117:213">
      <c r="DM464" s="402"/>
      <c r="DS464" s="402"/>
      <c r="DY464" s="402"/>
      <c r="EE464" s="402"/>
      <c r="EK464" s="402"/>
      <c r="EQ464" s="402"/>
      <c r="EW464" s="402"/>
      <c r="FC464" s="402"/>
      <c r="FI464" s="402"/>
      <c r="FO464" s="402"/>
      <c r="FU464" s="402"/>
      <c r="GA464" s="402"/>
      <c r="GG464" s="402"/>
      <c r="GM464" s="402"/>
      <c r="GS464" s="402"/>
      <c r="GY464" s="402"/>
      <c r="HE464" s="402"/>
    </row>
    <row r="469" spans="117:213">
      <c r="DM469" s="396"/>
      <c r="DS469" s="396"/>
      <c r="DY469" s="396"/>
      <c r="EE469" s="396"/>
      <c r="EK469" s="396"/>
      <c r="EQ469" s="396"/>
      <c r="EW469" s="396"/>
      <c r="FC469" s="396"/>
      <c r="FI469" s="396"/>
      <c r="FO469" s="396"/>
      <c r="FU469" s="396"/>
      <c r="GA469" s="396"/>
      <c r="GG469" s="396"/>
      <c r="GM469" s="396"/>
      <c r="GS469" s="396"/>
      <c r="GY469" s="396"/>
      <c r="HE469" s="396"/>
    </row>
    <row r="471" spans="117:213">
      <c r="DM471" s="396"/>
      <c r="DS471" s="396"/>
      <c r="DY471" s="396"/>
      <c r="EE471" s="396"/>
      <c r="EK471" s="396"/>
      <c r="EQ471" s="396"/>
      <c r="EW471" s="396"/>
      <c r="FC471" s="396"/>
      <c r="FI471" s="396"/>
      <c r="FO471" s="396"/>
      <c r="FU471" s="396"/>
      <c r="GA471" s="396"/>
      <c r="GG471" s="396"/>
      <c r="GM471" s="396"/>
      <c r="GS471" s="396"/>
      <c r="GY471" s="396"/>
      <c r="HE471" s="396"/>
    </row>
    <row r="472" spans="117:213">
      <c r="DM472" s="396"/>
      <c r="DS472" s="396"/>
      <c r="DY472" s="396"/>
      <c r="EE472" s="396"/>
      <c r="EK472" s="396"/>
      <c r="EQ472" s="396"/>
      <c r="EW472" s="396"/>
      <c r="FC472" s="396"/>
      <c r="FI472" s="396"/>
      <c r="FO472" s="396"/>
      <c r="FU472" s="396"/>
      <c r="GA472" s="396"/>
      <c r="GG472" s="396"/>
      <c r="GM472" s="396"/>
      <c r="GS472" s="396"/>
      <c r="GY472" s="396"/>
      <c r="HE472" s="396"/>
    </row>
    <row r="473" spans="117:213">
      <c r="DM473" s="396"/>
      <c r="DS473" s="396"/>
      <c r="DY473" s="396"/>
      <c r="EE473" s="396"/>
      <c r="EK473" s="396"/>
      <c r="EQ473" s="396"/>
      <c r="EW473" s="396"/>
      <c r="FC473" s="396"/>
      <c r="FI473" s="396"/>
      <c r="FO473" s="396"/>
      <c r="FU473" s="396"/>
      <c r="GA473" s="396"/>
      <c r="GG473" s="396"/>
      <c r="GM473" s="396"/>
      <c r="GS473" s="396"/>
      <c r="GY473" s="396"/>
      <c r="HE473" s="396"/>
    </row>
    <row r="474" spans="117:213">
      <c r="DM474" s="396"/>
      <c r="DS474" s="396"/>
      <c r="DY474" s="396"/>
      <c r="EE474" s="396"/>
      <c r="EK474" s="396"/>
      <c r="EQ474" s="396"/>
      <c r="EW474" s="396"/>
      <c r="FC474" s="396"/>
      <c r="FI474" s="396"/>
      <c r="FO474" s="396"/>
      <c r="FU474" s="396"/>
      <c r="GA474" s="396"/>
      <c r="GG474" s="396"/>
      <c r="GM474" s="396"/>
      <c r="GS474" s="396"/>
      <c r="GY474" s="396"/>
      <c r="HE474" s="396"/>
    </row>
    <row r="475" spans="117:213">
      <c r="DM475" s="396"/>
      <c r="DS475" s="396"/>
      <c r="DY475" s="396"/>
      <c r="EE475" s="396"/>
      <c r="EK475" s="396"/>
      <c r="EQ475" s="396"/>
      <c r="EW475" s="396"/>
      <c r="FC475" s="396"/>
      <c r="FI475" s="396"/>
      <c r="FO475" s="396"/>
      <c r="FU475" s="396"/>
      <c r="GA475" s="396"/>
      <c r="GG475" s="396"/>
      <c r="GM475" s="396"/>
      <c r="GS475" s="396"/>
      <c r="GY475" s="396"/>
      <c r="HE475" s="396"/>
    </row>
    <row r="476" spans="117:213">
      <c r="DM476" s="396"/>
      <c r="DS476" s="396"/>
      <c r="DY476" s="396"/>
      <c r="EE476" s="396"/>
      <c r="EK476" s="396"/>
      <c r="EQ476" s="396"/>
      <c r="EW476" s="396"/>
      <c r="FC476" s="396"/>
      <c r="FI476" s="396"/>
      <c r="FO476" s="396"/>
      <c r="FU476" s="396"/>
      <c r="GA476" s="396"/>
      <c r="GG476" s="396"/>
      <c r="GM476" s="396"/>
      <c r="GS476" s="396"/>
      <c r="GY476" s="396"/>
      <c r="HE476" s="396"/>
    </row>
    <row r="477" spans="117:213">
      <c r="DM477" s="396"/>
      <c r="DS477" s="396"/>
      <c r="DY477" s="396"/>
      <c r="EE477" s="396"/>
      <c r="EK477" s="396"/>
      <c r="EQ477" s="396"/>
      <c r="EW477" s="396"/>
      <c r="FC477" s="396"/>
      <c r="FI477" s="396"/>
      <c r="FO477" s="396"/>
      <c r="FU477" s="396"/>
      <c r="GA477" s="396"/>
      <c r="GG477" s="396"/>
      <c r="GM477" s="396"/>
      <c r="GS477" s="396"/>
      <c r="GY477" s="396"/>
      <c r="HE477" s="396"/>
    </row>
    <row r="478" spans="117:213">
      <c r="DM478" s="396"/>
      <c r="DS478" s="396"/>
      <c r="DY478" s="396"/>
      <c r="EE478" s="396"/>
      <c r="EK478" s="396"/>
      <c r="EQ478" s="396"/>
      <c r="EW478" s="396"/>
      <c r="FC478" s="396"/>
      <c r="FI478" s="396"/>
      <c r="FO478" s="396"/>
      <c r="FU478" s="396"/>
      <c r="GA478" s="396"/>
      <c r="GG478" s="396"/>
      <c r="GM478" s="396"/>
      <c r="GS478" s="396"/>
      <c r="GY478" s="396"/>
      <c r="HE478" s="396"/>
    </row>
    <row r="479" spans="117:213">
      <c r="DM479" s="396"/>
      <c r="DS479" s="396"/>
      <c r="DY479" s="396"/>
      <c r="EE479" s="396"/>
      <c r="EK479" s="396"/>
      <c r="EQ479" s="396"/>
      <c r="EW479" s="396"/>
      <c r="FC479" s="396"/>
      <c r="FI479" s="396"/>
      <c r="FO479" s="396"/>
      <c r="FU479" s="396"/>
      <c r="GA479" s="396"/>
      <c r="GG479" s="396"/>
      <c r="GM479" s="396"/>
      <c r="GS479" s="396"/>
      <c r="GY479" s="396"/>
      <c r="HE479" s="396"/>
    </row>
    <row r="480" spans="117:213">
      <c r="DM480" s="396"/>
      <c r="DS480" s="396"/>
      <c r="DY480" s="396"/>
      <c r="EE480" s="396"/>
      <c r="EK480" s="396"/>
      <c r="EQ480" s="396"/>
      <c r="EW480" s="396"/>
      <c r="FC480" s="396"/>
      <c r="FI480" s="396"/>
      <c r="FO480" s="396"/>
      <c r="FU480" s="396"/>
      <c r="GA480" s="396"/>
      <c r="GG480" s="396"/>
      <c r="GM480" s="396"/>
      <c r="GS480" s="396"/>
      <c r="GY480" s="396"/>
      <c r="HE480" s="396"/>
    </row>
    <row r="482" spans="117:213">
      <c r="DM482" s="396"/>
      <c r="DS482" s="396"/>
      <c r="DY482" s="396"/>
      <c r="EE482" s="396"/>
      <c r="EK482" s="396"/>
      <c r="EQ482" s="396"/>
      <c r="EW482" s="396"/>
      <c r="FC482" s="396"/>
      <c r="FI482" s="396"/>
      <c r="FO482" s="396"/>
      <c r="FU482" s="396"/>
      <c r="GA482" s="396"/>
      <c r="GG482" s="396"/>
      <c r="GM482" s="396"/>
      <c r="GS482" s="396"/>
      <c r="GY482" s="396"/>
      <c r="HE482" s="396"/>
    </row>
    <row r="483" spans="117:213">
      <c r="DM483" s="396"/>
      <c r="DS483" s="396"/>
      <c r="DY483" s="396"/>
      <c r="EE483" s="396"/>
      <c r="EK483" s="396"/>
      <c r="EQ483" s="396"/>
      <c r="EW483" s="396"/>
      <c r="FC483" s="396"/>
      <c r="FI483" s="396"/>
      <c r="FO483" s="396"/>
      <c r="FU483" s="396"/>
      <c r="GA483" s="396"/>
      <c r="GG483" s="396"/>
      <c r="GM483" s="396"/>
      <c r="GS483" s="396"/>
      <c r="GY483" s="396"/>
      <c r="HE483" s="396"/>
    </row>
    <row r="484" spans="117:213">
      <c r="DM484" s="396"/>
      <c r="DS484" s="396"/>
      <c r="DY484" s="396"/>
      <c r="EE484" s="396"/>
      <c r="EK484" s="396"/>
      <c r="EQ484" s="396"/>
      <c r="EW484" s="396"/>
      <c r="FC484" s="396"/>
      <c r="FI484" s="396"/>
      <c r="FO484" s="396"/>
      <c r="FU484" s="396"/>
      <c r="GA484" s="396"/>
      <c r="GG484" s="396"/>
      <c r="GM484" s="396"/>
      <c r="GS484" s="396"/>
      <c r="GY484" s="396"/>
      <c r="HE484" s="396"/>
    </row>
    <row r="485" spans="117:213">
      <c r="DM485" s="396"/>
      <c r="DS485" s="396"/>
      <c r="DY485" s="396"/>
      <c r="EE485" s="396"/>
      <c r="EK485" s="396"/>
      <c r="EQ485" s="396"/>
      <c r="EW485" s="396"/>
      <c r="FC485" s="396"/>
      <c r="FI485" s="396"/>
      <c r="FO485" s="396"/>
      <c r="FU485" s="396"/>
      <c r="GA485" s="396"/>
      <c r="GG485" s="396"/>
      <c r="GM485" s="396"/>
      <c r="GS485" s="396"/>
      <c r="GY485" s="396"/>
      <c r="HE485" s="396"/>
    </row>
    <row r="486" spans="117:213">
      <c r="DM486" s="396"/>
      <c r="DS486" s="396"/>
      <c r="DY486" s="396"/>
      <c r="EE486" s="396"/>
      <c r="EK486" s="396"/>
      <c r="EQ486" s="396"/>
      <c r="EW486" s="396"/>
      <c r="FC486" s="396"/>
      <c r="FI486" s="396"/>
      <c r="FO486" s="396"/>
      <c r="FU486" s="396"/>
      <c r="GA486" s="396"/>
      <c r="GG486" s="396"/>
      <c r="GM486" s="396"/>
      <c r="GS486" s="396"/>
      <c r="GY486" s="396"/>
      <c r="HE486" s="396"/>
    </row>
    <row r="487" spans="117:213">
      <c r="DM487" s="396"/>
      <c r="DS487" s="396"/>
      <c r="DY487" s="396"/>
      <c r="EE487" s="396"/>
      <c r="EK487" s="396"/>
      <c r="EQ487" s="396"/>
      <c r="EW487" s="396"/>
      <c r="FC487" s="396"/>
      <c r="FI487" s="396"/>
      <c r="FO487" s="396"/>
      <c r="FU487" s="396"/>
      <c r="GA487" s="396"/>
      <c r="GG487" s="396"/>
      <c r="GM487" s="396"/>
      <c r="GS487" s="396"/>
      <c r="GY487" s="396"/>
      <c r="HE487" s="396"/>
    </row>
    <row r="488" spans="117:213">
      <c r="DM488" s="396"/>
      <c r="DS488" s="396"/>
      <c r="DY488" s="396"/>
      <c r="EE488" s="396"/>
      <c r="EK488" s="396"/>
      <c r="EQ488" s="396"/>
      <c r="EW488" s="396"/>
      <c r="FC488" s="396"/>
      <c r="FI488" s="396"/>
      <c r="FO488" s="396"/>
      <c r="FU488" s="396"/>
      <c r="GA488" s="396"/>
      <c r="GG488" s="396"/>
      <c r="GM488" s="396"/>
      <c r="GS488" s="396"/>
      <c r="GY488" s="396"/>
      <c r="HE488" s="396"/>
    </row>
    <row r="489" spans="117:213">
      <c r="DM489" s="396"/>
      <c r="DS489" s="396"/>
      <c r="DY489" s="396"/>
      <c r="EE489" s="396"/>
      <c r="EK489" s="396"/>
      <c r="EQ489" s="396"/>
      <c r="EW489" s="396"/>
      <c r="FC489" s="396"/>
      <c r="FI489" s="396"/>
      <c r="FO489" s="396"/>
      <c r="FU489" s="396"/>
      <c r="GA489" s="396"/>
      <c r="GG489" s="396"/>
      <c r="GM489" s="396"/>
      <c r="GS489" s="396"/>
      <c r="GY489" s="396"/>
      <c r="HE489" s="396"/>
    </row>
    <row r="491" spans="117:213">
      <c r="DM491" s="396"/>
      <c r="DS491" s="396"/>
      <c r="DY491" s="396"/>
      <c r="EE491" s="396"/>
      <c r="EK491" s="396"/>
      <c r="EQ491" s="396"/>
      <c r="EW491" s="396"/>
      <c r="FC491" s="396"/>
      <c r="FI491" s="396"/>
      <c r="FO491" s="396"/>
      <c r="FU491" s="396"/>
      <c r="GA491" s="396"/>
      <c r="GG491" s="396"/>
      <c r="GM491" s="396"/>
      <c r="GS491" s="396"/>
      <c r="GY491" s="396"/>
      <c r="HE491" s="396"/>
    </row>
    <row r="492" spans="117:213">
      <c r="DM492" s="471"/>
      <c r="DS492" s="471"/>
      <c r="DY492" s="471"/>
      <c r="EE492" s="471"/>
      <c r="EK492" s="471"/>
      <c r="EQ492" s="471"/>
      <c r="EW492" s="471"/>
      <c r="FC492" s="471"/>
      <c r="FI492" s="405"/>
      <c r="FO492" s="471"/>
      <c r="FU492" s="471"/>
      <c r="GA492" s="471"/>
      <c r="GG492" s="471"/>
      <c r="GM492" s="471"/>
      <c r="GS492" s="471"/>
      <c r="GY492" s="471"/>
      <c r="HE492" s="471"/>
    </row>
    <row r="493" spans="117:213">
      <c r="DM493" s="397"/>
      <c r="DS493" s="397"/>
      <c r="DY493" s="397"/>
      <c r="EE493" s="397"/>
      <c r="EK493" s="397"/>
      <c r="EQ493" s="397"/>
      <c r="EW493" s="397"/>
      <c r="FC493" s="397"/>
      <c r="FI493" s="397"/>
      <c r="FO493" s="397"/>
      <c r="FU493" s="397"/>
      <c r="GA493" s="397"/>
      <c r="GG493" s="397"/>
      <c r="GM493" s="397"/>
      <c r="GS493" s="397"/>
      <c r="GY493" s="397"/>
      <c r="HE493" s="397"/>
    </row>
    <row r="494" spans="117:213">
      <c r="DM494" s="396"/>
      <c r="DS494" s="396"/>
      <c r="DY494" s="396"/>
      <c r="EE494" s="396"/>
      <c r="EK494" s="396"/>
      <c r="EQ494" s="396"/>
      <c r="EW494" s="396"/>
      <c r="FC494" s="396"/>
      <c r="FI494" s="396"/>
      <c r="FO494" s="396"/>
      <c r="FU494" s="396"/>
      <c r="GA494" s="396"/>
      <c r="GG494" s="396"/>
      <c r="GM494" s="396"/>
      <c r="GS494" s="396"/>
      <c r="GY494" s="396"/>
      <c r="HE494" s="396"/>
    </row>
    <row r="495" spans="117:213">
      <c r="DM495" s="397"/>
      <c r="DS495" s="397"/>
      <c r="DY495" s="397"/>
      <c r="EE495" s="397"/>
      <c r="EK495" s="397"/>
      <c r="EQ495" s="397"/>
      <c r="EW495" s="397"/>
      <c r="FC495" s="397"/>
      <c r="FI495" s="397"/>
      <c r="FO495" s="397"/>
      <c r="FU495" s="397"/>
      <c r="GA495" s="397"/>
      <c r="GG495" s="397"/>
      <c r="GM495" s="397"/>
      <c r="GS495" s="397"/>
      <c r="GY495" s="397"/>
      <c r="HE495" s="397"/>
    </row>
    <row r="496" spans="117:213">
      <c r="DM496" s="397"/>
      <c r="DS496" s="397"/>
      <c r="DY496" s="397"/>
      <c r="EE496" s="397"/>
      <c r="EK496" s="397"/>
      <c r="EQ496" s="397"/>
      <c r="EW496" s="397"/>
      <c r="FC496" s="397"/>
      <c r="FI496" s="397"/>
      <c r="FO496" s="397"/>
      <c r="FU496" s="397"/>
      <c r="GA496" s="397"/>
      <c r="GG496" s="397"/>
      <c r="GM496" s="397"/>
      <c r="GS496" s="397"/>
      <c r="GY496" s="397"/>
      <c r="HE496" s="397"/>
    </row>
    <row r="497" spans="117:213">
      <c r="DM497" s="396"/>
      <c r="DS497" s="396"/>
      <c r="DY497" s="396"/>
      <c r="EE497" s="396"/>
      <c r="EK497" s="396"/>
      <c r="EQ497" s="396"/>
      <c r="EW497" s="396"/>
      <c r="FC497" s="396"/>
      <c r="FI497" s="396"/>
      <c r="FO497" s="396"/>
      <c r="FU497" s="396"/>
      <c r="GA497" s="396"/>
      <c r="GG497" s="396"/>
      <c r="GM497" s="396"/>
      <c r="GS497" s="396"/>
      <c r="GY497" s="396"/>
      <c r="HE497" s="396"/>
    </row>
    <row r="498" spans="117:213">
      <c r="DM498" s="396"/>
      <c r="DS498" s="396"/>
      <c r="DY498" s="396"/>
      <c r="EE498" s="396"/>
      <c r="EK498" s="396"/>
      <c r="EQ498" s="396"/>
      <c r="EW498" s="396"/>
      <c r="FC498" s="396"/>
      <c r="FI498" s="396"/>
      <c r="FO498" s="396"/>
      <c r="FU498" s="396"/>
      <c r="GA498" s="396"/>
      <c r="GG498" s="396"/>
      <c r="GM498" s="396"/>
      <c r="GS498" s="396"/>
      <c r="GY498" s="396"/>
      <c r="HE498" s="396"/>
    </row>
    <row r="499" spans="117:213">
      <c r="DM499" s="397"/>
      <c r="DS499" s="397"/>
      <c r="DY499" s="397"/>
      <c r="EE499" s="397"/>
      <c r="EK499" s="397"/>
      <c r="EQ499" s="397"/>
      <c r="EW499" s="397"/>
      <c r="FC499" s="397"/>
      <c r="FI499" s="397"/>
      <c r="FO499" s="397"/>
      <c r="FU499" s="397"/>
      <c r="GA499" s="397"/>
      <c r="GG499" s="397"/>
      <c r="GM499" s="397"/>
      <c r="GS499" s="397"/>
      <c r="GY499" s="397"/>
      <c r="HE499" s="397"/>
    </row>
    <row r="500" spans="117:213">
      <c r="DM500" s="394"/>
      <c r="DS500" s="394"/>
      <c r="DY500" s="394"/>
      <c r="EE500" s="394"/>
      <c r="EK500" s="394"/>
      <c r="EQ500" s="394"/>
      <c r="EW500" s="394"/>
      <c r="FC500" s="394"/>
      <c r="FI500" s="503"/>
      <c r="FO500" s="394"/>
      <c r="FU500" s="394"/>
      <c r="GA500" s="394"/>
      <c r="GG500" s="394"/>
      <c r="GM500" s="394"/>
      <c r="GS500" s="394"/>
      <c r="GY500" s="394"/>
      <c r="HE500" s="394"/>
    </row>
    <row r="501" spans="117:213">
      <c r="DM501" s="402"/>
      <c r="DS501" s="402"/>
      <c r="DY501" s="402"/>
      <c r="EE501" s="402"/>
      <c r="EK501" s="402"/>
      <c r="EQ501" s="402"/>
      <c r="EW501" s="402"/>
      <c r="FC501" s="402"/>
      <c r="FI501" s="402"/>
      <c r="FO501" s="402"/>
      <c r="FU501" s="402"/>
      <c r="GA501" s="402"/>
      <c r="GG501" s="402"/>
      <c r="GM501" s="402"/>
      <c r="GS501" s="402"/>
      <c r="GY501" s="402"/>
      <c r="HE501" s="402"/>
    </row>
    <row r="503" spans="117:213">
      <c r="DM503" s="397"/>
      <c r="DS503" s="397"/>
      <c r="DY503" s="397"/>
      <c r="EE503" s="397"/>
      <c r="EK503" s="397"/>
      <c r="EQ503" s="397"/>
      <c r="EW503" s="397"/>
      <c r="FC503" s="397"/>
      <c r="FI503" s="397"/>
      <c r="FO503" s="397"/>
      <c r="FU503" s="397"/>
      <c r="GA503" s="397"/>
      <c r="GG503" s="397"/>
      <c r="GM503" s="397"/>
      <c r="GS503" s="397"/>
      <c r="GY503" s="397"/>
      <c r="HE503" s="397"/>
    </row>
    <row r="504" spans="117:213">
      <c r="DM504" s="394"/>
      <c r="DS504" s="394"/>
      <c r="DY504" s="394"/>
      <c r="EE504" s="394"/>
      <c r="EK504" s="394"/>
      <c r="EQ504" s="394"/>
      <c r="EW504" s="394"/>
      <c r="FC504" s="394"/>
      <c r="FI504" s="394"/>
      <c r="FO504" s="394"/>
      <c r="FU504" s="394"/>
      <c r="GA504" s="394"/>
      <c r="GG504" s="394"/>
      <c r="GM504" s="394"/>
      <c r="GS504" s="394"/>
      <c r="GY504" s="394"/>
      <c r="HE504" s="394"/>
    </row>
    <row r="505" spans="117:213">
      <c r="DM505" s="394"/>
      <c r="DS505" s="394"/>
      <c r="DY505" s="394"/>
      <c r="EE505" s="394"/>
      <c r="EK505" s="394"/>
      <c r="EQ505" s="394"/>
      <c r="EW505" s="394"/>
      <c r="FC505" s="394"/>
      <c r="FI505" s="394"/>
      <c r="FO505" s="394"/>
      <c r="FU505" s="394"/>
      <c r="GA505" s="394"/>
      <c r="GG505" s="394"/>
      <c r="GM505" s="394"/>
      <c r="GS505" s="394"/>
      <c r="GY505" s="394"/>
      <c r="HE505" s="394"/>
    </row>
    <row r="506" spans="117:213">
      <c r="DM506" s="397"/>
      <c r="DS506" s="397"/>
      <c r="DY506" s="397"/>
      <c r="EE506" s="397"/>
      <c r="EK506" s="397"/>
      <c r="EQ506" s="397"/>
      <c r="EW506" s="397"/>
      <c r="FC506" s="397"/>
      <c r="FI506" s="397"/>
      <c r="FO506" s="397"/>
      <c r="FU506" s="397"/>
      <c r="GA506" s="397"/>
      <c r="GG506" s="397"/>
      <c r="GM506" s="397"/>
      <c r="GS506" s="397"/>
      <c r="GY506" s="397"/>
      <c r="HE506" s="397"/>
    </row>
    <row r="507" spans="117:213">
      <c r="DM507" s="402"/>
      <c r="DS507" s="402"/>
      <c r="DY507" s="402"/>
      <c r="EE507" s="402"/>
      <c r="EK507" s="402"/>
      <c r="EQ507" s="402"/>
      <c r="EW507" s="402"/>
      <c r="FC507" s="402"/>
      <c r="FI507" s="402"/>
      <c r="FO507" s="402"/>
      <c r="FU507" s="402"/>
      <c r="GA507" s="402"/>
      <c r="GG507" s="402"/>
      <c r="GM507" s="402"/>
      <c r="GS507" s="402"/>
      <c r="GY507" s="402"/>
      <c r="HE507" s="402"/>
    </row>
    <row r="509" spans="117:213">
      <c r="DM509" s="403"/>
      <c r="DS509" s="403"/>
      <c r="DY509" s="403"/>
      <c r="EE509" s="403"/>
      <c r="EK509" s="403"/>
      <c r="EQ509" s="403"/>
      <c r="EW509" s="403"/>
      <c r="FC509" s="403"/>
      <c r="FI509" s="403"/>
      <c r="FO509" s="403"/>
      <c r="FU509" s="403"/>
      <c r="GA509" s="403"/>
      <c r="GG509" s="403"/>
      <c r="GM509" s="403"/>
      <c r="GS509" s="403"/>
      <c r="GY509" s="403"/>
      <c r="HE509" s="403"/>
    </row>
    <row r="512" spans="117:213">
      <c r="DM512" s="396"/>
      <c r="DS512" s="396"/>
      <c r="DY512" s="396"/>
      <c r="EE512" s="396"/>
      <c r="EK512" s="396"/>
      <c r="EQ512" s="396"/>
      <c r="EW512" s="396"/>
      <c r="FC512" s="396"/>
      <c r="FI512" s="396"/>
      <c r="FO512" s="396"/>
      <c r="FU512" s="396"/>
      <c r="GA512" s="396"/>
      <c r="GG512" s="396"/>
      <c r="GM512" s="396"/>
      <c r="GS512" s="396"/>
      <c r="GY512" s="396"/>
      <c r="HE512" s="396"/>
    </row>
    <row r="513" spans="117:213">
      <c r="DM513" s="471"/>
      <c r="DS513" s="471"/>
      <c r="DY513" s="471"/>
      <c r="EE513" s="471"/>
      <c r="EK513" s="471"/>
      <c r="EQ513" s="471"/>
      <c r="EW513" s="471"/>
      <c r="FC513" s="471"/>
      <c r="FI513" s="405"/>
      <c r="FO513" s="471"/>
      <c r="FU513" s="471"/>
      <c r="GA513" s="471"/>
      <c r="GG513" s="471"/>
      <c r="GM513" s="471"/>
      <c r="GS513" s="471"/>
      <c r="GY513" s="471"/>
      <c r="HE513" s="471"/>
    </row>
    <row r="514" spans="117:213">
      <c r="DM514" s="397"/>
      <c r="DS514" s="397"/>
      <c r="DY514" s="397"/>
      <c r="EE514" s="397"/>
      <c r="EK514" s="397"/>
      <c r="EQ514" s="397"/>
      <c r="EW514" s="397"/>
      <c r="FC514" s="397"/>
      <c r="FI514" s="397"/>
      <c r="FO514" s="397"/>
      <c r="FU514" s="397"/>
      <c r="GA514" s="397"/>
      <c r="GG514" s="397"/>
      <c r="GM514" s="397"/>
      <c r="GS514" s="397"/>
      <c r="GY514" s="397"/>
      <c r="HE514" s="397"/>
    </row>
    <row r="515" spans="117:213">
      <c r="DM515" s="396"/>
      <c r="DS515" s="396"/>
      <c r="DY515" s="396"/>
      <c r="EE515" s="396"/>
      <c r="EK515" s="396"/>
      <c r="EQ515" s="396"/>
      <c r="EW515" s="396"/>
      <c r="FC515" s="396"/>
      <c r="FI515" s="396"/>
      <c r="FO515" s="396"/>
      <c r="FU515" s="396"/>
      <c r="GA515" s="396"/>
      <c r="GG515" s="396"/>
      <c r="GM515" s="396"/>
      <c r="GS515" s="396"/>
      <c r="GY515" s="396"/>
      <c r="HE515" s="396"/>
    </row>
    <row r="516" spans="117:213">
      <c r="DM516" s="471"/>
      <c r="DS516" s="471"/>
      <c r="DY516" s="471"/>
      <c r="EE516" s="471"/>
      <c r="EK516" s="471"/>
      <c r="EQ516" s="471"/>
      <c r="EW516" s="471"/>
      <c r="FC516" s="471"/>
      <c r="FI516" s="405"/>
      <c r="FO516" s="471"/>
      <c r="FU516" s="471"/>
      <c r="GA516" s="471"/>
      <c r="GG516" s="471"/>
      <c r="GM516" s="471"/>
      <c r="GS516" s="471"/>
      <c r="GY516" s="471"/>
      <c r="HE516" s="471"/>
    </row>
    <row r="517" spans="117:213">
      <c r="DM517" s="397"/>
      <c r="DS517" s="397"/>
      <c r="DY517" s="397"/>
      <c r="EE517" s="397"/>
      <c r="EK517" s="397"/>
      <c r="EQ517" s="397"/>
      <c r="EW517" s="397"/>
      <c r="FC517" s="397"/>
      <c r="FI517" s="397"/>
      <c r="FO517" s="397"/>
      <c r="FU517" s="397"/>
      <c r="GA517" s="397"/>
      <c r="GG517" s="397"/>
      <c r="GM517" s="397"/>
      <c r="GS517" s="397"/>
      <c r="GY517" s="397"/>
      <c r="HE517" s="397"/>
    </row>
    <row r="518" spans="117:213">
      <c r="DM518" s="396"/>
      <c r="DS518" s="396"/>
      <c r="DY518" s="396"/>
      <c r="EE518" s="396"/>
      <c r="EK518" s="396"/>
      <c r="EQ518" s="396"/>
      <c r="EW518" s="396"/>
      <c r="FC518" s="396"/>
      <c r="FI518" s="396"/>
      <c r="FO518" s="396"/>
      <c r="FU518" s="396"/>
      <c r="GA518" s="396"/>
      <c r="GG518" s="396"/>
      <c r="GM518" s="396"/>
      <c r="GS518" s="396"/>
      <c r="GY518" s="396"/>
      <c r="HE518" s="396"/>
    </row>
    <row r="519" spans="117:213">
      <c r="DM519" s="397"/>
      <c r="DS519" s="397"/>
      <c r="DY519" s="397"/>
      <c r="EE519" s="397"/>
      <c r="EK519" s="397"/>
      <c r="EQ519" s="397"/>
      <c r="EW519" s="397"/>
      <c r="FC519" s="397"/>
      <c r="FI519" s="397"/>
      <c r="FO519" s="397"/>
      <c r="FU519" s="397"/>
      <c r="GA519" s="397"/>
      <c r="GG519" s="397"/>
      <c r="GM519" s="397"/>
      <c r="GS519" s="397"/>
      <c r="GY519" s="397"/>
      <c r="HE519" s="397"/>
    </row>
    <row r="520" spans="117:213">
      <c r="DM520" s="397"/>
      <c r="DS520" s="397"/>
      <c r="DY520" s="397"/>
      <c r="EE520" s="397"/>
      <c r="EK520" s="397"/>
      <c r="EQ520" s="397"/>
      <c r="EW520" s="397"/>
      <c r="FC520" s="397"/>
      <c r="FI520" s="397"/>
      <c r="FO520" s="397"/>
      <c r="FU520" s="397"/>
      <c r="GA520" s="397"/>
      <c r="GG520" s="397"/>
      <c r="GM520" s="397"/>
      <c r="GS520" s="397"/>
      <c r="GY520" s="397"/>
      <c r="HE520" s="397"/>
    </row>
    <row r="521" spans="117:213">
      <c r="DM521" s="471"/>
      <c r="DS521" s="471"/>
      <c r="DY521" s="471"/>
      <c r="EE521" s="471"/>
      <c r="EK521" s="471"/>
      <c r="EQ521" s="471"/>
      <c r="EW521" s="471"/>
      <c r="FC521" s="471"/>
      <c r="FI521" s="405"/>
      <c r="FO521" s="471"/>
      <c r="FU521" s="471"/>
      <c r="GA521" s="471"/>
      <c r="GG521" s="471"/>
      <c r="GM521" s="471"/>
      <c r="GS521" s="471"/>
      <c r="GY521" s="471"/>
      <c r="HE521" s="471"/>
    </row>
    <row r="524" spans="117:213">
      <c r="DM524" s="396"/>
      <c r="DS524" s="396"/>
      <c r="DY524" s="396"/>
      <c r="EE524" s="396"/>
      <c r="EK524" s="396"/>
      <c r="EQ524" s="396"/>
      <c r="EW524" s="396"/>
      <c r="FC524" s="396"/>
      <c r="FI524" s="396"/>
      <c r="FO524" s="396"/>
      <c r="FU524" s="396"/>
      <c r="GA524" s="396"/>
      <c r="GG524" s="396"/>
      <c r="GM524" s="396"/>
      <c r="GS524" s="396"/>
      <c r="GY524" s="396"/>
      <c r="HE524" s="396"/>
    </row>
    <row r="525" spans="117:213">
      <c r="DM525" s="396"/>
      <c r="DS525" s="396"/>
      <c r="DY525" s="396"/>
      <c r="EE525" s="396"/>
      <c r="EK525" s="396"/>
      <c r="EQ525" s="396"/>
      <c r="EW525" s="396"/>
      <c r="FC525" s="396"/>
      <c r="FI525" s="396"/>
      <c r="FO525" s="396"/>
      <c r="FU525" s="396"/>
      <c r="GA525" s="396"/>
      <c r="GG525" s="396"/>
      <c r="GM525" s="396"/>
      <c r="GS525" s="396"/>
      <c r="GY525" s="396"/>
      <c r="HE525" s="396"/>
    </row>
    <row r="526" spans="117:213">
      <c r="DM526" s="396"/>
      <c r="DS526" s="396"/>
      <c r="DY526" s="396"/>
      <c r="EE526" s="396"/>
      <c r="EK526" s="396"/>
      <c r="EQ526" s="396"/>
      <c r="EW526" s="396"/>
      <c r="FC526" s="396"/>
      <c r="FI526" s="396"/>
      <c r="FO526" s="396"/>
      <c r="FU526" s="396"/>
      <c r="GA526" s="396"/>
      <c r="GG526" s="396"/>
      <c r="GM526" s="396"/>
      <c r="GS526" s="396"/>
      <c r="GY526" s="396"/>
      <c r="HE526" s="396"/>
    </row>
    <row r="527" spans="117:213">
      <c r="DM527" s="470"/>
      <c r="DS527" s="470"/>
      <c r="DY527" s="470"/>
      <c r="EE527" s="470"/>
      <c r="EK527" s="470"/>
      <c r="EQ527" s="470"/>
      <c r="EW527" s="470"/>
      <c r="FC527" s="470"/>
      <c r="FI527" s="398"/>
      <c r="FO527" s="470"/>
      <c r="FU527" s="470"/>
      <c r="GA527" s="470"/>
      <c r="GG527" s="470"/>
      <c r="GM527" s="470"/>
      <c r="GS527" s="470"/>
      <c r="GY527" s="470"/>
      <c r="HE527" s="470"/>
    </row>
    <row r="528" spans="117:213">
      <c r="DM528" s="396"/>
      <c r="DS528" s="396"/>
      <c r="DY528" s="396"/>
      <c r="EE528" s="396"/>
      <c r="EK528" s="396"/>
      <c r="EQ528" s="396"/>
      <c r="EW528" s="396"/>
      <c r="FC528" s="396"/>
      <c r="FI528" s="396"/>
      <c r="FO528" s="396"/>
      <c r="FU528" s="396"/>
      <c r="GA528" s="396"/>
      <c r="GG528" s="396"/>
      <c r="GM528" s="396"/>
      <c r="GS528" s="396"/>
      <c r="GY528" s="396"/>
      <c r="HE528" s="396"/>
    </row>
    <row r="529" spans="117:213">
      <c r="DM529" s="396"/>
      <c r="DS529" s="396"/>
      <c r="DY529" s="396"/>
      <c r="EE529" s="396"/>
      <c r="EK529" s="396"/>
      <c r="EQ529" s="396"/>
      <c r="EW529" s="396"/>
      <c r="FC529" s="396"/>
      <c r="FI529" s="396"/>
      <c r="FO529" s="396"/>
      <c r="FU529" s="396"/>
      <c r="GA529" s="396"/>
      <c r="GG529" s="396"/>
      <c r="GM529" s="396"/>
      <c r="GS529" s="396"/>
      <c r="GY529" s="396"/>
      <c r="HE529" s="396"/>
    </row>
    <row r="530" spans="117:213">
      <c r="DM530" s="396"/>
      <c r="DS530" s="396"/>
      <c r="DY530" s="396"/>
      <c r="EE530" s="396"/>
      <c r="EK530" s="396"/>
      <c r="EQ530" s="396"/>
      <c r="EW530" s="396"/>
      <c r="FC530" s="396"/>
      <c r="FI530" s="396"/>
      <c r="FO530" s="396"/>
      <c r="FU530" s="396"/>
      <c r="GA530" s="396"/>
      <c r="GG530" s="396"/>
      <c r="GM530" s="396"/>
      <c r="GS530" s="396"/>
      <c r="GY530" s="396"/>
      <c r="HE530" s="396"/>
    </row>
    <row r="531" spans="117:213">
      <c r="DM531" s="396"/>
      <c r="DS531" s="396"/>
      <c r="DY531" s="396"/>
      <c r="EE531" s="396"/>
      <c r="EK531" s="396"/>
      <c r="EQ531" s="396"/>
      <c r="EW531" s="396"/>
      <c r="FC531" s="396"/>
      <c r="FI531" s="396"/>
      <c r="FO531" s="396"/>
      <c r="FU531" s="396"/>
      <c r="GA531" s="396"/>
      <c r="GG531" s="396"/>
      <c r="GM531" s="396"/>
      <c r="GS531" s="396"/>
      <c r="GY531" s="396"/>
      <c r="HE531" s="396"/>
    </row>
    <row r="532" spans="117:213">
      <c r="DM532" s="470"/>
      <c r="DS532" s="470"/>
      <c r="DY532" s="470"/>
      <c r="EE532" s="470"/>
      <c r="EK532" s="470"/>
      <c r="EQ532" s="470"/>
      <c r="EW532" s="470"/>
      <c r="FC532" s="470"/>
      <c r="FI532" s="398"/>
      <c r="FO532" s="470"/>
      <c r="FU532" s="470"/>
      <c r="GA532" s="470"/>
      <c r="GG532" s="470"/>
      <c r="GM532" s="470"/>
      <c r="GS532" s="470"/>
      <c r="GY532" s="470"/>
      <c r="HE532" s="470"/>
    </row>
    <row r="533" spans="117:213">
      <c r="DM533" s="396"/>
      <c r="DS533" s="396"/>
      <c r="DY533" s="396"/>
      <c r="EE533" s="396"/>
      <c r="EK533" s="396"/>
      <c r="EQ533" s="396"/>
      <c r="EW533" s="396"/>
      <c r="FC533" s="396"/>
      <c r="FI533" s="396"/>
      <c r="FO533" s="396"/>
      <c r="FU533" s="396"/>
      <c r="GA533" s="396"/>
      <c r="GG533" s="396"/>
      <c r="GM533" s="396"/>
      <c r="GS533" s="396"/>
      <c r="GY533" s="396"/>
      <c r="HE533" s="396"/>
    </row>
    <row r="534" spans="117:213">
      <c r="DM534" s="396"/>
      <c r="DS534" s="396"/>
      <c r="DY534" s="396"/>
      <c r="EE534" s="396"/>
      <c r="EK534" s="396"/>
      <c r="EQ534" s="396"/>
      <c r="EW534" s="396"/>
      <c r="FC534" s="396"/>
      <c r="FI534" s="396"/>
      <c r="FO534" s="396"/>
      <c r="FU534" s="396"/>
      <c r="GA534" s="396"/>
      <c r="GG534" s="396"/>
      <c r="GM534" s="396"/>
      <c r="GS534" s="396"/>
      <c r="GY534" s="396"/>
      <c r="HE534" s="396"/>
    </row>
    <row r="535" spans="117:213">
      <c r="DM535" s="396"/>
      <c r="DS535" s="396"/>
      <c r="DY535" s="396"/>
      <c r="EE535" s="396"/>
      <c r="EK535" s="396"/>
      <c r="EQ535" s="396"/>
      <c r="EW535" s="396"/>
      <c r="FC535" s="396"/>
      <c r="FI535" s="396"/>
      <c r="FO535" s="396"/>
      <c r="FU535" s="396"/>
      <c r="GA535" s="396"/>
      <c r="GG535" s="396"/>
      <c r="GM535" s="396"/>
      <c r="GS535" s="396"/>
      <c r="GY535" s="396"/>
      <c r="HE535" s="396"/>
    </row>
    <row r="536" spans="117:213">
      <c r="DM536" s="396"/>
      <c r="DS536" s="396"/>
      <c r="DY536" s="396"/>
      <c r="EE536" s="396"/>
      <c r="EK536" s="396"/>
      <c r="EQ536" s="396"/>
      <c r="EW536" s="396"/>
      <c r="FC536" s="396"/>
      <c r="FI536" s="396"/>
      <c r="FO536" s="396"/>
      <c r="FU536" s="396"/>
      <c r="GA536" s="396"/>
      <c r="GG536" s="396"/>
      <c r="GM536" s="396"/>
      <c r="GS536" s="396"/>
      <c r="GY536" s="396"/>
      <c r="HE536" s="396"/>
    </row>
    <row r="537" spans="117:213">
      <c r="DM537" s="397"/>
      <c r="DS537" s="397"/>
      <c r="DY537" s="397"/>
      <c r="EE537" s="397"/>
      <c r="EK537" s="397"/>
      <c r="EQ537" s="397"/>
      <c r="EW537" s="397"/>
      <c r="FC537" s="397"/>
      <c r="FI537" s="397"/>
      <c r="FO537" s="397"/>
      <c r="FU537" s="397"/>
      <c r="GA537" s="397"/>
      <c r="GG537" s="397"/>
      <c r="GM537" s="397"/>
      <c r="GS537" s="397"/>
      <c r="GY537" s="397"/>
      <c r="HE537" s="397"/>
    </row>
    <row r="538" spans="117:213">
      <c r="DM538" s="397"/>
      <c r="DS538" s="397"/>
      <c r="DY538" s="397"/>
      <c r="EE538" s="397"/>
      <c r="EK538" s="397"/>
      <c r="EQ538" s="397"/>
      <c r="EW538" s="397"/>
      <c r="FC538" s="397"/>
      <c r="FI538" s="397"/>
      <c r="FO538" s="397"/>
      <c r="FU538" s="397"/>
      <c r="GA538" s="397"/>
      <c r="GG538" s="397"/>
      <c r="GM538" s="397"/>
      <c r="GS538" s="397"/>
      <c r="GY538" s="397"/>
      <c r="HE538" s="397"/>
    </row>
    <row r="539" spans="117:213">
      <c r="DM539" s="397"/>
      <c r="DS539" s="397"/>
      <c r="DY539" s="397"/>
      <c r="EE539" s="397"/>
      <c r="EK539" s="397"/>
      <c r="EQ539" s="397"/>
      <c r="EW539" s="397"/>
      <c r="FC539" s="397"/>
      <c r="FI539" s="397"/>
      <c r="FO539" s="397"/>
      <c r="FU539" s="397"/>
      <c r="GA539" s="397"/>
      <c r="GG539" s="397"/>
      <c r="GM539" s="397"/>
      <c r="GS539" s="397"/>
      <c r="GY539" s="397"/>
      <c r="HE539" s="397"/>
    </row>
    <row r="540" spans="117:213">
      <c r="DM540" s="397"/>
      <c r="DS540" s="397"/>
      <c r="DY540" s="397"/>
      <c r="EE540" s="397"/>
      <c r="EK540" s="397"/>
      <c r="EQ540" s="397"/>
      <c r="EW540" s="397"/>
      <c r="FC540" s="397"/>
      <c r="FI540" s="397"/>
      <c r="FO540" s="397"/>
      <c r="FU540" s="397"/>
      <c r="GA540" s="397"/>
      <c r="GG540" s="397"/>
      <c r="GM540" s="397"/>
      <c r="GS540" s="397"/>
      <c r="GY540" s="397"/>
      <c r="HE540" s="397"/>
    </row>
    <row r="541" spans="117:213">
      <c r="DM541" s="402"/>
      <c r="DS541" s="402"/>
      <c r="DY541" s="402"/>
      <c r="EE541" s="402"/>
      <c r="EK541" s="402"/>
      <c r="EQ541" s="402"/>
      <c r="EW541" s="402"/>
      <c r="FC541" s="402"/>
      <c r="FI541" s="402"/>
      <c r="FO541" s="402"/>
      <c r="FU541" s="402"/>
      <c r="GA541" s="402"/>
      <c r="GG541" s="402"/>
      <c r="GM541" s="402"/>
      <c r="GS541" s="402"/>
      <c r="GY541" s="402"/>
      <c r="HE541" s="402"/>
    </row>
    <row r="543" spans="117:213">
      <c r="DM543" s="403"/>
      <c r="DS543" s="403"/>
      <c r="DY543" s="403"/>
      <c r="EE543" s="403"/>
      <c r="EK543" s="403"/>
      <c r="EQ543" s="403"/>
      <c r="EW543" s="403"/>
      <c r="FC543" s="403"/>
      <c r="FI543" s="403"/>
      <c r="FO543" s="403"/>
      <c r="FU543" s="403"/>
      <c r="GA543" s="403"/>
      <c r="GG543" s="403"/>
      <c r="GM543" s="403"/>
      <c r="GS543" s="403"/>
      <c r="GY543" s="403"/>
      <c r="HE543" s="403"/>
    </row>
    <row r="548" spans="117:213">
      <c r="DM548" s="396"/>
      <c r="DS548" s="396"/>
      <c r="DY548" s="396"/>
      <c r="EE548" s="396"/>
      <c r="EK548" s="396"/>
      <c r="EQ548" s="396"/>
      <c r="EW548" s="396"/>
      <c r="FC548" s="396"/>
      <c r="FI548" s="396"/>
      <c r="FO548" s="396"/>
      <c r="FU548" s="396"/>
      <c r="GA548" s="396"/>
      <c r="GG548" s="396"/>
      <c r="GM548" s="396"/>
      <c r="GS548" s="396"/>
      <c r="GY548" s="396"/>
      <c r="HE548" s="396"/>
    </row>
    <row r="549" spans="117:213">
      <c r="DM549" s="470"/>
      <c r="DS549" s="470"/>
      <c r="DY549" s="470"/>
      <c r="EE549" s="470"/>
      <c r="EK549" s="470"/>
      <c r="EQ549" s="470"/>
      <c r="EW549" s="470"/>
      <c r="FC549" s="470"/>
      <c r="FI549" s="398"/>
      <c r="FO549" s="470"/>
      <c r="FU549" s="470"/>
      <c r="GA549" s="470"/>
      <c r="GG549" s="470"/>
      <c r="GM549" s="470"/>
      <c r="GS549" s="470"/>
      <c r="GY549" s="470"/>
      <c r="HE549" s="470"/>
    </row>
    <row r="550" spans="117:213">
      <c r="DM550" s="397"/>
      <c r="DS550" s="397"/>
      <c r="DY550" s="397"/>
      <c r="EE550" s="397"/>
      <c r="EK550" s="397"/>
      <c r="EQ550" s="397"/>
      <c r="EW550" s="397"/>
      <c r="FC550" s="397"/>
      <c r="FI550" s="397"/>
      <c r="FO550" s="397"/>
      <c r="FU550" s="397"/>
      <c r="GA550" s="397"/>
      <c r="GG550" s="397"/>
      <c r="GM550" s="397"/>
      <c r="GS550" s="397"/>
      <c r="GY550" s="397"/>
      <c r="HE550" s="397"/>
    </row>
    <row r="551" spans="117:213">
      <c r="DM551" s="395"/>
      <c r="DS551" s="395"/>
      <c r="DY551" s="395"/>
      <c r="EE551" s="395"/>
      <c r="EK551" s="395"/>
      <c r="EQ551" s="395"/>
      <c r="EW551" s="395"/>
      <c r="FC551" s="395"/>
      <c r="FI551" s="395"/>
      <c r="FO551" s="395"/>
      <c r="FU551" s="395"/>
      <c r="GA551" s="395"/>
      <c r="GG551" s="395"/>
      <c r="GM551" s="395"/>
      <c r="GS551" s="395"/>
      <c r="GY551" s="395"/>
      <c r="HE551" s="395"/>
    </row>
    <row r="552" spans="117:213">
      <c r="DM552" s="397"/>
      <c r="DS552" s="397"/>
      <c r="DY552" s="397"/>
      <c r="EE552" s="397"/>
      <c r="EK552" s="397"/>
      <c r="EQ552" s="397"/>
      <c r="EW552" s="397"/>
      <c r="FC552" s="397"/>
      <c r="FI552" s="397"/>
      <c r="FO552" s="397"/>
      <c r="FU552" s="397"/>
      <c r="GA552" s="397"/>
      <c r="GG552" s="397"/>
      <c r="GM552" s="397"/>
      <c r="GS552" s="397"/>
      <c r="GY552" s="397"/>
      <c r="HE552" s="397"/>
    </row>
    <row r="553" spans="117:213">
      <c r="DM553" s="397"/>
      <c r="DS553" s="397"/>
      <c r="DY553" s="397"/>
      <c r="EE553" s="397"/>
      <c r="EK553" s="397"/>
      <c r="EQ553" s="397"/>
      <c r="EW553" s="397"/>
      <c r="FC553" s="397"/>
      <c r="FI553" s="397"/>
      <c r="FO553" s="397"/>
      <c r="FU553" s="397"/>
      <c r="GA553" s="397"/>
      <c r="GG553" s="397"/>
      <c r="GM553" s="397"/>
      <c r="GS553" s="397"/>
      <c r="GY553" s="397"/>
      <c r="HE553" s="397"/>
    </row>
    <row r="554" spans="117:213">
      <c r="DM554" s="397"/>
      <c r="DS554" s="397"/>
      <c r="DY554" s="397"/>
      <c r="EE554" s="397"/>
      <c r="EK554" s="397"/>
      <c r="EQ554" s="397"/>
      <c r="EW554" s="397"/>
      <c r="FC554" s="397"/>
      <c r="FI554" s="397"/>
      <c r="FO554" s="397"/>
      <c r="FU554" s="397"/>
      <c r="GA554" s="397"/>
      <c r="GG554" s="397"/>
      <c r="GM554" s="397"/>
      <c r="GS554" s="397"/>
      <c r="GY554" s="397"/>
      <c r="HE554" s="397"/>
    </row>
    <row r="555" spans="117:213">
      <c r="DM555" s="397"/>
      <c r="DS555" s="397"/>
      <c r="DY555" s="397"/>
      <c r="EE555" s="397"/>
      <c r="EK555" s="397"/>
      <c r="EQ555" s="397"/>
      <c r="EW555" s="397"/>
      <c r="FC555" s="397"/>
      <c r="FI555" s="397"/>
      <c r="FO555" s="397"/>
      <c r="FU555" s="397"/>
      <c r="GA555" s="397"/>
      <c r="GG555" s="397"/>
      <c r="GM555" s="397"/>
      <c r="GS555" s="397"/>
      <c r="GY555" s="397"/>
      <c r="HE555" s="397"/>
    </row>
    <row r="556" spans="117:213">
      <c r="DM556" s="397"/>
      <c r="DS556" s="397"/>
      <c r="DY556" s="397"/>
      <c r="EE556" s="397"/>
      <c r="EK556" s="397"/>
      <c r="EQ556" s="397"/>
      <c r="EW556" s="397"/>
      <c r="FC556" s="397"/>
      <c r="FI556" s="397"/>
      <c r="FO556" s="397"/>
      <c r="FU556" s="397"/>
      <c r="GA556" s="397"/>
      <c r="GG556" s="397"/>
      <c r="GM556" s="397"/>
      <c r="GS556" s="397"/>
      <c r="GY556" s="397"/>
      <c r="HE556" s="397"/>
    </row>
    <row r="557" spans="117:213">
      <c r="DM557" s="397"/>
      <c r="DS557" s="397"/>
      <c r="DY557" s="397"/>
      <c r="EE557" s="397"/>
      <c r="EK557" s="397"/>
      <c r="EQ557" s="397"/>
      <c r="EW557" s="397"/>
      <c r="FC557" s="397"/>
      <c r="FI557" s="397"/>
      <c r="FO557" s="397"/>
      <c r="FU557" s="397"/>
      <c r="GA557" s="397"/>
      <c r="GG557" s="397"/>
      <c r="GM557" s="397"/>
      <c r="GS557" s="397"/>
      <c r="GY557" s="397"/>
      <c r="HE557" s="397"/>
    </row>
    <row r="558" spans="117:213">
      <c r="DM558" s="396"/>
      <c r="DS558" s="396"/>
      <c r="DY558" s="396"/>
      <c r="EE558" s="396"/>
      <c r="EK558" s="396"/>
      <c r="EQ558" s="396"/>
      <c r="EW558" s="396"/>
      <c r="FC558" s="396"/>
      <c r="FI558" s="396"/>
      <c r="FO558" s="396"/>
      <c r="FU558" s="396"/>
      <c r="GA558" s="396"/>
      <c r="GG558" s="396"/>
      <c r="GM558" s="396"/>
      <c r="GS558" s="396"/>
      <c r="GY558" s="396"/>
      <c r="HE558" s="396"/>
    </row>
    <row r="559" spans="117:213">
      <c r="DM559" s="470"/>
      <c r="DS559" s="470"/>
      <c r="DY559" s="470"/>
      <c r="EE559" s="470"/>
      <c r="EK559" s="470"/>
      <c r="EQ559" s="470"/>
      <c r="EW559" s="470"/>
      <c r="FC559" s="470"/>
      <c r="FI559" s="398"/>
      <c r="FO559" s="470"/>
      <c r="FU559" s="470"/>
      <c r="GA559" s="470"/>
      <c r="GG559" s="470"/>
      <c r="GM559" s="470"/>
      <c r="GS559" s="470"/>
      <c r="GY559" s="470"/>
      <c r="HE559" s="470"/>
    </row>
    <row r="560" spans="117:213">
      <c r="DM560" s="504"/>
      <c r="DS560" s="504"/>
      <c r="DY560" s="504"/>
      <c r="EE560" s="504"/>
      <c r="EK560" s="504"/>
      <c r="EQ560" s="504"/>
      <c r="EW560" s="504"/>
      <c r="FC560" s="504"/>
      <c r="FI560" s="504"/>
      <c r="FO560" s="504"/>
      <c r="FU560" s="504"/>
      <c r="GA560" s="504"/>
      <c r="GG560" s="504"/>
      <c r="GM560" s="504"/>
      <c r="GS560" s="504"/>
      <c r="GY560" s="504"/>
      <c r="HE560" s="504"/>
    </row>
    <row r="564" spans="117:213">
      <c r="DM564" s="395"/>
      <c r="DS564" s="395"/>
      <c r="DY564" s="395"/>
      <c r="EE564" s="395"/>
      <c r="EK564" s="395"/>
      <c r="EQ564" s="395"/>
      <c r="EW564" s="395"/>
      <c r="FC564" s="395"/>
      <c r="FI564" s="395"/>
      <c r="FO564" s="395"/>
      <c r="FU564" s="395"/>
      <c r="GA564" s="395"/>
      <c r="GG564" s="395"/>
      <c r="GM564" s="395"/>
      <c r="GS564" s="395"/>
      <c r="GY564" s="395"/>
      <c r="HE564" s="395"/>
    </row>
    <row r="567" spans="117:213">
      <c r="DM567" s="395"/>
      <c r="DS567" s="395"/>
      <c r="DY567" s="395"/>
      <c r="EE567" s="395"/>
      <c r="EK567" s="395"/>
      <c r="EQ567" s="395"/>
      <c r="EW567" s="395"/>
      <c r="FC567" s="395"/>
      <c r="FI567" s="395"/>
      <c r="FO567" s="395"/>
      <c r="FU567" s="395"/>
      <c r="GA567" s="395"/>
      <c r="GG567" s="395"/>
      <c r="GM567" s="395"/>
      <c r="GS567" s="395"/>
      <c r="GY567" s="395"/>
      <c r="HE567" s="395"/>
    </row>
    <row r="568" spans="117:213">
      <c r="DM568" s="397"/>
      <c r="DS568" s="397"/>
      <c r="DY568" s="397"/>
      <c r="EE568" s="397"/>
      <c r="EK568" s="397"/>
      <c r="EQ568" s="397"/>
      <c r="EW568" s="397"/>
      <c r="FC568" s="397"/>
      <c r="FI568" s="397"/>
      <c r="FO568" s="397"/>
      <c r="FU568" s="397"/>
      <c r="GA568" s="397"/>
      <c r="GG568" s="397"/>
      <c r="GM568" s="397"/>
      <c r="GS568" s="397"/>
      <c r="GY568" s="397"/>
      <c r="HE568" s="397"/>
    </row>
    <row r="572" spans="117:213">
      <c r="DM572" s="395"/>
      <c r="DS572" s="395"/>
      <c r="DY572" s="395"/>
      <c r="EE572" s="395"/>
      <c r="EK572" s="395"/>
      <c r="EQ572" s="395"/>
      <c r="EW572" s="395"/>
      <c r="FC572" s="395"/>
      <c r="FI572" s="395"/>
      <c r="FO572" s="395"/>
      <c r="FU572" s="395"/>
      <c r="GA572" s="395"/>
      <c r="GG572" s="395"/>
      <c r="GM572" s="395"/>
      <c r="GS572" s="395"/>
      <c r="GY572" s="395"/>
      <c r="HE572" s="395"/>
    </row>
    <row r="573" spans="117:213">
      <c r="DM573" s="395"/>
      <c r="DS573" s="395"/>
      <c r="DY573" s="395"/>
      <c r="EE573" s="395"/>
      <c r="EK573" s="395"/>
      <c r="EQ573" s="395"/>
      <c r="EW573" s="395"/>
      <c r="FC573" s="395"/>
      <c r="FI573" s="395"/>
      <c r="FO573" s="395"/>
      <c r="FU573" s="395"/>
      <c r="GA573" s="395"/>
      <c r="GG573" s="395"/>
      <c r="GM573" s="395"/>
      <c r="GS573" s="395"/>
      <c r="GY573" s="395"/>
      <c r="HE573" s="395"/>
    </row>
    <row r="574" spans="117:213">
      <c r="DM574" s="395"/>
      <c r="DS574" s="395"/>
      <c r="DY574" s="395"/>
      <c r="EE574" s="395"/>
      <c r="EK574" s="395"/>
      <c r="EQ574" s="395"/>
      <c r="EW574" s="395"/>
      <c r="FC574" s="395"/>
      <c r="FI574" s="395"/>
      <c r="FO574" s="395"/>
      <c r="FU574" s="395"/>
      <c r="GA574" s="395"/>
      <c r="GG574" s="395"/>
      <c r="GM574" s="395"/>
      <c r="GS574" s="395"/>
      <c r="GY574" s="395"/>
      <c r="HE574" s="395"/>
    </row>
    <row r="576" spans="117:213">
      <c r="DM576" s="397"/>
      <c r="DS576" s="397"/>
      <c r="DY576" s="397"/>
      <c r="EE576" s="397"/>
      <c r="EK576" s="397"/>
      <c r="EQ576" s="397"/>
      <c r="EW576" s="397"/>
      <c r="FC576" s="397"/>
      <c r="FI576" s="397"/>
      <c r="FO576" s="397"/>
      <c r="FU576" s="397"/>
      <c r="GA576" s="397"/>
      <c r="GG576" s="397"/>
      <c r="GM576" s="397"/>
      <c r="GS576" s="397"/>
      <c r="GY576" s="397"/>
      <c r="HE576" s="397"/>
    </row>
    <row r="577" spans="117:213">
      <c r="DM577" s="395"/>
      <c r="DS577" s="395"/>
      <c r="DY577" s="395"/>
      <c r="EE577" s="395"/>
      <c r="EK577" s="395"/>
      <c r="EQ577" s="395"/>
      <c r="EW577" s="395"/>
      <c r="FC577" s="395"/>
      <c r="FI577" s="395"/>
      <c r="FO577" s="395"/>
      <c r="FU577" s="395"/>
      <c r="GA577" s="395"/>
      <c r="GG577" s="395"/>
      <c r="GM577" s="395"/>
      <c r="GS577" s="395"/>
      <c r="GY577" s="395"/>
      <c r="HE577" s="395"/>
    </row>
    <row r="580" spans="117:213">
      <c r="DM580" s="397"/>
      <c r="DS580" s="397"/>
      <c r="DY580" s="397"/>
      <c r="EE580" s="397"/>
      <c r="EK580" s="397"/>
      <c r="EQ580" s="397"/>
      <c r="EW580" s="397"/>
      <c r="FC580" s="397"/>
      <c r="FI580" s="397"/>
      <c r="FO580" s="397"/>
      <c r="FU580" s="397"/>
      <c r="GA580" s="397"/>
      <c r="GG580" s="397"/>
      <c r="GM580" s="397"/>
      <c r="GS580" s="397"/>
      <c r="GY580" s="397"/>
      <c r="HE580" s="397"/>
    </row>
    <row r="581" spans="117:213">
      <c r="DM581" s="397"/>
      <c r="DS581" s="397"/>
      <c r="DY581" s="397"/>
      <c r="EE581" s="397"/>
      <c r="EK581" s="397"/>
      <c r="EQ581" s="397"/>
      <c r="EW581" s="397"/>
      <c r="FC581" s="397"/>
      <c r="FI581" s="397"/>
      <c r="FO581" s="397"/>
      <c r="FU581" s="397"/>
      <c r="GA581" s="397"/>
      <c r="GG581" s="397"/>
      <c r="GM581" s="397"/>
      <c r="GS581" s="397"/>
      <c r="GY581" s="397"/>
      <c r="HE581" s="397"/>
    </row>
    <row r="582" spans="117:213">
      <c r="DM582" s="396"/>
      <c r="DS582" s="396"/>
      <c r="DY582" s="396"/>
      <c r="EE582" s="396"/>
      <c r="EK582" s="396"/>
      <c r="EQ582" s="396"/>
      <c r="EW582" s="396"/>
      <c r="FC582" s="396"/>
      <c r="FI582" s="396"/>
      <c r="FO582" s="396"/>
      <c r="FU582" s="396"/>
      <c r="GA582" s="396"/>
      <c r="GG582" s="396"/>
      <c r="GM582" s="396"/>
      <c r="GS582" s="396"/>
      <c r="GY582" s="396"/>
      <c r="HE582" s="396"/>
    </row>
    <row r="586" spans="117:213">
      <c r="DM586" s="403"/>
      <c r="DS586" s="403"/>
      <c r="DY586" s="403"/>
      <c r="EE586" s="403"/>
      <c r="EK586" s="403"/>
      <c r="EQ586" s="403"/>
      <c r="EW586" s="403"/>
      <c r="FC586" s="403"/>
      <c r="FI586" s="403"/>
      <c r="FO586" s="403"/>
      <c r="FU586" s="403"/>
      <c r="GA586" s="403"/>
      <c r="GG586" s="403"/>
      <c r="GM586" s="403"/>
      <c r="GS586" s="403"/>
      <c r="GY586" s="403"/>
      <c r="HE586" s="403"/>
    </row>
    <row r="588" spans="117:213">
      <c r="DM588" s="394"/>
      <c r="DS588" s="394"/>
      <c r="DY588" s="394"/>
      <c r="EE588" s="394"/>
      <c r="EK588" s="394"/>
      <c r="EQ588" s="394"/>
      <c r="EW588" s="394"/>
      <c r="FC588" s="394"/>
      <c r="FI588" s="394"/>
      <c r="FO588" s="394"/>
      <c r="FU588" s="394"/>
      <c r="GA588" s="394"/>
      <c r="GG588" s="394"/>
      <c r="GM588" s="394"/>
      <c r="GS588" s="394"/>
      <c r="GY588" s="394"/>
      <c r="HE588" s="394"/>
    </row>
    <row r="590" spans="117:213">
      <c r="DM590" s="403"/>
      <c r="DS590" s="403"/>
      <c r="DY590" s="403"/>
      <c r="EE590" s="403"/>
      <c r="EK590" s="403"/>
      <c r="EQ590" s="403"/>
      <c r="EW590" s="403"/>
      <c r="FC590" s="403"/>
      <c r="FI590" s="403"/>
      <c r="FO590" s="403"/>
      <c r="FU590" s="403"/>
      <c r="GA590" s="403"/>
      <c r="GG590" s="403"/>
      <c r="GM590" s="403"/>
      <c r="GS590" s="403"/>
      <c r="GY590" s="403"/>
      <c r="HE590" s="403"/>
    </row>
    <row r="592" spans="117:213">
      <c r="DM592" s="394"/>
      <c r="DS592" s="394"/>
      <c r="DY592" s="394"/>
      <c r="EE592" s="394"/>
      <c r="EK592" s="394"/>
      <c r="EQ592" s="394"/>
      <c r="EW592" s="394"/>
      <c r="FC592" s="394"/>
      <c r="FI592" s="394"/>
      <c r="FO592" s="394"/>
      <c r="FU592" s="394"/>
      <c r="GA592" s="394"/>
      <c r="GG592" s="394"/>
      <c r="GM592" s="394"/>
      <c r="GS592" s="394"/>
      <c r="GY592" s="394"/>
      <c r="HE592" s="394"/>
    </row>
    <row r="595" spans="117:213">
      <c r="DM595" s="396"/>
      <c r="DS595" s="396"/>
      <c r="DY595" s="396"/>
      <c r="EE595" s="396"/>
      <c r="EK595" s="396"/>
      <c r="EQ595" s="396"/>
      <c r="EW595" s="396"/>
      <c r="FC595" s="396"/>
      <c r="FI595" s="396"/>
      <c r="FO595" s="396"/>
      <c r="FU595" s="396"/>
      <c r="GA595" s="396"/>
      <c r="GG595" s="396"/>
      <c r="GM595" s="396"/>
      <c r="GS595" s="396"/>
      <c r="GY595" s="396"/>
      <c r="HE595" s="396"/>
    </row>
    <row r="596" spans="117:213">
      <c r="DM596" s="396"/>
      <c r="DS596" s="396"/>
      <c r="DY596" s="396"/>
      <c r="EE596" s="396"/>
      <c r="EK596" s="396"/>
      <c r="EQ596" s="396"/>
      <c r="EW596" s="396"/>
      <c r="FC596" s="396"/>
      <c r="FI596" s="396"/>
      <c r="FO596" s="396"/>
      <c r="FU596" s="396"/>
      <c r="GA596" s="396"/>
      <c r="GG596" s="396"/>
      <c r="GM596" s="396"/>
      <c r="GS596" s="396"/>
      <c r="GY596" s="396"/>
      <c r="HE596" s="396"/>
    </row>
    <row r="597" spans="117:213">
      <c r="DM597" s="396"/>
      <c r="DS597" s="396"/>
      <c r="DY597" s="396"/>
      <c r="EE597" s="396"/>
      <c r="EK597" s="396"/>
      <c r="EQ597" s="396"/>
      <c r="EW597" s="396"/>
      <c r="FC597" s="396"/>
      <c r="FI597" s="396"/>
      <c r="FO597" s="396"/>
      <c r="FU597" s="396"/>
      <c r="GA597" s="396"/>
      <c r="GG597" s="396"/>
      <c r="GM597" s="396"/>
      <c r="GS597" s="396"/>
      <c r="GY597" s="396"/>
      <c r="HE597" s="396"/>
    </row>
    <row r="598" spans="117:213">
      <c r="DM598" s="397"/>
      <c r="DS598" s="397"/>
      <c r="DY598" s="397"/>
      <c r="EE598" s="397"/>
      <c r="EK598" s="397"/>
      <c r="EQ598" s="397"/>
      <c r="EW598" s="397"/>
      <c r="FC598" s="397"/>
      <c r="FI598" s="397"/>
      <c r="FO598" s="397"/>
      <c r="FU598" s="397"/>
      <c r="GA598" s="397"/>
      <c r="GG598" s="397"/>
      <c r="GM598" s="397"/>
      <c r="GS598" s="397"/>
      <c r="GY598" s="397"/>
      <c r="HE598" s="397"/>
    </row>
    <row r="599" spans="117:213">
      <c r="DM599" s="397"/>
      <c r="DS599" s="397"/>
      <c r="DY599" s="397"/>
      <c r="EE599" s="397"/>
      <c r="EK599" s="397"/>
      <c r="EQ599" s="397"/>
      <c r="EW599" s="397"/>
      <c r="FC599" s="397"/>
      <c r="FI599" s="397"/>
      <c r="FO599" s="397"/>
      <c r="FU599" s="397"/>
      <c r="GA599" s="397"/>
      <c r="GG599" s="397"/>
      <c r="GM599" s="397"/>
      <c r="GS599" s="397"/>
      <c r="GY599" s="397"/>
      <c r="HE599" s="397"/>
    </row>
    <row r="600" spans="117:213">
      <c r="DM600" s="397"/>
      <c r="DS600" s="397"/>
      <c r="DY600" s="397"/>
      <c r="EE600" s="397"/>
      <c r="EK600" s="397"/>
      <c r="EQ600" s="397"/>
      <c r="EW600" s="397"/>
      <c r="FC600" s="397"/>
      <c r="FI600" s="397"/>
      <c r="FO600" s="397"/>
      <c r="FU600" s="397"/>
      <c r="GA600" s="397"/>
      <c r="GG600" s="397"/>
      <c r="GM600" s="397"/>
      <c r="GS600" s="397"/>
      <c r="GY600" s="397"/>
      <c r="HE600" s="397"/>
    </row>
    <row r="601" spans="117:213">
      <c r="DM601" s="397"/>
      <c r="DS601" s="397"/>
      <c r="DY601" s="397"/>
      <c r="EE601" s="397"/>
      <c r="EK601" s="397"/>
      <c r="EQ601" s="397"/>
      <c r="EW601" s="397"/>
      <c r="FC601" s="397"/>
      <c r="FI601" s="397"/>
      <c r="FO601" s="397"/>
      <c r="FU601" s="397"/>
      <c r="GA601" s="397"/>
      <c r="GG601" s="397"/>
      <c r="GM601" s="397"/>
      <c r="GS601" s="397"/>
      <c r="GY601" s="397"/>
      <c r="HE601" s="397"/>
    </row>
    <row r="602" spans="117:213">
      <c r="DM602" s="402"/>
      <c r="DS602" s="402"/>
      <c r="DY602" s="402"/>
      <c r="EE602" s="402"/>
      <c r="EK602" s="402"/>
      <c r="EQ602" s="402"/>
      <c r="EW602" s="402"/>
      <c r="FC602" s="402"/>
      <c r="FI602" s="402"/>
      <c r="FO602" s="402"/>
      <c r="FU602" s="402"/>
      <c r="GA602" s="402"/>
      <c r="GG602" s="402"/>
      <c r="GM602" s="402"/>
      <c r="GS602" s="402"/>
      <c r="GY602" s="402"/>
      <c r="HE602" s="402"/>
    </row>
    <row r="605" spans="117:213">
      <c r="DM605" s="402"/>
      <c r="DS605" s="402"/>
      <c r="DY605" s="402"/>
      <c r="EE605" s="402"/>
      <c r="EK605" s="402"/>
      <c r="EQ605" s="402"/>
      <c r="EW605" s="402"/>
      <c r="FC605" s="402"/>
      <c r="FI605" s="402"/>
      <c r="FO605" s="402"/>
      <c r="FU605" s="402"/>
      <c r="GA605" s="402"/>
      <c r="GG605" s="402"/>
      <c r="GM605" s="402"/>
      <c r="GS605" s="402"/>
      <c r="GY605" s="402"/>
      <c r="HE605" s="402"/>
    </row>
    <row r="608" spans="117:213">
      <c r="DM608" s="473"/>
      <c r="DS608" s="473"/>
      <c r="DY608" s="473"/>
      <c r="EE608" s="473"/>
      <c r="EK608" s="473"/>
      <c r="EQ608" s="473"/>
      <c r="EW608" s="473"/>
      <c r="FC608" s="473"/>
      <c r="FI608" s="505"/>
      <c r="FO608" s="473"/>
      <c r="FU608" s="473"/>
      <c r="GA608" s="473"/>
      <c r="GG608" s="473"/>
      <c r="GM608" s="473"/>
      <c r="GS608" s="473"/>
      <c r="GY608" s="473"/>
      <c r="HE608" s="473"/>
    </row>
    <row r="611" spans="117:213">
      <c r="DM611" s="404"/>
      <c r="DS611" s="404"/>
      <c r="DY611" s="404"/>
      <c r="EE611" s="404"/>
      <c r="EK611" s="404"/>
      <c r="EQ611" s="404"/>
      <c r="EW611" s="404"/>
      <c r="FC611" s="404"/>
      <c r="FI611" s="404"/>
      <c r="FO611" s="404"/>
      <c r="FU611" s="404"/>
      <c r="GA611" s="404"/>
      <c r="GG611" s="404"/>
      <c r="GM611" s="404"/>
      <c r="GS611" s="404"/>
      <c r="GY611" s="404"/>
      <c r="HE611" s="404"/>
    </row>
    <row r="612" spans="117:213">
      <c r="DM612" s="404"/>
      <c r="DS612" s="404"/>
      <c r="DY612" s="404"/>
      <c r="EE612" s="404"/>
      <c r="EK612" s="404"/>
      <c r="EQ612" s="404"/>
      <c r="EW612" s="404"/>
      <c r="FC612" s="404"/>
      <c r="FI612" s="404"/>
      <c r="FO612" s="404"/>
      <c r="FU612" s="404"/>
      <c r="GA612" s="404"/>
      <c r="GG612" s="404"/>
      <c r="GM612" s="404"/>
      <c r="GS612" s="404"/>
      <c r="GY612" s="404"/>
      <c r="HE612" s="404"/>
    </row>
    <row r="613" spans="117:213">
      <c r="DM613" s="404"/>
      <c r="DS613" s="404"/>
      <c r="DY613" s="404"/>
      <c r="EE613" s="404"/>
      <c r="EK613" s="404"/>
      <c r="EQ613" s="404"/>
      <c r="EW613" s="404"/>
      <c r="FC613" s="404"/>
      <c r="FI613" s="404"/>
      <c r="FO613" s="404"/>
      <c r="FU613" s="404"/>
      <c r="GA613" s="404"/>
      <c r="GG613" s="404"/>
      <c r="GM613" s="404"/>
      <c r="GS613" s="404"/>
      <c r="GY613" s="404"/>
      <c r="HE613" s="404"/>
    </row>
    <row r="614" spans="117:213">
      <c r="DM614" s="404"/>
      <c r="DS614" s="404"/>
      <c r="DY614" s="404"/>
      <c r="EE614" s="404"/>
      <c r="EK614" s="404"/>
      <c r="EQ614" s="404"/>
      <c r="EW614" s="404"/>
      <c r="FC614" s="404"/>
      <c r="FI614" s="404"/>
      <c r="FO614" s="404"/>
      <c r="FU614" s="404"/>
      <c r="GA614" s="404"/>
      <c r="GG614" s="404"/>
      <c r="GM614" s="404"/>
      <c r="GS614" s="404"/>
      <c r="GY614" s="404"/>
      <c r="HE614" s="404"/>
    </row>
    <row r="615" spans="117:213">
      <c r="DM615" s="404"/>
      <c r="DS615" s="404"/>
      <c r="DY615" s="404"/>
      <c r="EE615" s="404"/>
      <c r="EK615" s="404"/>
      <c r="EQ615" s="404"/>
      <c r="EW615" s="404"/>
      <c r="FC615" s="404"/>
      <c r="FI615" s="404"/>
      <c r="FO615" s="404"/>
      <c r="FU615" s="404"/>
      <c r="GA615" s="404"/>
      <c r="GG615" s="404"/>
      <c r="GM615" s="404"/>
      <c r="GS615" s="404"/>
      <c r="GY615" s="404"/>
      <c r="HE615" s="404"/>
    </row>
    <row r="618" spans="117:213">
      <c r="DM618" s="396"/>
      <c r="DS618" s="396"/>
      <c r="DY618" s="396"/>
      <c r="EE618" s="396"/>
      <c r="EK618" s="396"/>
      <c r="EQ618" s="396"/>
      <c r="EW618" s="396"/>
      <c r="FC618" s="396"/>
      <c r="FI618" s="396"/>
      <c r="FO618" s="396"/>
      <c r="FU618" s="396"/>
      <c r="GA618" s="396"/>
      <c r="GG618" s="396"/>
      <c r="GM618" s="396"/>
      <c r="GS618" s="396"/>
      <c r="GY618" s="396"/>
      <c r="HE618" s="396"/>
    </row>
    <row r="619" spans="117:213">
      <c r="DM619" s="396"/>
      <c r="DS619" s="396"/>
      <c r="DY619" s="396"/>
      <c r="EE619" s="396"/>
      <c r="EK619" s="396"/>
      <c r="EQ619" s="396"/>
      <c r="EW619" s="396"/>
      <c r="FC619" s="396"/>
      <c r="FI619" s="396"/>
      <c r="FO619" s="396"/>
      <c r="FU619" s="396"/>
      <c r="GA619" s="396"/>
      <c r="GG619" s="396"/>
      <c r="GM619" s="396"/>
      <c r="GS619" s="396"/>
      <c r="GY619" s="396"/>
      <c r="HE619" s="396"/>
    </row>
    <row r="620" spans="117:213">
      <c r="DM620" s="396"/>
      <c r="DS620" s="396"/>
      <c r="DY620" s="396"/>
      <c r="EE620" s="396"/>
      <c r="EK620" s="396"/>
      <c r="EQ620" s="396"/>
      <c r="EW620" s="396"/>
      <c r="FC620" s="396"/>
      <c r="FI620" s="396"/>
      <c r="FO620" s="396"/>
      <c r="FU620" s="396"/>
      <c r="GA620" s="396"/>
      <c r="GG620" s="396"/>
      <c r="GM620" s="396"/>
      <c r="GS620" s="396"/>
      <c r="GY620" s="396"/>
      <c r="HE620" s="396"/>
    </row>
    <row r="621" spans="117:213">
      <c r="DM621" s="407"/>
      <c r="DS621" s="407"/>
      <c r="DY621" s="407"/>
      <c r="EE621" s="407"/>
      <c r="EK621" s="407"/>
      <c r="EQ621" s="407"/>
      <c r="EW621" s="407"/>
      <c r="FC621" s="407"/>
      <c r="FI621" s="407"/>
      <c r="FO621" s="407"/>
      <c r="FU621" s="407"/>
      <c r="GA621" s="407"/>
      <c r="GG621" s="407"/>
      <c r="GM621" s="407"/>
      <c r="GS621" s="407"/>
      <c r="GY621" s="407"/>
      <c r="HE621" s="407"/>
    </row>
    <row r="622" spans="117:213">
      <c r="DM622" s="408"/>
      <c r="DS622" s="408"/>
      <c r="DY622" s="408"/>
      <c r="EE622" s="408"/>
      <c r="EK622" s="408"/>
      <c r="EQ622" s="408"/>
      <c r="EW622" s="408"/>
      <c r="FC622" s="408"/>
      <c r="FI622" s="408"/>
      <c r="FO622" s="408"/>
      <c r="FU622" s="408"/>
      <c r="GA622" s="408"/>
      <c r="GG622" s="408"/>
      <c r="GM622" s="408"/>
      <c r="GS622" s="408"/>
      <c r="GY622" s="408"/>
      <c r="HE622" s="408"/>
    </row>
    <row r="623" spans="117:213">
      <c r="DM623" s="408"/>
      <c r="DS623" s="408"/>
      <c r="DY623" s="408"/>
      <c r="EE623" s="408"/>
      <c r="EK623" s="408"/>
      <c r="EQ623" s="408"/>
      <c r="EW623" s="408"/>
      <c r="FC623" s="408"/>
      <c r="FI623" s="408"/>
      <c r="FO623" s="408"/>
      <c r="FU623" s="408"/>
      <c r="GA623" s="408"/>
      <c r="GG623" s="408"/>
      <c r="GM623" s="408"/>
      <c r="GS623" s="408"/>
      <c r="GY623" s="408"/>
      <c r="HE623" s="408"/>
    </row>
    <row r="624" spans="117:213">
      <c r="DM624" s="408"/>
      <c r="DS624" s="408"/>
      <c r="DY624" s="408"/>
      <c r="EE624" s="408"/>
      <c r="EK624" s="408"/>
      <c r="EQ624" s="408"/>
      <c r="EW624" s="408"/>
      <c r="FC624" s="408"/>
      <c r="FI624" s="408"/>
      <c r="FO624" s="408"/>
      <c r="FU624" s="408"/>
      <c r="GA624" s="408"/>
      <c r="GG624" s="408"/>
      <c r="GM624" s="408"/>
      <c r="GS624" s="408"/>
      <c r="GY624" s="408"/>
      <c r="HE624" s="408"/>
    </row>
    <row r="625" spans="117:213">
      <c r="DM625" s="408"/>
      <c r="DS625" s="408"/>
      <c r="DY625" s="408"/>
      <c r="EE625" s="408"/>
      <c r="EK625" s="408"/>
      <c r="EQ625" s="408"/>
      <c r="EW625" s="408"/>
      <c r="FC625" s="408"/>
      <c r="FI625" s="408"/>
      <c r="FO625" s="408"/>
      <c r="FU625" s="408"/>
      <c r="GA625" s="408"/>
      <c r="GG625" s="408"/>
      <c r="GM625" s="408"/>
      <c r="GS625" s="408"/>
      <c r="GY625" s="408"/>
      <c r="HE625" s="408"/>
    </row>
    <row r="626" spans="117:213">
      <c r="DM626" s="411"/>
      <c r="DS626" s="411"/>
      <c r="DY626" s="411"/>
      <c r="EE626" s="411"/>
      <c r="EK626" s="411"/>
      <c r="EQ626" s="411"/>
      <c r="EW626" s="411"/>
      <c r="FC626" s="411"/>
      <c r="FI626" s="411"/>
      <c r="FO626" s="411"/>
      <c r="FU626" s="411"/>
      <c r="GA626" s="411"/>
      <c r="GG626" s="411"/>
      <c r="GM626" s="411"/>
      <c r="GS626" s="411"/>
      <c r="GY626" s="411"/>
      <c r="HE626" s="411"/>
    </row>
    <row r="627" spans="117:213">
      <c r="DM627" s="407"/>
      <c r="DS627" s="407"/>
      <c r="DY627" s="407"/>
      <c r="EE627" s="407"/>
      <c r="EK627" s="407"/>
      <c r="EQ627" s="407"/>
      <c r="EW627" s="407"/>
      <c r="FC627" s="407"/>
      <c r="FI627" s="407"/>
      <c r="FO627" s="407"/>
      <c r="FU627" s="407"/>
      <c r="GA627" s="407"/>
      <c r="GG627" s="407"/>
      <c r="GM627" s="407"/>
      <c r="GS627" s="407"/>
      <c r="GY627" s="407"/>
      <c r="HE627" s="407"/>
    </row>
    <row r="628" spans="117:213">
      <c r="DM628" s="407"/>
      <c r="DS628" s="407"/>
      <c r="DY628" s="407"/>
      <c r="EE628" s="407"/>
      <c r="EK628" s="407"/>
      <c r="EQ628" s="407"/>
      <c r="EW628" s="407"/>
      <c r="FC628" s="407"/>
      <c r="FI628" s="407"/>
      <c r="FO628" s="407"/>
      <c r="FU628" s="407"/>
      <c r="GA628" s="407"/>
      <c r="GG628" s="407"/>
      <c r="GM628" s="407"/>
      <c r="GS628" s="407"/>
      <c r="GY628" s="407"/>
      <c r="HE628" s="407"/>
    </row>
    <row r="629" spans="117:213">
      <c r="DM629" s="407"/>
      <c r="DS629" s="407"/>
      <c r="DY629" s="407"/>
      <c r="EE629" s="407"/>
      <c r="EK629" s="407"/>
      <c r="EQ629" s="407"/>
      <c r="EW629" s="407"/>
      <c r="FC629" s="407"/>
      <c r="FI629" s="407"/>
      <c r="FO629" s="407"/>
      <c r="FU629" s="407"/>
      <c r="GA629" s="407"/>
      <c r="GG629" s="407"/>
      <c r="GM629" s="407"/>
      <c r="GS629" s="407"/>
      <c r="GY629" s="407"/>
      <c r="HE629" s="407"/>
    </row>
    <row r="630" spans="117:213">
      <c r="DM630" s="409"/>
      <c r="DS630" s="409"/>
      <c r="DY630" s="409"/>
      <c r="EE630" s="409"/>
      <c r="EK630" s="409"/>
      <c r="EQ630" s="409"/>
      <c r="EW630" s="409"/>
      <c r="FC630" s="409"/>
      <c r="FI630" s="409"/>
      <c r="FO630" s="409"/>
      <c r="FU630" s="409"/>
      <c r="GA630" s="409"/>
      <c r="GG630" s="409"/>
      <c r="GM630" s="409"/>
      <c r="GS630" s="409"/>
      <c r="GY630" s="409"/>
      <c r="HE630" s="409"/>
    </row>
    <row r="631" spans="117:213">
      <c r="DM631" s="409"/>
      <c r="DS631" s="409"/>
      <c r="DY631" s="409"/>
      <c r="EE631" s="409"/>
      <c r="EK631" s="409"/>
      <c r="EQ631" s="409"/>
      <c r="EW631" s="409"/>
      <c r="FC631" s="409"/>
      <c r="FI631" s="409"/>
      <c r="FO631" s="409"/>
      <c r="FU631" s="409"/>
      <c r="GA631" s="409"/>
      <c r="GG631" s="409"/>
      <c r="GM631" s="409"/>
      <c r="GS631" s="409"/>
      <c r="GY631" s="409"/>
      <c r="HE631" s="409"/>
    </row>
    <row r="632" spans="117:213">
      <c r="DM632" s="409"/>
      <c r="DS632" s="409"/>
      <c r="DY632" s="409"/>
      <c r="EE632" s="409"/>
      <c r="EK632" s="409"/>
      <c r="EQ632" s="409"/>
      <c r="EW632" s="409"/>
      <c r="FC632" s="409"/>
      <c r="FI632" s="409"/>
      <c r="FO632" s="409"/>
      <c r="FU632" s="409"/>
      <c r="GA632" s="409"/>
      <c r="GG632" s="409"/>
      <c r="GM632" s="409"/>
      <c r="GS632" s="409"/>
      <c r="GY632" s="409"/>
      <c r="HE632" s="409"/>
    </row>
    <row r="633" spans="117:213">
      <c r="DM633" s="412"/>
      <c r="DS633" s="412"/>
      <c r="DY633" s="412"/>
      <c r="EE633" s="412"/>
      <c r="EK633" s="412"/>
      <c r="EQ633" s="412"/>
      <c r="EW633" s="412"/>
      <c r="FC633" s="412"/>
      <c r="FI633" s="506"/>
      <c r="FO633" s="412"/>
      <c r="FU633" s="412"/>
      <c r="GA633" s="412"/>
      <c r="GG633" s="412"/>
      <c r="GM633" s="412"/>
      <c r="GS633" s="412"/>
      <c r="GY633" s="412"/>
      <c r="HE633" s="412"/>
    </row>
    <row r="634" spans="117:213">
      <c r="DM634" s="410"/>
      <c r="DS634" s="410"/>
      <c r="DY634" s="410"/>
      <c r="EE634" s="410"/>
      <c r="EK634" s="410"/>
      <c r="EQ634" s="410"/>
      <c r="EW634" s="410"/>
      <c r="FC634" s="410"/>
      <c r="FI634" s="410"/>
      <c r="FO634" s="410"/>
      <c r="FU634" s="410"/>
      <c r="GA634" s="410"/>
      <c r="GG634" s="410"/>
      <c r="GM634" s="410"/>
      <c r="GS634" s="410"/>
      <c r="GY634" s="410"/>
      <c r="HE634" s="410"/>
    </row>
    <row r="635" spans="117:213">
      <c r="DM635" s="407"/>
      <c r="DS635" s="407"/>
      <c r="DY635" s="407"/>
      <c r="EE635" s="407"/>
      <c r="EK635" s="407"/>
      <c r="EQ635" s="407"/>
      <c r="EW635" s="407"/>
      <c r="FC635" s="407"/>
      <c r="FI635" s="407"/>
      <c r="FO635" s="407"/>
      <c r="FU635" s="407"/>
      <c r="GA635" s="407"/>
      <c r="GG635" s="407"/>
      <c r="GM635" s="407"/>
      <c r="GS635" s="407"/>
      <c r="GY635" s="407"/>
      <c r="HE635" s="407"/>
    </row>
    <row r="636" spans="117:213">
      <c r="DM636" s="407"/>
      <c r="DS636" s="407"/>
      <c r="DY636" s="407"/>
      <c r="EE636" s="407"/>
      <c r="EK636" s="407"/>
      <c r="EQ636" s="407"/>
      <c r="EW636" s="407"/>
      <c r="FC636" s="407"/>
      <c r="FI636" s="407"/>
      <c r="FO636" s="407"/>
      <c r="FU636" s="407"/>
      <c r="GA636" s="407"/>
      <c r="GG636" s="407"/>
      <c r="GM636" s="407"/>
      <c r="GS636" s="407"/>
      <c r="GY636" s="407"/>
      <c r="HE636" s="407"/>
    </row>
    <row r="637" spans="117:213">
      <c r="DM637" s="409"/>
      <c r="DS637" s="409"/>
      <c r="DY637" s="409"/>
      <c r="EE637" s="409"/>
      <c r="EK637" s="409"/>
      <c r="EQ637" s="409"/>
      <c r="EW637" s="409"/>
      <c r="FC637" s="409"/>
      <c r="FI637" s="409"/>
      <c r="FO637" s="409"/>
      <c r="FU637" s="409"/>
      <c r="GA637" s="409"/>
      <c r="GG637" s="409"/>
      <c r="GM637" s="409"/>
      <c r="GS637" s="409"/>
      <c r="GY637" s="409"/>
      <c r="HE637" s="409"/>
    </row>
    <row r="638" spans="117:213">
      <c r="DM638" s="409"/>
      <c r="DS638" s="409"/>
      <c r="DY638" s="409"/>
      <c r="EE638" s="409"/>
      <c r="EK638" s="409"/>
      <c r="EQ638" s="409"/>
      <c r="EW638" s="409"/>
      <c r="FC638" s="409"/>
      <c r="FI638" s="409"/>
      <c r="FO638" s="409"/>
      <c r="FU638" s="409"/>
      <c r="GA638" s="409"/>
      <c r="GG638" s="409"/>
      <c r="GM638" s="409"/>
      <c r="GS638" s="409"/>
      <c r="GY638" s="409"/>
      <c r="HE638" s="409"/>
    </row>
    <row r="639" spans="117:213">
      <c r="DM639" s="409"/>
      <c r="DS639" s="409"/>
      <c r="DY639" s="409"/>
      <c r="EE639" s="409"/>
      <c r="EK639" s="409"/>
      <c r="EQ639" s="409"/>
      <c r="EW639" s="409"/>
      <c r="FC639" s="409"/>
      <c r="FI639" s="409"/>
      <c r="FO639" s="409"/>
      <c r="FU639" s="409"/>
      <c r="GA639" s="409"/>
      <c r="GG639" s="409"/>
      <c r="GM639" s="409"/>
      <c r="GS639" s="409"/>
      <c r="GY639" s="409"/>
      <c r="HE639" s="409"/>
    </row>
    <row r="640" spans="117:213">
      <c r="DM640" s="409"/>
      <c r="DS640" s="409"/>
      <c r="DY640" s="409"/>
      <c r="EE640" s="409"/>
      <c r="EK640" s="409"/>
      <c r="EQ640" s="409"/>
      <c r="EW640" s="409"/>
      <c r="FC640" s="409"/>
      <c r="FI640" s="409"/>
      <c r="FO640" s="409"/>
      <c r="FU640" s="409"/>
      <c r="GA640" s="409"/>
      <c r="GG640" s="409"/>
      <c r="GM640" s="409"/>
      <c r="GS640" s="409"/>
      <c r="GY640" s="409"/>
      <c r="HE640" s="409"/>
    </row>
    <row r="641" spans="117:213">
      <c r="DM641" s="409"/>
      <c r="DS641" s="409"/>
      <c r="DY641" s="409"/>
      <c r="EE641" s="409"/>
      <c r="EK641" s="409"/>
      <c r="EQ641" s="409"/>
      <c r="EW641" s="409"/>
      <c r="FC641" s="409"/>
      <c r="FI641" s="409"/>
      <c r="FO641" s="409"/>
      <c r="FU641" s="409"/>
      <c r="GA641" s="409"/>
      <c r="GG641" s="409"/>
      <c r="GM641" s="409"/>
      <c r="GS641" s="409"/>
      <c r="GY641" s="409"/>
      <c r="HE641" s="409"/>
    </row>
    <row r="642" spans="117:213">
      <c r="DM642" s="409"/>
      <c r="DS642" s="409"/>
      <c r="DY642" s="409"/>
      <c r="EE642" s="409"/>
      <c r="EK642" s="409"/>
      <c r="EQ642" s="409"/>
      <c r="EW642" s="409"/>
      <c r="FC642" s="409"/>
      <c r="FI642" s="409"/>
      <c r="FO642" s="409"/>
      <c r="FU642" s="409"/>
      <c r="GA642" s="409"/>
      <c r="GG642" s="409"/>
      <c r="GM642" s="409"/>
      <c r="GS642" s="409"/>
      <c r="GY642" s="409"/>
      <c r="HE642" s="409"/>
    </row>
    <row r="643" spans="117:213">
      <c r="DM643" s="407"/>
      <c r="DS643" s="407"/>
      <c r="DY643" s="407"/>
      <c r="EE643" s="407"/>
      <c r="EK643" s="407"/>
      <c r="EQ643" s="407"/>
      <c r="EW643" s="407"/>
      <c r="FC643" s="407"/>
      <c r="FI643" s="407"/>
      <c r="FO643" s="407"/>
      <c r="FU643" s="407"/>
      <c r="GA643" s="407"/>
      <c r="GG643" s="407"/>
      <c r="GM643" s="407"/>
      <c r="GS643" s="407"/>
      <c r="GY643" s="407"/>
      <c r="HE643" s="407"/>
    </row>
    <row r="644" spans="117:213">
      <c r="DM644" s="396"/>
      <c r="DS644" s="396"/>
      <c r="DY644" s="396"/>
      <c r="EE644" s="396"/>
      <c r="EK644" s="396"/>
      <c r="EQ644" s="396"/>
      <c r="EW644" s="396"/>
      <c r="FC644" s="396"/>
      <c r="FI644" s="396"/>
      <c r="FO644" s="396"/>
      <c r="FU644" s="396"/>
      <c r="GA644" s="396"/>
      <c r="GG644" s="396"/>
      <c r="GM644" s="396"/>
      <c r="GS644" s="396"/>
      <c r="GY644" s="396"/>
      <c r="HE644" s="396"/>
    </row>
    <row r="645" spans="117:213">
      <c r="DM645" s="397"/>
      <c r="DS645" s="397"/>
      <c r="DY645" s="397"/>
      <c r="EE645" s="397"/>
      <c r="EK645" s="397"/>
      <c r="EQ645" s="397"/>
      <c r="EW645" s="397"/>
      <c r="FC645" s="397"/>
      <c r="FI645" s="397"/>
      <c r="FO645" s="397"/>
      <c r="FU645" s="397"/>
      <c r="GA645" s="397"/>
      <c r="GG645" s="397"/>
      <c r="GM645" s="397"/>
      <c r="GS645" s="397"/>
      <c r="GY645" s="397"/>
      <c r="HE645" s="397"/>
    </row>
    <row r="646" spans="117:213">
      <c r="DM646" s="394"/>
      <c r="DS646" s="394"/>
      <c r="DY646" s="394"/>
      <c r="EE646" s="394"/>
      <c r="EK646" s="394"/>
      <c r="EQ646" s="394"/>
      <c r="EW646" s="394"/>
      <c r="FC646" s="394"/>
      <c r="FI646" s="394"/>
      <c r="FO646" s="394"/>
      <c r="FU646" s="394"/>
      <c r="GA646" s="394"/>
      <c r="GG646" s="394"/>
      <c r="GM646" s="394"/>
      <c r="GS646" s="394"/>
      <c r="GY646" s="394"/>
      <c r="HE646" s="394"/>
    </row>
    <row r="647" spans="117:213">
      <c r="DM647" s="412"/>
      <c r="DS647" s="412"/>
      <c r="DY647" s="412"/>
      <c r="EE647" s="412"/>
      <c r="EK647" s="412"/>
      <c r="EQ647" s="412"/>
      <c r="EW647" s="412"/>
      <c r="FC647" s="412"/>
      <c r="FI647" s="506"/>
      <c r="FO647" s="412"/>
      <c r="FU647" s="412"/>
      <c r="GA647" s="412"/>
      <c r="GG647" s="412"/>
      <c r="GM647" s="412"/>
      <c r="GS647" s="412"/>
      <c r="GY647" s="412"/>
      <c r="HE647" s="412"/>
    </row>
    <row r="648" spans="117:213">
      <c r="DM648" s="396"/>
      <c r="DS648" s="396"/>
      <c r="DY648" s="396"/>
      <c r="EE648" s="396"/>
      <c r="EK648" s="396"/>
      <c r="EQ648" s="396"/>
      <c r="EW648" s="396"/>
      <c r="FC648" s="396"/>
      <c r="FI648" s="396"/>
      <c r="FO648" s="396"/>
      <c r="FU648" s="396"/>
      <c r="GA648" s="396"/>
      <c r="GG648" s="396"/>
      <c r="GM648" s="396"/>
      <c r="GS648" s="396"/>
      <c r="GY648" s="396"/>
      <c r="HE648" s="396"/>
    </row>
    <row r="649" spans="117:213">
      <c r="DM649" s="397"/>
      <c r="DS649" s="397"/>
      <c r="DY649" s="397"/>
      <c r="EE649" s="397"/>
      <c r="EK649" s="397"/>
      <c r="EQ649" s="397"/>
      <c r="EW649" s="397"/>
      <c r="FC649" s="397"/>
      <c r="FI649" s="397"/>
      <c r="FO649" s="397"/>
      <c r="FU649" s="397"/>
      <c r="GA649" s="397"/>
      <c r="GG649" s="397"/>
      <c r="GM649" s="397"/>
      <c r="GS649" s="397"/>
      <c r="GY649" s="397"/>
      <c r="HE649" s="397"/>
    </row>
    <row r="650" spans="117:213">
      <c r="DM650" s="394"/>
      <c r="DS650" s="394"/>
      <c r="DY650" s="394"/>
      <c r="EE650" s="394"/>
      <c r="EK650" s="394"/>
      <c r="EQ650" s="394"/>
      <c r="EW650" s="394"/>
      <c r="FC650" s="394"/>
      <c r="FI650" s="394"/>
      <c r="FO650" s="394"/>
      <c r="FU650" s="394"/>
      <c r="GA650" s="394"/>
      <c r="GG650" s="394"/>
      <c r="GM650" s="394"/>
      <c r="GS650" s="394"/>
      <c r="GY650" s="394"/>
      <c r="HE650" s="394"/>
    </row>
    <row r="651" spans="117:213">
      <c r="DM651" s="407"/>
      <c r="DS651" s="407"/>
      <c r="DY651" s="407"/>
      <c r="EE651" s="407"/>
      <c r="EK651" s="407"/>
      <c r="EQ651" s="407"/>
      <c r="EW651" s="407"/>
      <c r="FC651" s="407"/>
      <c r="FI651" s="407"/>
      <c r="FO651" s="407"/>
      <c r="FU651" s="407"/>
      <c r="GA651" s="407"/>
      <c r="GG651" s="407"/>
      <c r="GM651" s="407"/>
      <c r="GS651" s="407"/>
      <c r="GY651" s="407"/>
      <c r="HE651" s="407"/>
    </row>
    <row r="652" spans="117:213">
      <c r="DM652" s="396"/>
      <c r="DS652" s="396"/>
      <c r="DY652" s="396"/>
      <c r="EE652" s="396"/>
      <c r="EK652" s="396"/>
      <c r="EQ652" s="396"/>
      <c r="EW652" s="396"/>
      <c r="FC652" s="396"/>
      <c r="FI652" s="396"/>
      <c r="FO652" s="396"/>
      <c r="FU652" s="396"/>
      <c r="GA652" s="396"/>
      <c r="GG652" s="396"/>
      <c r="GM652" s="396"/>
      <c r="GS652" s="396"/>
      <c r="GY652" s="396"/>
      <c r="HE652" s="396"/>
    </row>
    <row r="653" spans="117:213">
      <c r="DM653" s="396"/>
      <c r="DS653" s="396"/>
      <c r="DY653" s="396"/>
      <c r="EE653" s="396"/>
      <c r="EK653" s="396"/>
      <c r="EQ653" s="396"/>
      <c r="EW653" s="396"/>
      <c r="FC653" s="396"/>
      <c r="FI653" s="396"/>
      <c r="FO653" s="396"/>
      <c r="FU653" s="396"/>
      <c r="GA653" s="396"/>
      <c r="GG653" s="396"/>
      <c r="GM653" s="396"/>
      <c r="GS653" s="396"/>
      <c r="GY653" s="396"/>
      <c r="HE653" s="396"/>
    </row>
    <row r="654" spans="117:213">
      <c r="DM654" s="396"/>
      <c r="DS654" s="396"/>
      <c r="DY654" s="396"/>
      <c r="EE654" s="396"/>
      <c r="EK654" s="396"/>
      <c r="EQ654" s="396"/>
      <c r="EW654" s="396"/>
      <c r="FC654" s="396"/>
      <c r="FI654" s="396"/>
      <c r="FO654" s="396"/>
      <c r="FU654" s="396"/>
      <c r="GA654" s="396"/>
      <c r="GG654" s="396"/>
      <c r="GM654" s="396"/>
      <c r="GS654" s="396"/>
      <c r="GY654" s="396"/>
      <c r="HE654" s="396"/>
    </row>
    <row r="655" spans="117:213">
      <c r="DM655" s="396"/>
      <c r="DS655" s="396"/>
      <c r="DY655" s="396"/>
      <c r="EE655" s="396"/>
      <c r="EK655" s="396"/>
      <c r="EQ655" s="396"/>
      <c r="EW655" s="396"/>
      <c r="FC655" s="396"/>
      <c r="FI655" s="396"/>
      <c r="FO655" s="396"/>
      <c r="FU655" s="396"/>
      <c r="GA655" s="396"/>
      <c r="GG655" s="396"/>
      <c r="GM655" s="396"/>
      <c r="GS655" s="396"/>
      <c r="GY655" s="396"/>
      <c r="HE655" s="396"/>
    </row>
    <row r="656" spans="117:213">
      <c r="DM656" s="507"/>
      <c r="DS656" s="507"/>
      <c r="DY656" s="507"/>
      <c r="EE656" s="507"/>
      <c r="EK656" s="507"/>
      <c r="EQ656" s="507"/>
      <c r="EW656" s="507"/>
      <c r="FC656" s="507"/>
      <c r="FI656" s="507"/>
      <c r="FO656" s="507"/>
      <c r="FU656" s="507"/>
      <c r="GA656" s="507"/>
      <c r="GG656" s="507"/>
      <c r="GM656" s="507"/>
      <c r="GS656" s="507"/>
      <c r="GY656" s="507"/>
      <c r="HE656" s="507"/>
    </row>
    <row r="658" spans="117:213">
      <c r="DM658" s="415"/>
      <c r="DS658" s="415"/>
      <c r="DY658" s="415"/>
      <c r="EE658" s="415"/>
      <c r="EK658" s="415"/>
      <c r="EQ658" s="415"/>
      <c r="EW658" s="415"/>
      <c r="FC658" s="415"/>
      <c r="FI658" s="430"/>
      <c r="FO658" s="415"/>
      <c r="FU658" s="415"/>
      <c r="GA658" s="415"/>
      <c r="GG658" s="415"/>
      <c r="GM658" s="415"/>
      <c r="GS658" s="415"/>
      <c r="GY658" s="415"/>
      <c r="HE658" s="415"/>
    </row>
    <row r="659" spans="117:213">
      <c r="DM659" s="510"/>
      <c r="DS659" s="510"/>
      <c r="DY659" s="510"/>
      <c r="EE659" s="510"/>
      <c r="EK659" s="510"/>
      <c r="EQ659" s="510"/>
      <c r="EW659" s="510"/>
      <c r="FC659" s="510"/>
      <c r="FI659" s="508"/>
      <c r="FO659" s="510"/>
      <c r="FU659" s="510"/>
      <c r="GA659" s="510"/>
      <c r="GG659" s="510"/>
      <c r="GM659" s="510"/>
      <c r="GS659" s="510"/>
      <c r="GY659" s="510"/>
      <c r="HE659" s="510"/>
    </row>
    <row r="660" spans="117:213">
      <c r="DM660" s="409"/>
      <c r="DS660" s="409"/>
      <c r="DY660" s="409"/>
      <c r="EE660" s="409"/>
      <c r="EK660" s="409"/>
      <c r="EQ660" s="409"/>
      <c r="EW660" s="409"/>
      <c r="FC660" s="409"/>
      <c r="FI660" s="409"/>
      <c r="FO660" s="409"/>
      <c r="FU660" s="409"/>
      <c r="GA660" s="409"/>
      <c r="GG660" s="409"/>
      <c r="GM660" s="409"/>
      <c r="GS660" s="409"/>
      <c r="GY660" s="409"/>
      <c r="HE660" s="409"/>
    </row>
    <row r="661" spans="117:213">
      <c r="DM661" s="424"/>
      <c r="DS661" s="424"/>
      <c r="DY661" s="424"/>
      <c r="EE661" s="424"/>
      <c r="EK661" s="424"/>
      <c r="EQ661" s="424"/>
      <c r="EW661" s="424"/>
      <c r="FC661" s="424"/>
      <c r="FI661" s="424"/>
      <c r="FO661" s="424"/>
      <c r="FU661" s="424"/>
      <c r="GA661" s="424"/>
      <c r="GG661" s="424"/>
      <c r="GM661" s="424"/>
      <c r="GS661" s="424"/>
      <c r="GY661" s="424"/>
      <c r="HE661" s="424"/>
    </row>
    <row r="662" spans="117:213">
      <c r="DM662" s="409"/>
      <c r="DS662" s="409"/>
      <c r="DY662" s="409"/>
      <c r="EE662" s="409"/>
      <c r="EK662" s="409"/>
      <c r="EQ662" s="409"/>
      <c r="EW662" s="409"/>
      <c r="FC662" s="409"/>
      <c r="FI662" s="409"/>
      <c r="FO662" s="409"/>
      <c r="FU662" s="409"/>
      <c r="GA662" s="409"/>
      <c r="GG662" s="409"/>
      <c r="GM662" s="409"/>
      <c r="GS662" s="409"/>
      <c r="GY662" s="409"/>
      <c r="HE662" s="409"/>
    </row>
    <row r="663" spans="117:213">
      <c r="DM663" s="510"/>
      <c r="DS663" s="510"/>
      <c r="DY663" s="510"/>
      <c r="EE663" s="510"/>
      <c r="EK663" s="510"/>
      <c r="EQ663" s="510"/>
      <c r="EW663" s="510"/>
      <c r="FC663" s="510"/>
      <c r="FI663" s="508"/>
      <c r="FO663" s="510"/>
      <c r="FU663" s="510"/>
      <c r="GA663" s="510"/>
      <c r="GG663" s="510"/>
      <c r="GM663" s="510"/>
      <c r="GS663" s="510"/>
      <c r="GY663" s="510"/>
      <c r="HE663" s="510"/>
    </row>
    <row r="664" spans="117:213">
      <c r="DM664" s="510"/>
      <c r="DS664" s="510"/>
      <c r="DY664" s="510"/>
      <c r="EE664" s="510"/>
      <c r="EK664" s="510"/>
      <c r="EQ664" s="510"/>
      <c r="EW664" s="510"/>
      <c r="FC664" s="510"/>
      <c r="FI664" s="508"/>
      <c r="FO664" s="510"/>
      <c r="FU664" s="510"/>
      <c r="GA664" s="510"/>
      <c r="GG664" s="510"/>
      <c r="GM664" s="510"/>
      <c r="GS664" s="510"/>
      <c r="GY664" s="510"/>
      <c r="HE664" s="510"/>
    </row>
    <row r="665" spans="117:213">
      <c r="DM665" s="412"/>
      <c r="DS665" s="412"/>
      <c r="DY665" s="412"/>
      <c r="EE665" s="412"/>
      <c r="EK665" s="412"/>
      <c r="EQ665" s="412"/>
      <c r="EW665" s="412"/>
      <c r="FC665" s="412"/>
      <c r="FI665" s="506"/>
      <c r="FO665" s="412"/>
      <c r="FU665" s="412"/>
      <c r="GA665" s="412"/>
      <c r="GG665" s="412"/>
      <c r="GM665" s="412"/>
      <c r="GS665" s="412"/>
      <c r="GY665" s="412"/>
      <c r="HE665" s="412"/>
    </row>
    <row r="666" spans="117:213">
      <c r="DM666" s="412"/>
      <c r="DS666" s="412"/>
      <c r="DY666" s="412"/>
      <c r="EE666" s="412"/>
      <c r="EK666" s="412"/>
      <c r="EQ666" s="412"/>
      <c r="EW666" s="412"/>
      <c r="FC666" s="412"/>
      <c r="FI666" s="506"/>
      <c r="FO666" s="412"/>
      <c r="FU666" s="412"/>
      <c r="GA666" s="412"/>
      <c r="GG666" s="412"/>
      <c r="GM666" s="412"/>
      <c r="GS666" s="412"/>
      <c r="GY666" s="412"/>
      <c r="HE666" s="412"/>
    </row>
    <row r="667" spans="117:213">
      <c r="DM667" s="409"/>
      <c r="DS667" s="409"/>
      <c r="DY667" s="409"/>
      <c r="EE667" s="409"/>
      <c r="EK667" s="409"/>
      <c r="EQ667" s="409"/>
      <c r="EW667" s="409"/>
      <c r="FC667" s="409"/>
      <c r="FI667" s="409"/>
      <c r="FO667" s="409"/>
      <c r="FU667" s="409"/>
      <c r="GA667" s="409"/>
      <c r="GG667" s="409"/>
      <c r="GM667" s="409"/>
      <c r="GS667" s="409"/>
      <c r="GY667" s="409"/>
      <c r="HE667" s="409"/>
    </row>
    <row r="668" spans="117:213">
      <c r="DM668" s="408"/>
      <c r="DS668" s="408"/>
      <c r="DY668" s="408"/>
      <c r="EE668" s="408"/>
      <c r="EK668" s="408"/>
      <c r="EQ668" s="408"/>
      <c r="EW668" s="408"/>
      <c r="FC668" s="408"/>
      <c r="FI668" s="408"/>
      <c r="FO668" s="408"/>
      <c r="FU668" s="408"/>
      <c r="GA668" s="408"/>
      <c r="GG668" s="408"/>
      <c r="GM668" s="408"/>
      <c r="GS668" s="408"/>
      <c r="GY668" s="408"/>
      <c r="HE668" s="408"/>
    </row>
    <row r="672" spans="117:213">
      <c r="DM672" s="393"/>
      <c r="DS672" s="393"/>
      <c r="DY672" s="393"/>
      <c r="EE672" s="393"/>
      <c r="EK672" s="393"/>
      <c r="EQ672" s="393"/>
      <c r="EW672" s="393"/>
      <c r="FC672" s="393"/>
      <c r="FI672" s="393"/>
      <c r="FO672" s="393"/>
      <c r="FU672" s="393"/>
      <c r="GA672" s="393"/>
      <c r="GG672" s="393"/>
      <c r="GM672" s="393"/>
      <c r="GS672" s="393"/>
      <c r="GY672" s="393"/>
      <c r="HE672" s="393"/>
    </row>
  </sheetData>
  <mergeCells count="21">
    <mergeCell ref="HF6:HJ6"/>
    <mergeCell ref="EL5:EP5"/>
    <mergeCell ref="EL6:EP6"/>
    <mergeCell ref="ER6:EV6"/>
    <mergeCell ref="EX6:FB6"/>
    <mergeCell ref="ER5:EV5"/>
    <mergeCell ref="EX5:FB5"/>
    <mergeCell ref="FD6:FH6"/>
    <mergeCell ref="FJ6:FN6"/>
    <mergeCell ref="GZ6:HD6"/>
    <mergeCell ref="FP6:FT6"/>
    <mergeCell ref="FV6:FZ6"/>
    <mergeCell ref="GB6:GF6"/>
    <mergeCell ref="GH6:GL6"/>
    <mergeCell ref="GN6:GR6"/>
    <mergeCell ref="GT6:GX6"/>
    <mergeCell ref="DH6:DL6"/>
    <mergeCell ref="DN6:DR6"/>
    <mergeCell ref="DT6:DX6"/>
    <mergeCell ref="DZ6:ED6"/>
    <mergeCell ref="EF6:EJ6"/>
  </mergeCells>
  <printOptions horizontalCentered="1" verticalCentered="1"/>
  <pageMargins left="0.5" right="0.5" top="0.5" bottom="0.5" header="0.5" footer="0.5"/>
  <pageSetup scale="72" orientation="landscape" r:id="rId1"/>
  <headerFooter alignWithMargins="0">
    <oddFooter>&amp;L_x000D_&amp;1#&amp;"Calibri"&amp;10&amp;K000000 Sensitivity: Public</oddFooter>
  </headerFooter>
  <ignoredErrors>
    <ignoredError sqref="ED33:ER33 EV33:EW33 FB14:HD14" formula="1"/>
    <ignoredError sqref="ER50:ER62 EX50:EX62" formulaRange="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R81"/>
  <sheetViews>
    <sheetView topLeftCell="A5" zoomScaleNormal="100" workbookViewId="0">
      <pane xSplit="3" ySplit="3" topLeftCell="ER17" activePane="bottomRight" state="frozen"/>
      <selection pane="topRight" activeCell="DT8" sqref="DT8"/>
      <selection pane="bottomLeft" activeCell="DT8" sqref="DT8"/>
      <selection pane="bottomRight" activeCell="FH28" sqref="FH28"/>
    </sheetView>
  </sheetViews>
  <sheetFormatPr defaultColWidth="8" defaultRowHeight="12.75" outlineLevelCol="1"/>
  <cols>
    <col min="1" max="1" width="6" style="31" customWidth="1"/>
    <col min="2" max="2" width="6.84375" style="31" customWidth="1"/>
    <col min="3" max="3" width="32" style="31" bestFit="1" customWidth="1"/>
    <col min="4" max="8" width="8" style="31" hidden="1" customWidth="1"/>
    <col min="9" max="9" width="1.69140625" style="31" hidden="1" customWidth="1"/>
    <col min="10" max="14" width="8" style="31" hidden="1" customWidth="1"/>
    <col min="15" max="15" width="1.69140625" style="31" hidden="1" customWidth="1"/>
    <col min="16" max="20" width="8" style="31" hidden="1" customWidth="1"/>
    <col min="21" max="21" width="1.69140625" style="31" hidden="1" customWidth="1"/>
    <col min="22" max="26" width="8" style="31" hidden="1" customWidth="1"/>
    <col min="27" max="27" width="1.69140625" style="31" hidden="1" customWidth="1"/>
    <col min="28" max="32" width="8" style="31" hidden="1" customWidth="1"/>
    <col min="33" max="33" width="1.69140625" style="31" hidden="1" customWidth="1"/>
    <col min="34" max="38" width="8" style="31" hidden="1" customWidth="1"/>
    <col min="39" max="39" width="1.69140625" style="31" hidden="1" customWidth="1"/>
    <col min="40" max="40" width="8" style="31" hidden="1" customWidth="1"/>
    <col min="41" max="41" width="8.15234375" style="31" hidden="1" customWidth="1"/>
    <col min="42" max="42" width="8" style="31" hidden="1" customWidth="1"/>
    <col min="43" max="43" width="8.15234375" style="31" hidden="1" customWidth="1"/>
    <col min="44" max="44" width="8" style="31" hidden="1" customWidth="1"/>
    <col min="45" max="45" width="1.69140625" style="31" hidden="1" customWidth="1"/>
    <col min="46" max="46" width="9.3046875" style="31" hidden="1" customWidth="1"/>
    <col min="47" max="49" width="8.3828125" style="31" hidden="1" customWidth="1"/>
    <col min="50" max="50" width="8.15234375" style="31" hidden="1" customWidth="1"/>
    <col min="51" max="51" width="1.69140625" style="31" hidden="1" customWidth="1"/>
    <col min="52" max="55" width="8.3828125" style="31" hidden="1" customWidth="1"/>
    <col min="56" max="56" width="8" style="31" hidden="1" customWidth="1"/>
    <col min="57" max="57" width="1.69140625" style="31" hidden="1" customWidth="1"/>
    <col min="58" max="62" width="8" style="31" hidden="1" customWidth="1"/>
    <col min="63" max="63" width="1.69140625" style="31" hidden="1" customWidth="1"/>
    <col min="64" max="68" width="8" style="31" hidden="1" customWidth="1"/>
    <col min="69" max="69" width="1.69140625" style="31" hidden="1" customWidth="1"/>
    <col min="70" max="70" width="8" style="31" hidden="1" customWidth="1" collapsed="1"/>
    <col min="71" max="74" width="8" style="31" hidden="1" customWidth="1"/>
    <col min="75" max="75" width="1.69140625" style="31" hidden="1" customWidth="1"/>
    <col min="76" max="80" width="8" style="31" hidden="1" customWidth="1"/>
    <col min="81" max="81" width="1.69140625" style="31" hidden="1" customWidth="1"/>
    <col min="82" max="86" width="8" style="31" hidden="1" customWidth="1"/>
    <col min="87" max="87" width="1.69140625" style="31" hidden="1" customWidth="1"/>
    <col min="88" max="88" width="8" style="31" hidden="1" customWidth="1" collapsed="1"/>
    <col min="89" max="92" width="8" style="31" hidden="1" customWidth="1"/>
    <col min="93" max="93" width="1.69140625" style="31" hidden="1" customWidth="1"/>
    <col min="94" max="94" width="8" style="31" hidden="1" customWidth="1" collapsed="1"/>
    <col min="95" max="98" width="8" style="31" hidden="1" customWidth="1"/>
    <col min="99" max="99" width="1.69140625" style="31" hidden="1" customWidth="1"/>
    <col min="100" max="100" width="8" style="31" hidden="1" customWidth="1" collapsed="1"/>
    <col min="101" max="104" width="8" style="31" hidden="1" customWidth="1"/>
    <col min="105" max="105" width="1.69140625" style="31" hidden="1" customWidth="1"/>
    <col min="106" max="110" width="8" style="31" hidden="1" customWidth="1"/>
    <col min="111" max="111" width="1.69140625" style="31" hidden="1" customWidth="1" collapsed="1"/>
    <col min="112" max="112" width="6.69140625" style="31" hidden="1" customWidth="1" outlineLevel="1" collapsed="1"/>
    <col min="113" max="116" width="6.69140625" style="31" hidden="1" customWidth="1" outlineLevel="1"/>
    <col min="117" max="117" width="1.69140625" style="31" hidden="1" customWidth="1" outlineLevel="1"/>
    <col min="118" max="122" width="6.69140625" style="31" hidden="1" customWidth="1" outlineLevel="1"/>
    <col min="123" max="123" width="1.69140625" style="31" hidden="1" customWidth="1" outlineLevel="1"/>
    <col min="124" max="124" width="6.69140625" style="31" hidden="1" customWidth="1" outlineLevel="1" collapsed="1"/>
    <col min="125" max="128" width="6.69140625" style="31" hidden="1" customWidth="1" outlineLevel="1"/>
    <col min="129" max="129" width="1.69140625" style="31" hidden="1" customWidth="1" outlineLevel="1"/>
    <col min="130" max="131" width="7" style="31" hidden="1" customWidth="1" outlineLevel="1"/>
    <col min="132" max="134" width="6.69140625" style="31" hidden="1" customWidth="1" outlineLevel="1"/>
    <col min="135" max="135" width="1.69140625" style="31" hidden="1" customWidth="1" outlineLevel="1"/>
    <col min="136" max="140" width="6.69140625" style="31" hidden="1" customWidth="1" outlineLevel="1"/>
    <col min="141" max="141" width="1.69140625" style="31" hidden="1" customWidth="1" outlineLevel="1"/>
    <col min="142" max="142" width="6.69140625" style="31" hidden="1" customWidth="1" outlineLevel="1" collapsed="1"/>
    <col min="143" max="146" width="6.69140625" style="31" hidden="1" customWidth="1" outlineLevel="1"/>
    <col min="147" max="147" width="1.69140625" style="31" hidden="1" customWidth="1" outlineLevel="1"/>
    <col min="148" max="148" width="6.69140625" style="31" customWidth="1" collapsed="1"/>
    <col min="149" max="149" width="6.84375" style="31" customWidth="1"/>
    <col min="150" max="152" width="6.69140625" style="31" customWidth="1"/>
    <col min="153" max="153" width="1.69140625" style="31" customWidth="1"/>
    <col min="154" max="158" width="6.69140625" style="31" customWidth="1"/>
    <col min="159" max="159" width="1.69140625" style="31" customWidth="1"/>
    <col min="160" max="164" width="6.69140625" style="31" customWidth="1"/>
    <col min="165" max="165" width="1.69140625" style="31" customWidth="1"/>
    <col min="166" max="169" width="6.69140625" style="31" hidden="1" customWidth="1" outlineLevel="1"/>
    <col min="170" max="170" width="6.69140625" style="31" customWidth="1" collapsed="1"/>
    <col min="171" max="171" width="1.69140625" style="31" customWidth="1"/>
    <col min="172" max="175" width="6.69140625" style="31" hidden="1" customWidth="1" outlineLevel="1"/>
    <col min="176" max="176" width="6.69140625" style="31" customWidth="1" collapsed="1"/>
    <col min="177" max="177" width="1.69140625" style="31" customWidth="1"/>
    <col min="178" max="181" width="6.69140625" style="31" hidden="1" customWidth="1" outlineLevel="1"/>
    <col min="182" max="182" width="6.69140625" style="31" customWidth="1" collapsed="1"/>
    <col min="183" max="183" width="1.69140625" style="31" customWidth="1"/>
    <col min="184" max="187" width="6.69140625" style="31" hidden="1" customWidth="1" outlineLevel="1"/>
    <col min="188" max="188" width="6.69140625" style="31" customWidth="1" collapsed="1"/>
    <col min="189" max="189" width="1.69140625" style="31" customWidth="1"/>
    <col min="190" max="193" width="6.69140625" style="31" hidden="1" customWidth="1" outlineLevel="1"/>
    <col min="194" max="194" width="6.69140625" style="31" customWidth="1" collapsed="1"/>
    <col min="195" max="195" width="1.69140625" style="31" customWidth="1"/>
    <col min="196" max="199" width="6.69140625" style="31" hidden="1" customWidth="1" outlineLevel="1"/>
    <col min="200" max="200" width="6.69140625" style="31" customWidth="1" collapsed="1"/>
    <col min="201" max="201" width="1.69140625" style="31" customWidth="1"/>
    <col min="202" max="205" width="6.69140625" style="31" hidden="1" customWidth="1" outlineLevel="1"/>
    <col min="206" max="206" width="6.69140625" style="31" customWidth="1" collapsed="1"/>
    <col min="207" max="207" width="1.69140625" style="31" customWidth="1"/>
    <col min="208" max="211" width="6.69140625" style="31" hidden="1" customWidth="1" outlineLevel="1"/>
    <col min="212" max="212" width="6.69140625" style="31" customWidth="1" collapsed="1"/>
    <col min="213" max="213" width="1.69140625" style="31" customWidth="1"/>
    <col min="214" max="217" width="7.15234375" style="31" hidden="1" customWidth="1" outlineLevel="1"/>
    <col min="218" max="218" width="7.15234375" style="31" customWidth="1" collapsed="1"/>
    <col min="219" max="16384" width="8" style="31"/>
  </cols>
  <sheetData>
    <row r="1" spans="1:226" s="8" customFormat="1" ht="12.75" customHeight="1">
      <c r="B1" s="9" t="str">
        <f>Intro!C5</f>
        <v>NeoGenomics</v>
      </c>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row>
    <row r="2" spans="1:226" s="8" customFormat="1">
      <c r="B2" s="9" t="s">
        <v>109</v>
      </c>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row>
    <row r="3" spans="1:226" s="8" customFormat="1">
      <c r="B3" s="10" t="str">
        <f>IS!EY4</f>
        <v>Dollars in millions, except per share amounts</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row>
    <row r="4" spans="1:226" s="8" customFormat="1">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row>
    <row r="5" spans="1:226" s="8" customFormat="1">
      <c r="D5" s="11" t="s">
        <v>13</v>
      </c>
      <c r="E5" s="11"/>
      <c r="F5" s="11"/>
      <c r="G5" s="11"/>
      <c r="H5" s="11"/>
      <c r="J5" s="11" t="s">
        <v>13</v>
      </c>
      <c r="K5" s="11"/>
      <c r="L5" s="11"/>
      <c r="M5" s="11"/>
      <c r="N5" s="11"/>
      <c r="P5" s="11" t="s">
        <v>13</v>
      </c>
      <c r="Q5" s="11"/>
      <c r="R5" s="11"/>
      <c r="S5" s="11"/>
      <c r="T5" s="11"/>
      <c r="U5" s="10" t="s">
        <v>14</v>
      </c>
      <c r="V5" s="11" t="s">
        <v>13</v>
      </c>
      <c r="W5" s="11"/>
      <c r="X5" s="11"/>
      <c r="Y5" s="11"/>
      <c r="Z5" s="11"/>
      <c r="AA5" s="10" t="s">
        <v>14</v>
      </c>
      <c r="AB5" s="11" t="s">
        <v>13</v>
      </c>
      <c r="AC5" s="11"/>
      <c r="AD5" s="11"/>
      <c r="AE5" s="11"/>
      <c r="AF5" s="11"/>
      <c r="AG5" s="10" t="s">
        <v>14</v>
      </c>
      <c r="AH5" s="11" t="s">
        <v>13</v>
      </c>
      <c r="AI5" s="11"/>
      <c r="AJ5" s="11"/>
      <c r="AK5" s="11"/>
      <c r="AL5" s="11"/>
      <c r="AM5" s="12"/>
      <c r="AN5" s="11" t="s">
        <v>13</v>
      </c>
      <c r="AO5" s="11"/>
      <c r="AP5" s="11"/>
      <c r="AQ5" s="11"/>
      <c r="AR5" s="11"/>
      <c r="AS5" s="12"/>
      <c r="AT5" s="11" t="s">
        <v>13</v>
      </c>
      <c r="AU5" s="11"/>
      <c r="AV5" s="11"/>
      <c r="AW5" s="11"/>
      <c r="AX5" s="11"/>
      <c r="AY5" s="12"/>
      <c r="AZ5" s="11" t="s">
        <v>13</v>
      </c>
      <c r="BA5" s="11"/>
      <c r="BB5" s="11"/>
      <c r="BC5" s="11"/>
      <c r="BD5" s="11"/>
      <c r="BE5" s="12"/>
      <c r="BF5" s="11" t="s">
        <v>13</v>
      </c>
      <c r="BG5" s="11"/>
      <c r="BH5" s="11"/>
      <c r="BI5" s="11"/>
      <c r="BJ5" s="11"/>
      <c r="BK5" s="12"/>
      <c r="BL5" s="11" t="s">
        <v>13</v>
      </c>
      <c r="BM5" s="11"/>
      <c r="BN5" s="11"/>
      <c r="BO5" s="11"/>
      <c r="BP5" s="11"/>
      <c r="BQ5" s="12"/>
      <c r="BR5" s="11" t="s">
        <v>13</v>
      </c>
      <c r="BS5" s="11"/>
      <c r="BT5" s="11"/>
      <c r="BU5" s="11"/>
      <c r="BV5" s="11"/>
      <c r="BW5" s="12"/>
      <c r="BX5" s="11" t="s">
        <v>13</v>
      </c>
      <c r="BY5" s="11"/>
      <c r="BZ5" s="11"/>
      <c r="CA5" s="11"/>
      <c r="CB5" s="11"/>
      <c r="CC5" s="12"/>
      <c r="CD5" s="11" t="s">
        <v>13</v>
      </c>
      <c r="CE5" s="11"/>
      <c r="CF5" s="11"/>
      <c r="CG5" s="11"/>
      <c r="CH5" s="11"/>
      <c r="CI5" s="12"/>
      <c r="CJ5" s="11" t="s">
        <v>13</v>
      </c>
      <c r="CK5" s="11"/>
      <c r="CL5" s="11"/>
      <c r="CM5" s="11"/>
      <c r="CN5" s="11"/>
      <c r="CO5" s="12"/>
      <c r="CP5" s="11" t="s">
        <v>13</v>
      </c>
      <c r="CQ5" s="11"/>
      <c r="CR5" s="11"/>
      <c r="CS5" s="11"/>
      <c r="CT5" s="11"/>
      <c r="CU5" s="12"/>
      <c r="CV5" s="11" t="s">
        <v>13</v>
      </c>
      <c r="CW5" s="11"/>
      <c r="CX5" s="11"/>
      <c r="CY5" s="11"/>
      <c r="CZ5" s="11"/>
      <c r="DA5" s="12"/>
      <c r="DB5" s="11" t="s">
        <v>13</v>
      </c>
      <c r="DC5" s="11"/>
      <c r="DD5" s="11"/>
      <c r="DE5" s="11"/>
      <c r="DF5" s="11"/>
      <c r="DG5" s="12"/>
      <c r="DH5" s="11" t="s">
        <v>13</v>
      </c>
      <c r="DI5" s="11"/>
      <c r="DJ5" s="11"/>
      <c r="DK5" s="11"/>
      <c r="DL5" s="11"/>
      <c r="DM5" s="12"/>
      <c r="DN5" s="11" t="s">
        <v>13</v>
      </c>
      <c r="DO5" s="11"/>
      <c r="DP5" s="11"/>
      <c r="DQ5" s="11"/>
      <c r="DR5" s="11"/>
      <c r="DS5" s="12"/>
      <c r="DT5" s="11" t="s">
        <v>13</v>
      </c>
      <c r="DU5" s="11"/>
      <c r="DV5" s="11"/>
      <c r="DW5" s="11"/>
      <c r="DX5" s="11"/>
      <c r="DY5" s="10"/>
      <c r="DZ5" s="11" t="s">
        <v>13</v>
      </c>
      <c r="EA5" s="11"/>
      <c r="EB5" s="11"/>
      <c r="EC5" s="11"/>
      <c r="ED5" s="11"/>
      <c r="EE5" s="10"/>
      <c r="EF5" s="11" t="s">
        <v>13</v>
      </c>
      <c r="EG5" s="11"/>
      <c r="EH5" s="11"/>
      <c r="EI5" s="11"/>
      <c r="EJ5" s="11"/>
      <c r="EK5" s="12"/>
      <c r="EL5" s="11" t="s">
        <v>13</v>
      </c>
      <c r="EM5" s="11"/>
      <c r="EN5" s="11"/>
      <c r="EO5" s="11"/>
      <c r="EP5" s="11"/>
      <c r="EQ5" s="10"/>
      <c r="ER5" s="937" t="s">
        <v>13</v>
      </c>
      <c r="ES5" s="937"/>
      <c r="ET5" s="937"/>
      <c r="EU5" s="937"/>
      <c r="EV5" s="937"/>
      <c r="EW5" s="23"/>
      <c r="EX5" s="937" t="s">
        <v>13</v>
      </c>
      <c r="EY5" s="937"/>
      <c r="EZ5" s="937"/>
      <c r="FA5" s="937"/>
      <c r="FB5" s="937"/>
      <c r="FC5" s="12"/>
      <c r="FD5" s="10" t="s">
        <v>15</v>
      </c>
      <c r="FE5" s="10"/>
      <c r="FF5" s="10"/>
      <c r="FG5" s="10"/>
      <c r="FH5" s="10"/>
      <c r="FI5" s="12"/>
      <c r="FJ5" s="10" t="s">
        <v>15</v>
      </c>
      <c r="FK5" s="10"/>
      <c r="FL5" s="10"/>
      <c r="FM5" s="10"/>
      <c r="FN5" s="10"/>
      <c r="FO5" s="12"/>
      <c r="FP5" s="69" t="s">
        <v>15</v>
      </c>
      <c r="FQ5" s="69"/>
      <c r="FR5" s="69"/>
      <c r="FS5" s="69"/>
      <c r="FT5" s="69"/>
      <c r="FU5" s="12"/>
      <c r="FV5" s="10" t="s">
        <v>15</v>
      </c>
      <c r="FW5" s="10"/>
      <c r="FX5" s="10"/>
      <c r="FY5" s="10"/>
      <c r="FZ5" s="10"/>
      <c r="GA5" s="12"/>
      <c r="GB5" s="10" t="s">
        <v>15</v>
      </c>
      <c r="GC5" s="10"/>
      <c r="GD5" s="10"/>
      <c r="GE5" s="10"/>
      <c r="GF5" s="10"/>
      <c r="GG5" s="12"/>
      <c r="GH5" s="10" t="s">
        <v>15</v>
      </c>
      <c r="GI5" s="10"/>
      <c r="GJ5" s="10"/>
      <c r="GK5" s="10"/>
      <c r="GL5" s="10"/>
      <c r="GN5" s="10" t="s">
        <v>15</v>
      </c>
      <c r="GO5" s="10"/>
      <c r="GP5" s="10"/>
      <c r="GQ5" s="10"/>
      <c r="GR5" s="10"/>
      <c r="GT5" s="10" t="s">
        <v>15</v>
      </c>
      <c r="GU5" s="10"/>
      <c r="GV5" s="10"/>
      <c r="GW5" s="10"/>
      <c r="GX5" s="10"/>
      <c r="GZ5" s="10" t="s">
        <v>15</v>
      </c>
      <c r="HA5" s="10"/>
      <c r="HB5" s="10"/>
      <c r="HC5" s="10"/>
      <c r="HD5" s="10"/>
      <c r="HF5" s="10" t="s">
        <v>15</v>
      </c>
      <c r="HG5" s="10"/>
      <c r="HH5" s="10"/>
      <c r="HI5" s="10"/>
      <c r="HJ5" s="10"/>
    </row>
    <row r="6" spans="1:226" s="13" customFormat="1">
      <c r="D6" s="14">
        <v>2000</v>
      </c>
      <c r="E6" s="14"/>
      <c r="F6" s="14"/>
      <c r="G6" s="14"/>
      <c r="H6" s="14"/>
      <c r="J6" s="14">
        <v>2001</v>
      </c>
      <c r="K6" s="14"/>
      <c r="L6" s="14"/>
      <c r="M6" s="14"/>
      <c r="N6" s="14"/>
      <c r="P6" s="14">
        <v>2002</v>
      </c>
      <c r="Q6" s="14"/>
      <c r="R6" s="14"/>
      <c r="S6" s="14"/>
      <c r="T6" s="14"/>
      <c r="V6" s="14">
        <v>2003</v>
      </c>
      <c r="W6" s="14"/>
      <c r="X6" s="14"/>
      <c r="Y6" s="14"/>
      <c r="Z6" s="14"/>
      <c r="AB6" s="14">
        <v>2004</v>
      </c>
      <c r="AC6" s="14"/>
      <c r="AD6" s="14"/>
      <c r="AE6" s="14"/>
      <c r="AF6" s="14"/>
      <c r="AH6" s="14">
        <v>2005</v>
      </c>
      <c r="AI6" s="14"/>
      <c r="AJ6" s="14"/>
      <c r="AK6" s="14"/>
      <c r="AL6" s="449"/>
      <c r="AN6" s="14">
        <v>2006</v>
      </c>
      <c r="AO6" s="14"/>
      <c r="AP6" s="14"/>
      <c r="AQ6" s="14"/>
      <c r="AR6" s="14"/>
      <c r="AT6" s="14">
        <v>2007</v>
      </c>
      <c r="AU6" s="14"/>
      <c r="AV6" s="14"/>
      <c r="AW6" s="14"/>
      <c r="AX6" s="14"/>
      <c r="AZ6" s="14">
        <v>2008</v>
      </c>
      <c r="BA6" s="14"/>
      <c r="BB6" s="14"/>
      <c r="BC6" s="14"/>
      <c r="BD6" s="14"/>
      <c r="BF6" s="14">
        <v>2009</v>
      </c>
      <c r="BG6" s="14"/>
      <c r="BH6" s="14"/>
      <c r="BI6" s="14"/>
      <c r="BJ6" s="14"/>
      <c r="BL6" s="14">
        <v>2010</v>
      </c>
      <c r="BM6" s="14"/>
      <c r="BN6" s="14"/>
      <c r="BO6" s="14"/>
      <c r="BP6" s="14"/>
      <c r="BR6" s="14">
        <v>2011</v>
      </c>
      <c r="BS6" s="14"/>
      <c r="BT6" s="14"/>
      <c r="BU6" s="14"/>
      <c r="BV6" s="14"/>
      <c r="BX6" s="14">
        <v>2012</v>
      </c>
      <c r="BY6" s="14"/>
      <c r="BZ6" s="14"/>
      <c r="CA6" s="14"/>
      <c r="CB6" s="14"/>
      <c r="CD6" s="14">
        <v>2013</v>
      </c>
      <c r="CE6" s="14"/>
      <c r="CF6" s="14"/>
      <c r="CG6" s="14"/>
      <c r="CH6" s="14"/>
      <c r="CJ6" s="14">
        <v>2014</v>
      </c>
      <c r="CK6" s="14"/>
      <c r="CL6" s="14"/>
      <c r="CM6" s="14"/>
      <c r="CN6" s="14"/>
      <c r="CP6" s="14">
        <v>2015</v>
      </c>
      <c r="CQ6" s="14"/>
      <c r="CR6" s="14"/>
      <c r="CS6" s="14"/>
      <c r="CT6" s="14"/>
      <c r="CV6" s="14">
        <v>2016</v>
      </c>
      <c r="CW6" s="14"/>
      <c r="CX6" s="14"/>
      <c r="CY6" s="14"/>
      <c r="CZ6" s="14"/>
      <c r="DB6" s="14">
        <v>2017</v>
      </c>
      <c r="DC6" s="14"/>
      <c r="DD6" s="14"/>
      <c r="DE6" s="14"/>
      <c r="DF6" s="14"/>
      <c r="DH6" s="941">
        <v>2018</v>
      </c>
      <c r="DI6" s="941"/>
      <c r="DJ6" s="941"/>
      <c r="DK6" s="941"/>
      <c r="DL6" s="941"/>
      <c r="DN6" s="941">
        <v>2019</v>
      </c>
      <c r="DO6" s="941"/>
      <c r="DP6" s="941"/>
      <c r="DQ6" s="941"/>
      <c r="DR6" s="941"/>
      <c r="DT6" s="941">
        <v>2020</v>
      </c>
      <c r="DU6" s="941"/>
      <c r="DV6" s="941"/>
      <c r="DW6" s="941"/>
      <c r="DX6" s="941"/>
      <c r="DZ6" s="941">
        <v>2021</v>
      </c>
      <c r="EA6" s="941"/>
      <c r="EB6" s="941"/>
      <c r="EC6" s="941"/>
      <c r="ED6" s="941"/>
      <c r="EF6" s="941">
        <v>2022</v>
      </c>
      <c r="EG6" s="941"/>
      <c r="EH6" s="941"/>
      <c r="EI6" s="941"/>
      <c r="EJ6" s="941"/>
      <c r="EL6" s="941">
        <v>2023</v>
      </c>
      <c r="EM6" s="941"/>
      <c r="EN6" s="941"/>
      <c r="EO6" s="941"/>
      <c r="EP6" s="941"/>
      <c r="ER6" s="938">
        <f>EL6+1</f>
        <v>2024</v>
      </c>
      <c r="ES6" s="938"/>
      <c r="ET6" s="938"/>
      <c r="EU6" s="938"/>
      <c r="EV6" s="938"/>
      <c r="EW6" s="877"/>
      <c r="EX6" s="938">
        <f>ER6+1</f>
        <v>2025</v>
      </c>
      <c r="EY6" s="938"/>
      <c r="EZ6" s="938"/>
      <c r="FA6" s="938"/>
      <c r="FB6" s="938"/>
      <c r="FD6" s="941">
        <f>EX6+1</f>
        <v>2026</v>
      </c>
      <c r="FE6" s="941"/>
      <c r="FF6" s="941"/>
      <c r="FG6" s="941"/>
      <c r="FH6" s="941"/>
      <c r="FJ6" s="941">
        <f>FD6+1</f>
        <v>2027</v>
      </c>
      <c r="FK6" s="941"/>
      <c r="FL6" s="941"/>
      <c r="FM6" s="941"/>
      <c r="FN6" s="941"/>
      <c r="FP6" s="941">
        <f>FJ6+1</f>
        <v>2028</v>
      </c>
      <c r="FQ6" s="941"/>
      <c r="FR6" s="941"/>
      <c r="FS6" s="941"/>
      <c r="FT6" s="941"/>
      <c r="FV6" s="941">
        <f>FP6+1</f>
        <v>2029</v>
      </c>
      <c r="FW6" s="941"/>
      <c r="FX6" s="941"/>
      <c r="FY6" s="941"/>
      <c r="FZ6" s="941"/>
      <c r="GB6" s="941">
        <f>FV6+1</f>
        <v>2030</v>
      </c>
      <c r="GC6" s="941"/>
      <c r="GD6" s="941"/>
      <c r="GE6" s="941"/>
      <c r="GF6" s="941"/>
      <c r="GH6" s="941">
        <f>GB6+1</f>
        <v>2031</v>
      </c>
      <c r="GI6" s="941"/>
      <c r="GJ6" s="941"/>
      <c r="GK6" s="941"/>
      <c r="GL6" s="941"/>
      <c r="GN6" s="941">
        <f>GH6+1</f>
        <v>2032</v>
      </c>
      <c r="GO6" s="941"/>
      <c r="GP6" s="941"/>
      <c r="GQ6" s="941"/>
      <c r="GR6" s="941"/>
      <c r="GT6" s="941">
        <f>GN6+1</f>
        <v>2033</v>
      </c>
      <c r="GU6" s="941"/>
      <c r="GV6" s="941"/>
      <c r="GW6" s="941"/>
      <c r="GX6" s="941"/>
      <c r="GZ6" s="941">
        <f>GT6+1</f>
        <v>2034</v>
      </c>
      <c r="HA6" s="941"/>
      <c r="HB6" s="941"/>
      <c r="HC6" s="941"/>
      <c r="HD6" s="941"/>
      <c r="HF6" s="941">
        <f>GZ6+1</f>
        <v>2035</v>
      </c>
      <c r="HG6" s="941"/>
      <c r="HH6" s="941"/>
      <c r="HI6" s="941"/>
      <c r="HJ6" s="941"/>
    </row>
    <row r="7" spans="1:226" s="16" customFormat="1">
      <c r="D7" s="16">
        <f>IS!D7</f>
        <v>36616</v>
      </c>
      <c r="E7" s="16">
        <f>IS!E7</f>
        <v>36707</v>
      </c>
      <c r="F7" s="16">
        <f>IS!F7</f>
        <v>36799</v>
      </c>
      <c r="G7" s="16">
        <f>IS!G7</f>
        <v>36891</v>
      </c>
      <c r="H7" s="16" t="s">
        <v>16</v>
      </c>
      <c r="J7" s="16">
        <f>IS!J7</f>
        <v>36981</v>
      </c>
      <c r="K7" s="16">
        <f>IS!K7</f>
        <v>37072</v>
      </c>
      <c r="L7" s="16">
        <f>IS!L7</f>
        <v>37164</v>
      </c>
      <c r="M7" s="16">
        <f>IS!M7</f>
        <v>37256</v>
      </c>
      <c r="N7" s="16" t="s">
        <v>16</v>
      </c>
      <c r="P7" s="16">
        <f>IS!P7</f>
        <v>37346</v>
      </c>
      <c r="Q7" s="16">
        <f>IS!Q7</f>
        <v>37437</v>
      </c>
      <c r="R7" s="16">
        <f>IS!R7</f>
        <v>37529</v>
      </c>
      <c r="S7" s="16">
        <f>IS!S7</f>
        <v>37621</v>
      </c>
      <c r="T7" s="16" t="s">
        <v>16</v>
      </c>
      <c r="V7" s="16">
        <f>IS!V7</f>
        <v>37711</v>
      </c>
      <c r="W7" s="16">
        <f>IS!W7</f>
        <v>37802</v>
      </c>
      <c r="X7" s="16">
        <f>IS!X7</f>
        <v>37894</v>
      </c>
      <c r="Y7" s="16">
        <f>IS!Y7</f>
        <v>37986</v>
      </c>
      <c r="Z7" s="16" t="s">
        <v>16</v>
      </c>
      <c r="AB7" s="16">
        <f>IS!AB7</f>
        <v>38077</v>
      </c>
      <c r="AC7" s="16">
        <f>IS!AC7</f>
        <v>38168</v>
      </c>
      <c r="AD7" s="16">
        <f>IS!AD7</f>
        <v>38260</v>
      </c>
      <c r="AE7" s="16">
        <f>IS!AE7</f>
        <v>38352</v>
      </c>
      <c r="AF7" s="16" t="s">
        <v>16</v>
      </c>
      <c r="AH7" s="16">
        <f>IS!AH7</f>
        <v>38442</v>
      </c>
      <c r="AI7" s="16">
        <f>IS!AI7</f>
        <v>38533</v>
      </c>
      <c r="AJ7" s="16">
        <f>IS!AJ7</f>
        <v>38625</v>
      </c>
      <c r="AK7" s="16">
        <f>IS!AK7</f>
        <v>38717</v>
      </c>
      <c r="AL7" s="16" t="s">
        <v>16</v>
      </c>
      <c r="AN7" s="16">
        <f>IS!AN7</f>
        <v>38807</v>
      </c>
      <c r="AO7" s="16">
        <f>IS!AO7</f>
        <v>38898</v>
      </c>
      <c r="AP7" s="16">
        <f>IS!AP7</f>
        <v>38990</v>
      </c>
      <c r="AQ7" s="16">
        <f>IS!AQ7</f>
        <v>39082</v>
      </c>
      <c r="AR7" s="16" t="s">
        <v>16</v>
      </c>
      <c r="AT7" s="16">
        <f>IS!AT7</f>
        <v>39172</v>
      </c>
      <c r="AU7" s="16">
        <f>IS!AU7</f>
        <v>39263</v>
      </c>
      <c r="AV7" s="16">
        <f>IS!AV7</f>
        <v>39355</v>
      </c>
      <c r="AW7" s="16">
        <f>IS!AW7</f>
        <v>39447</v>
      </c>
      <c r="AX7" s="16" t="s">
        <v>16</v>
      </c>
      <c r="AZ7" s="16">
        <f>IS!AZ7</f>
        <v>39537</v>
      </c>
      <c r="BA7" s="16">
        <f>IS!BA7</f>
        <v>39628</v>
      </c>
      <c r="BB7" s="16">
        <f>IS!BB7</f>
        <v>39720</v>
      </c>
      <c r="BC7" s="16">
        <f>IS!BC7</f>
        <v>39812</v>
      </c>
      <c r="BD7" s="16" t="s">
        <v>16</v>
      </c>
      <c r="BF7" s="16">
        <f>IS!BF7</f>
        <v>39902</v>
      </c>
      <c r="BG7" s="16">
        <f>IS!BG7</f>
        <v>39993</v>
      </c>
      <c r="BH7" s="16">
        <f>IS!BH7</f>
        <v>40085</v>
      </c>
      <c r="BI7" s="16">
        <f>IS!BI7</f>
        <v>40177</v>
      </c>
      <c r="BJ7" s="16" t="s">
        <v>16</v>
      </c>
      <c r="BL7" s="16">
        <f>IS!BL7</f>
        <v>40267</v>
      </c>
      <c r="BM7" s="16">
        <f>IS!BM7</f>
        <v>40358</v>
      </c>
      <c r="BN7" s="16">
        <f>IS!BN7</f>
        <v>40450</v>
      </c>
      <c r="BO7" s="16">
        <f>IS!BO7</f>
        <v>40542</v>
      </c>
      <c r="BP7" s="16" t="s">
        <v>16</v>
      </c>
      <c r="BR7" s="16">
        <f>IS!BR7</f>
        <v>40632</v>
      </c>
      <c r="BS7" s="16">
        <f>IS!BS7</f>
        <v>40723</v>
      </c>
      <c r="BT7" s="16">
        <f>IS!BT7</f>
        <v>40815</v>
      </c>
      <c r="BU7" s="16">
        <f>IS!BU7</f>
        <v>40907</v>
      </c>
      <c r="BV7" s="16" t="s">
        <v>16</v>
      </c>
      <c r="BX7" s="16">
        <f>IS!BX7</f>
        <v>40997</v>
      </c>
      <c r="BY7" s="16">
        <f>IS!BY7</f>
        <v>41088</v>
      </c>
      <c r="BZ7" s="16">
        <f>IS!BZ7</f>
        <v>41180</v>
      </c>
      <c r="CA7" s="16">
        <f>IS!CA7</f>
        <v>41272</v>
      </c>
      <c r="CB7" s="16" t="s">
        <v>16</v>
      </c>
      <c r="CD7" s="16">
        <f>IS!CD7</f>
        <v>41362</v>
      </c>
      <c r="CE7" s="16">
        <f>IS!CE7</f>
        <v>41453</v>
      </c>
      <c r="CF7" s="16">
        <f>IS!CF7</f>
        <v>41545</v>
      </c>
      <c r="CG7" s="16">
        <f>IS!CG7</f>
        <v>41637</v>
      </c>
      <c r="CH7" s="16" t="s">
        <v>16</v>
      </c>
      <c r="CJ7" s="16">
        <f>IS!CJ7</f>
        <v>41727</v>
      </c>
      <c r="CK7" s="16">
        <f>IS!CK7</f>
        <v>41818</v>
      </c>
      <c r="CL7" s="16">
        <f>IS!CL7</f>
        <v>41910</v>
      </c>
      <c r="CM7" s="16">
        <f>IS!CM7</f>
        <v>42002</v>
      </c>
      <c r="CN7" s="16" t="s">
        <v>16</v>
      </c>
      <c r="CP7" s="16">
        <f>IS!CP7</f>
        <v>42092</v>
      </c>
      <c r="CQ7" s="16">
        <f>IS!CQ7</f>
        <v>42183</v>
      </c>
      <c r="CR7" s="16">
        <f>IS!CR7</f>
        <v>42275</v>
      </c>
      <c r="CS7" s="16">
        <f>IS!CS7</f>
        <v>42367</v>
      </c>
      <c r="CT7" s="16" t="s">
        <v>16</v>
      </c>
      <c r="CV7" s="16">
        <f>IS!CV7</f>
        <v>42457</v>
      </c>
      <c r="CW7" s="16">
        <f>IS!CW7</f>
        <v>42548</v>
      </c>
      <c r="CX7" s="16">
        <f>IS!CX7</f>
        <v>42640</v>
      </c>
      <c r="CY7" s="16">
        <f>IS!CY7</f>
        <v>42732</v>
      </c>
      <c r="CZ7" s="16" t="s">
        <v>16</v>
      </c>
      <c r="DB7" s="16">
        <f>IS!DB7</f>
        <v>42822</v>
      </c>
      <c r="DC7" s="16">
        <f>IS!DC7</f>
        <v>42913</v>
      </c>
      <c r="DD7" s="16">
        <f>IS!DD7</f>
        <v>43005</v>
      </c>
      <c r="DE7" s="16">
        <f>IS!DE7</f>
        <v>43097</v>
      </c>
      <c r="DF7" s="16" t="s">
        <v>16</v>
      </c>
      <c r="DH7" s="16">
        <f>IS!DH7</f>
        <v>43190</v>
      </c>
      <c r="DI7" s="16">
        <f>IS!DI7</f>
        <v>43281</v>
      </c>
      <c r="DJ7" s="16">
        <f>IS!DJ7</f>
        <v>43373</v>
      </c>
      <c r="DK7" s="16">
        <f>IS!DK7</f>
        <v>43465</v>
      </c>
      <c r="DL7" s="16" t="s">
        <v>16</v>
      </c>
      <c r="DN7" s="16">
        <f>IS!DN7</f>
        <v>43555</v>
      </c>
      <c r="DO7" s="16">
        <f>IS!DO7</f>
        <v>43646</v>
      </c>
      <c r="DP7" s="16">
        <f>IS!DP7</f>
        <v>43738</v>
      </c>
      <c r="DQ7" s="16">
        <f>IS!DQ7</f>
        <v>43830</v>
      </c>
      <c r="DR7" s="16" t="s">
        <v>16</v>
      </c>
      <c r="DT7" s="16">
        <f>IS!DT7</f>
        <v>43920</v>
      </c>
      <c r="DU7" s="16">
        <f>IS!DU7</f>
        <v>44011</v>
      </c>
      <c r="DV7" s="16">
        <f>IS!DV7</f>
        <v>44103</v>
      </c>
      <c r="DW7" s="16">
        <f>IS!DW7</f>
        <v>44195</v>
      </c>
      <c r="DX7" s="16" t="s">
        <v>16</v>
      </c>
      <c r="DZ7" s="16">
        <f>IS!DZ7</f>
        <v>44285</v>
      </c>
      <c r="EA7" s="16">
        <f>IS!EA7</f>
        <v>44376</v>
      </c>
      <c r="EB7" s="16">
        <f>IS!EB7</f>
        <v>44468</v>
      </c>
      <c r="EC7" s="16">
        <f>IS!EC7</f>
        <v>44560</v>
      </c>
      <c r="ED7" s="16" t="s">
        <v>16</v>
      </c>
      <c r="EF7" s="16">
        <f>IS!EF7</f>
        <v>44650</v>
      </c>
      <c r="EG7" s="16">
        <f>IS!EG7</f>
        <v>44741</v>
      </c>
      <c r="EH7" s="16">
        <f>IS!EH7</f>
        <v>44833</v>
      </c>
      <c r="EI7" s="16">
        <f>IS!EI7</f>
        <v>44925</v>
      </c>
      <c r="EJ7" s="16" t="s">
        <v>16</v>
      </c>
      <c r="EL7" s="16">
        <f>IS!EL7</f>
        <v>45015</v>
      </c>
      <c r="EM7" s="16">
        <f>IS!EM7</f>
        <v>45106</v>
      </c>
      <c r="EN7" s="16">
        <f>IS!EN7</f>
        <v>45198</v>
      </c>
      <c r="EO7" s="16">
        <f>IS!EO7</f>
        <v>45290</v>
      </c>
      <c r="EP7" s="16" t="s">
        <v>16</v>
      </c>
      <c r="ER7" s="16">
        <f>IS!ER7</f>
        <v>45382</v>
      </c>
      <c r="ES7" s="16">
        <f>IS!ES7</f>
        <v>45473</v>
      </c>
      <c r="ET7" s="16">
        <f>IS!ET7</f>
        <v>45565</v>
      </c>
      <c r="EU7" s="16">
        <f>IS!EU7</f>
        <v>45657</v>
      </c>
      <c r="EV7" s="16" t="s">
        <v>16</v>
      </c>
      <c r="EX7" s="428">
        <f>IS!EX7</f>
        <v>45747</v>
      </c>
      <c r="EY7" s="16">
        <f>IS!EY7</f>
        <v>45838</v>
      </c>
      <c r="EZ7" s="16">
        <f>IS!EZ7</f>
        <v>45930</v>
      </c>
      <c r="FA7" s="546">
        <f>IS!FA7</f>
        <v>46022</v>
      </c>
      <c r="FB7" s="16" t="s">
        <v>16</v>
      </c>
      <c r="FD7" s="906">
        <f>IS!FD7</f>
        <v>46112</v>
      </c>
      <c r="FE7" s="16">
        <f>IS!FE7</f>
        <v>46203</v>
      </c>
      <c r="FF7" s="16">
        <f>IS!FF7</f>
        <v>46295</v>
      </c>
      <c r="FG7" s="16">
        <f>IS!FG7</f>
        <v>46387</v>
      </c>
      <c r="FH7" s="16" t="s">
        <v>16</v>
      </c>
      <c r="FJ7" s="428">
        <f>IS!FJ7</f>
        <v>46477</v>
      </c>
      <c r="FK7" s="16">
        <f>IS!FK7</f>
        <v>46568</v>
      </c>
      <c r="FL7" s="16">
        <f>IS!FL7</f>
        <v>46660</v>
      </c>
      <c r="FM7" s="16">
        <f>IS!FM7</f>
        <v>46752</v>
      </c>
      <c r="FN7" s="16" t="s">
        <v>16</v>
      </c>
      <c r="FP7" s="428">
        <f>IS!FP7</f>
        <v>46843</v>
      </c>
      <c r="FQ7" s="16">
        <f>IS!FQ7</f>
        <v>46934</v>
      </c>
      <c r="FR7" s="16">
        <f>IS!FR7</f>
        <v>47026</v>
      </c>
      <c r="FS7" s="16">
        <f>IS!FS7</f>
        <v>47118</v>
      </c>
      <c r="FT7" s="16" t="s">
        <v>16</v>
      </c>
      <c r="FV7" s="428">
        <f>IS!FV7</f>
        <v>47208</v>
      </c>
      <c r="FW7" s="16">
        <f>IS!FW7</f>
        <v>47299</v>
      </c>
      <c r="FX7" s="16">
        <f>IS!FX7</f>
        <v>47391</v>
      </c>
      <c r="FY7" s="16">
        <f>IS!FY7</f>
        <v>47483</v>
      </c>
      <c r="FZ7" s="16" t="s">
        <v>16</v>
      </c>
      <c r="GB7" s="428">
        <f>IS!GB7</f>
        <v>47573</v>
      </c>
      <c r="GC7" s="16">
        <f>IS!GC7</f>
        <v>47664</v>
      </c>
      <c r="GD7" s="16">
        <f>IS!GD7</f>
        <v>47756</v>
      </c>
      <c r="GE7" s="16">
        <f>IS!GE7</f>
        <v>47848</v>
      </c>
      <c r="GF7" s="16" t="s">
        <v>16</v>
      </c>
      <c r="GH7" s="428">
        <f>IS!GH7</f>
        <v>47938</v>
      </c>
      <c r="GI7" s="16">
        <f>IS!GI7</f>
        <v>48029</v>
      </c>
      <c r="GJ7" s="16">
        <f>IS!GJ7</f>
        <v>48121</v>
      </c>
      <c r="GK7" s="16">
        <f>IS!GK7</f>
        <v>48213</v>
      </c>
      <c r="GL7" s="16" t="s">
        <v>16</v>
      </c>
      <c r="GN7" s="428">
        <f>IS!GN7</f>
        <v>48304</v>
      </c>
      <c r="GO7" s="16">
        <f>IS!GO7</f>
        <v>48395</v>
      </c>
      <c r="GP7" s="16">
        <f>IS!GP7</f>
        <v>48487</v>
      </c>
      <c r="GQ7" s="16">
        <f>IS!GQ7</f>
        <v>48579</v>
      </c>
      <c r="GR7" s="16" t="s">
        <v>16</v>
      </c>
      <c r="GT7" s="428">
        <f>IS!GT7</f>
        <v>48669</v>
      </c>
      <c r="GU7" s="16">
        <f>IS!GU7</f>
        <v>48760</v>
      </c>
      <c r="GV7" s="16">
        <f>IS!GV7</f>
        <v>48852</v>
      </c>
      <c r="GW7" s="16">
        <f>IS!GW7</f>
        <v>48944</v>
      </c>
      <c r="GX7" s="16" t="s">
        <v>16</v>
      </c>
      <c r="GZ7" s="428">
        <f>IS!GZ7</f>
        <v>49034</v>
      </c>
      <c r="HA7" s="16">
        <f>IS!HA7</f>
        <v>49125</v>
      </c>
      <c r="HB7" s="16">
        <f>IS!HB7</f>
        <v>49217</v>
      </c>
      <c r="HC7" s="16">
        <f>IS!HC7</f>
        <v>49309</v>
      </c>
      <c r="HD7" s="16" t="s">
        <v>16</v>
      </c>
      <c r="HF7" s="428">
        <f>IS!HF7</f>
        <v>49399</v>
      </c>
      <c r="HG7" s="16">
        <f>IS!HG7</f>
        <v>49490</v>
      </c>
      <c r="HH7" s="16">
        <f>IS!HH7</f>
        <v>49582</v>
      </c>
      <c r="HI7" s="16">
        <f>IS!HI7</f>
        <v>49674</v>
      </c>
      <c r="HJ7" s="16" t="s">
        <v>16</v>
      </c>
    </row>
    <row r="8" spans="1:226" s="30" customFormat="1">
      <c r="BA8" s="34"/>
      <c r="BB8" s="34"/>
      <c r="BC8" s="34"/>
      <c r="BD8" s="33"/>
      <c r="BE8" s="33"/>
      <c r="BF8" s="34"/>
      <c r="EX8" s="692"/>
      <c r="FA8" s="108"/>
      <c r="FD8" s="907"/>
      <c r="FJ8" s="692"/>
      <c r="FP8" s="692"/>
      <c r="FV8" s="692"/>
      <c r="GB8" s="692"/>
      <c r="GH8" s="692"/>
      <c r="GN8" s="692"/>
      <c r="GT8" s="692"/>
      <c r="GZ8" s="692"/>
    </row>
    <row r="9" spans="1:226" s="30" customFormat="1">
      <c r="A9" s="30" t="s">
        <v>479</v>
      </c>
      <c r="DH9" s="343">
        <f>BS!DH11</f>
        <v>15.173</v>
      </c>
      <c r="DI9" s="343">
        <f>BS!DI11</f>
        <v>9.4350000000000005</v>
      </c>
      <c r="DJ9" s="343">
        <f>BS!DJ11</f>
        <v>118.44</v>
      </c>
      <c r="DK9" s="343">
        <f>BS!DK11</f>
        <v>9.8109999999999999</v>
      </c>
      <c r="DL9" s="343"/>
      <c r="DM9" s="343"/>
      <c r="DN9" s="343">
        <f>BS!DN11</f>
        <v>13.195</v>
      </c>
      <c r="DO9" s="343">
        <f>BS!DO11</f>
        <v>167.43600000000001</v>
      </c>
      <c r="DP9" s="343">
        <f>BS!DP11</f>
        <v>178.89099999999999</v>
      </c>
      <c r="DQ9" s="343">
        <f>BS!DQ11</f>
        <v>173.01599999999999</v>
      </c>
      <c r="DR9" s="343"/>
      <c r="DS9" s="343"/>
      <c r="DT9" s="343">
        <f>BS!DT11</f>
        <v>86.254000000000005</v>
      </c>
      <c r="DU9" s="343">
        <f>BS!DU11</f>
        <v>295.28100000000001</v>
      </c>
      <c r="DV9" s="343">
        <f>BS!DV11</f>
        <v>233.233</v>
      </c>
      <c r="DW9" s="343">
        <f>BS!DW11</f>
        <v>228.71299999999999</v>
      </c>
      <c r="DX9" s="343"/>
      <c r="DY9" s="343"/>
      <c r="DZ9" s="343">
        <f>BS!DZ11</f>
        <v>611.97</v>
      </c>
      <c r="EA9" s="343">
        <f>BS!EA11</f>
        <v>368.79599999999999</v>
      </c>
      <c r="EB9" s="343">
        <f>BS!EB11</f>
        <v>340.565</v>
      </c>
      <c r="EC9" s="343">
        <f>BS!EC11</f>
        <v>316.827</v>
      </c>
      <c r="ED9" s="343"/>
      <c r="EE9" s="343"/>
      <c r="EF9" s="343">
        <f>BS!EF11</f>
        <v>305.89600000000002</v>
      </c>
      <c r="EG9" s="343">
        <f>BS!EG11</f>
        <v>283.637</v>
      </c>
      <c r="EH9" s="343">
        <f>BS!EH11</f>
        <v>266.12599999999998</v>
      </c>
      <c r="EI9" s="343">
        <f>BS!EI11</f>
        <v>263.18</v>
      </c>
      <c r="EJ9" s="343"/>
      <c r="EK9" s="343"/>
      <c r="EL9" s="343">
        <f>BS!EL11</f>
        <v>275.60899999999998</v>
      </c>
      <c r="EM9" s="343">
        <f>BS!EM11</f>
        <v>289.07400000000001</v>
      </c>
      <c r="EN9" s="343">
        <f>BS!EN11</f>
        <v>306.23899999999998</v>
      </c>
      <c r="EO9" s="343">
        <f>BS!EO11</f>
        <v>342.488</v>
      </c>
      <c r="EP9" s="343"/>
      <c r="EQ9" s="343"/>
      <c r="ER9" s="343">
        <f>BS!ER11</f>
        <v>331.91399999999999</v>
      </c>
      <c r="ES9" s="343">
        <f>BS!ES11</f>
        <v>355.08499999999998</v>
      </c>
      <c r="ET9" s="343">
        <f>BS!ET11</f>
        <v>361.99200000000002</v>
      </c>
      <c r="EU9" s="343">
        <f>BS!EU11</f>
        <v>367.012</v>
      </c>
      <c r="EV9" s="102"/>
      <c r="EW9" s="102"/>
      <c r="EX9" s="343">
        <f>BS!EX11</f>
        <v>346.19400000000002</v>
      </c>
      <c r="EY9" s="343">
        <f>BS!EY11</f>
        <v>154.72300000000001</v>
      </c>
      <c r="EZ9" s="343">
        <f>BS!EZ11</f>
        <v>164.11699999999999</v>
      </c>
      <c r="FA9" s="543">
        <f>BS!FA11</f>
        <v>170.48055307199783</v>
      </c>
      <c r="FB9" s="102"/>
      <c r="FC9" s="102"/>
      <c r="FD9" s="544">
        <f>BS!FD11</f>
        <v>171.57358573587354</v>
      </c>
      <c r="FE9" s="102">
        <f>BS!FE11</f>
        <v>171.349555312668</v>
      </c>
      <c r="FF9" s="102">
        <f>BS!FF11</f>
        <v>176.55256751239384</v>
      </c>
      <c r="FG9" s="102">
        <f>BS!FG11</f>
        <v>184.89137458511718</v>
      </c>
      <c r="FH9" s="102"/>
      <c r="FI9" s="102"/>
      <c r="FJ9" s="421">
        <f>BS!FJ11</f>
        <v>199.07862125188333</v>
      </c>
      <c r="FK9" s="102">
        <f>BS!FK11</f>
        <v>205.32606193596533</v>
      </c>
      <c r="FL9" s="102">
        <f>BS!FL11</f>
        <v>212.27825337228288</v>
      </c>
      <c r="FM9" s="102">
        <f>BS!FM11</f>
        <v>563.1196620316108</v>
      </c>
      <c r="FN9" s="102"/>
      <c r="FO9" s="102"/>
      <c r="FP9" s="421">
        <f>BS!FP11</f>
        <v>580.8979387676394</v>
      </c>
      <c r="FQ9" s="102">
        <f>BS!FQ11</f>
        <v>590.50305011649255</v>
      </c>
      <c r="FR9" s="102">
        <f>BS!FR11</f>
        <v>601.19391224107937</v>
      </c>
      <c r="FS9" s="102">
        <f>BS!FS11</f>
        <v>267.78368595191949</v>
      </c>
      <c r="FT9" s="102"/>
      <c r="FU9" s="102"/>
      <c r="FV9" s="421">
        <f>BS!FV11</f>
        <v>287.61550851658222</v>
      </c>
      <c r="FW9" s="102">
        <f>BS!FW11</f>
        <v>297.54496199278339</v>
      </c>
      <c r="FX9" s="102">
        <f>BS!FX11</f>
        <v>308.75374532613404</v>
      </c>
      <c r="FY9" s="102">
        <f>BS!FY11</f>
        <v>321.2937519803271</v>
      </c>
      <c r="FZ9" s="102"/>
      <c r="GA9" s="102"/>
      <c r="GB9" s="421">
        <f>BS!GB11</f>
        <v>348.25862797253359</v>
      </c>
      <c r="GC9" s="102">
        <f>BS!GC11</f>
        <v>364.4908058345581</v>
      </c>
      <c r="GD9" s="102">
        <f>BS!GD11</f>
        <v>382.3570884770092</v>
      </c>
      <c r="GE9" s="102">
        <f>BS!GE11</f>
        <v>401.81003556797015</v>
      </c>
      <c r="GF9" s="102"/>
      <c r="GG9" s="102"/>
      <c r="GH9" s="421">
        <f>BS!GH11</f>
        <v>436.23283468970698</v>
      </c>
      <c r="GI9" s="102">
        <f>BS!GI11</f>
        <v>459.26517305998573</v>
      </c>
      <c r="GJ9" s="102">
        <f>BS!GJ11</f>
        <v>484.36882609150962</v>
      </c>
      <c r="GK9" s="102">
        <f>BS!GK11</f>
        <v>168.1010311029226</v>
      </c>
      <c r="GL9" s="102"/>
      <c r="GM9" s="102"/>
      <c r="GN9" s="421">
        <f>BS!GN11</f>
        <v>212.81470164128132</v>
      </c>
      <c r="GO9" s="102">
        <f>BS!GO11</f>
        <v>245.55158335201898</v>
      </c>
      <c r="GP9" s="102">
        <f>BS!GP11</f>
        <v>280.79626472116183</v>
      </c>
      <c r="GQ9" s="102">
        <f>BS!GQ11</f>
        <v>318.24916544814482</v>
      </c>
      <c r="GR9" s="102"/>
      <c r="GS9" s="102"/>
      <c r="GT9" s="421">
        <f>BS!GT11</f>
        <v>371.52769290786046</v>
      </c>
      <c r="GU9" s="102">
        <f>BS!GU11</f>
        <v>412.29477378332433</v>
      </c>
      <c r="GV9" s="102">
        <f>BS!GV11</f>
        <v>456.05480298194209</v>
      </c>
      <c r="GW9" s="102">
        <f>BS!GW11</f>
        <v>502.36840632637393</v>
      </c>
      <c r="GX9" s="102"/>
      <c r="GY9" s="102"/>
      <c r="GZ9" s="421">
        <f>BS!GZ11</f>
        <v>565.39784923585717</v>
      </c>
      <c r="HA9" s="102">
        <f>BS!HA11</f>
        <v>615.44087767620056</v>
      </c>
      <c r="HB9" s="102">
        <f>BS!HB11</f>
        <v>669.00453343483957</v>
      </c>
      <c r="HC9" s="102">
        <f>BS!HC11</f>
        <v>725.48995233167102</v>
      </c>
      <c r="HD9" s="343"/>
      <c r="HE9" s="102"/>
      <c r="HF9" s="421">
        <f>BS!HF11</f>
        <v>799.14521462713049</v>
      </c>
      <c r="HG9" s="102">
        <f>BS!HG11</f>
        <v>859.39622741815413</v>
      </c>
      <c r="HH9" s="102">
        <f>BS!HH11</f>
        <v>923.72509037523332</v>
      </c>
      <c r="HI9" s="102">
        <f>BS!HI11</f>
        <v>991.35918660568325</v>
      </c>
      <c r="HJ9" s="343"/>
      <c r="HK9" s="343"/>
      <c r="HL9" s="343"/>
      <c r="HM9" s="343"/>
      <c r="HN9" s="343"/>
      <c r="HO9" s="343"/>
      <c r="HP9" s="343"/>
      <c r="HQ9" s="343"/>
      <c r="HR9" s="343"/>
    </row>
    <row r="10" spans="1:226" s="30" customFormat="1">
      <c r="B10" s="30" t="s">
        <v>25</v>
      </c>
      <c r="DH10" s="343">
        <f>-IS!DH58</f>
        <v>0</v>
      </c>
      <c r="DI10" s="343">
        <f>-IS!DI58</f>
        <v>0</v>
      </c>
      <c r="DJ10" s="343">
        <f>-IS!DJ58</f>
        <v>0</v>
      </c>
      <c r="DK10" s="343">
        <f>-IS!DK58</f>
        <v>0</v>
      </c>
      <c r="DL10" s="343"/>
      <c r="DM10" s="343"/>
      <c r="DN10" s="343">
        <f>-IS!DN58</f>
        <v>0</v>
      </c>
      <c r="DO10" s="343">
        <f>-IS!DO58</f>
        <v>0</v>
      </c>
      <c r="DP10" s="343">
        <f>-IS!DP58</f>
        <v>0</v>
      </c>
      <c r="DQ10" s="343">
        <f>-IS!DQ58</f>
        <v>0</v>
      </c>
      <c r="DR10" s="343"/>
      <c r="DS10" s="343"/>
      <c r="DT10" s="343">
        <f>-IS!DT58</f>
        <v>0</v>
      </c>
      <c r="DU10" s="343">
        <f>-IS!DU58</f>
        <v>0</v>
      </c>
      <c r="DV10" s="343">
        <f>-IS!DV58</f>
        <v>0</v>
      </c>
      <c r="DW10" s="343">
        <f>-IS!DW58</f>
        <v>0</v>
      </c>
      <c r="DX10" s="343"/>
      <c r="DY10" s="343"/>
      <c r="DZ10" s="343">
        <f>-IS!DZ58</f>
        <v>0</v>
      </c>
      <c r="EA10" s="343">
        <f>-IS!EA58</f>
        <v>0</v>
      </c>
      <c r="EB10" s="343">
        <f>-IS!EB58</f>
        <v>0</v>
      </c>
      <c r="EC10" s="343">
        <f>-IS!EC58</f>
        <v>0</v>
      </c>
      <c r="ED10" s="343"/>
      <c r="EE10" s="343"/>
      <c r="EF10" s="343">
        <f>-IS!EF58</f>
        <v>0</v>
      </c>
      <c r="EG10" s="343">
        <f>-IS!EG58</f>
        <v>0</v>
      </c>
      <c r="EH10" s="343">
        <f>-IS!EH58</f>
        <v>0</v>
      </c>
      <c r="EI10" s="343">
        <f>-IS!EI58</f>
        <v>0.86</v>
      </c>
      <c r="EJ10" s="343"/>
      <c r="EK10" s="343"/>
      <c r="EL10" s="343">
        <f>-IS!EL58</f>
        <v>1.4670000000000001</v>
      </c>
      <c r="EM10" s="343">
        <f>-IS!EM58</f>
        <v>2.524</v>
      </c>
      <c r="EN10" s="343">
        <f>-IS!EN58</f>
        <v>2.84</v>
      </c>
      <c r="EO10" s="343">
        <f>-IS!EO58</f>
        <v>4.8449999999999998</v>
      </c>
      <c r="EP10" s="343"/>
      <c r="EQ10" s="343"/>
      <c r="ER10" s="343">
        <f>-IS!ER58</f>
        <v>4.8339999999999996</v>
      </c>
      <c r="ES10" s="343">
        <f>-IS!ES58</f>
        <v>4.5919999999999996</v>
      </c>
      <c r="ET10" s="343">
        <f>-IS!ET58</f>
        <v>4.673</v>
      </c>
      <c r="EU10" s="343">
        <f>-IS!EU58</f>
        <v>4.3280000000000003</v>
      </c>
      <c r="EV10" s="343"/>
      <c r="EW10" s="343"/>
      <c r="EX10" s="343">
        <f>-IS!EX58</f>
        <v>3.7210000000000001</v>
      </c>
      <c r="EY10" s="343">
        <f>-IS!EY58</f>
        <v>2.2629999999999999</v>
      </c>
      <c r="EZ10" s="343">
        <f>-IS!EZ58</f>
        <v>1.5629999999999999</v>
      </c>
      <c r="FA10" s="555">
        <f>EZ9*FA11/4</f>
        <v>1.8463162499999999</v>
      </c>
      <c r="FB10" s="343"/>
      <c r="FC10" s="343"/>
      <c r="FD10" s="555">
        <f>FA9*FD11/4</f>
        <v>1.2786041480399837</v>
      </c>
      <c r="FE10" s="343">
        <f>FD9*FE11/4</f>
        <v>1.2868018930190515</v>
      </c>
      <c r="FF10" s="343">
        <f>FE9*FF11/4</f>
        <v>1.2851216648450099</v>
      </c>
      <c r="FG10" s="343">
        <f>FF9*FG11/4</f>
        <v>1.3241442563429537</v>
      </c>
      <c r="FH10" s="343"/>
      <c r="FI10" s="343"/>
      <c r="FJ10" s="343">
        <f>FG9*FJ11/4</f>
        <v>1.3866853093883789</v>
      </c>
      <c r="FK10" s="343">
        <f>FJ9*FK11/4</f>
        <v>1.493089659389125</v>
      </c>
      <c r="FL10" s="343">
        <f>FK9*FL11/4</f>
        <v>1.5399454645197399</v>
      </c>
      <c r="FM10" s="343">
        <f>FL9*FM11/4</f>
        <v>1.5920869002921214</v>
      </c>
      <c r="FN10" s="343"/>
      <c r="FO10" s="343"/>
      <c r="FP10" s="343">
        <f>FM9*FP11/4</f>
        <v>4.2233974652370811</v>
      </c>
      <c r="FQ10" s="343">
        <f>FP9*FQ11/4</f>
        <v>4.3567345407572953</v>
      </c>
      <c r="FR10" s="343">
        <f>FQ9*FR11/4</f>
        <v>4.4287728758736939</v>
      </c>
      <c r="FS10" s="343">
        <f>FR9*FS11/4</f>
        <v>4.5089543418080948</v>
      </c>
      <c r="FT10" s="343"/>
      <c r="FU10" s="343"/>
      <c r="FV10" s="343">
        <f>FS9*FV11/4</f>
        <v>2.0083776446393959</v>
      </c>
      <c r="FW10" s="343">
        <f>FV9*FW11/4</f>
        <v>2.1571163138743668</v>
      </c>
      <c r="FX10" s="343">
        <f>FW9*FX11/4</f>
        <v>2.2315872149458751</v>
      </c>
      <c r="FY10" s="343">
        <f>FX9*FY11/4</f>
        <v>2.315653089946005</v>
      </c>
      <c r="FZ10" s="343"/>
      <c r="GA10" s="343"/>
      <c r="GB10" s="343">
        <f>FY9*GB11/4</f>
        <v>2.4097031398524531</v>
      </c>
      <c r="GC10" s="343">
        <f>GB9*GC11/4</f>
        <v>2.6119397097940018</v>
      </c>
      <c r="GD10" s="343">
        <f>GC9*GD11/4</f>
        <v>2.7336810437591859</v>
      </c>
      <c r="GE10" s="343">
        <f>GD9*GE11/4</f>
        <v>2.867678163577569</v>
      </c>
      <c r="GF10" s="343"/>
      <c r="GG10" s="343"/>
      <c r="GH10" s="343">
        <f>GE9*GH11/4</f>
        <v>3.0135752667597759</v>
      </c>
      <c r="GI10" s="343">
        <f>GH9*GI11/4</f>
        <v>3.2717462601728022</v>
      </c>
      <c r="GJ10" s="343">
        <f>GI9*GJ11/4</f>
        <v>3.444488797949893</v>
      </c>
      <c r="GK10" s="343">
        <f>GJ9*GK11/4</f>
        <v>3.632766195686322</v>
      </c>
      <c r="GL10" s="343"/>
      <c r="GM10" s="343"/>
      <c r="GN10" s="343">
        <f>GK9*GN11/4</f>
        <v>1.2607577332719195</v>
      </c>
      <c r="GO10" s="343">
        <f>GN9*GO11/4</f>
        <v>1.5961102623096097</v>
      </c>
      <c r="GP10" s="343">
        <f>GO9*GP11/4</f>
        <v>1.8416368751401422</v>
      </c>
      <c r="GQ10" s="343">
        <f>GP9*GQ11/4</f>
        <v>2.1059719854087136</v>
      </c>
      <c r="GR10" s="343"/>
      <c r="GS10" s="343"/>
      <c r="GT10" s="343">
        <f>GQ9*GT11/4</f>
        <v>2.386868740861086</v>
      </c>
      <c r="GU10" s="343">
        <f>GT9*GU11/4</f>
        <v>2.7864576968089532</v>
      </c>
      <c r="GV10" s="343">
        <f>GU9*GV11/4</f>
        <v>3.0922108033749325</v>
      </c>
      <c r="GW10" s="343">
        <f>GV9*GW11/4</f>
        <v>3.4204110223645654</v>
      </c>
      <c r="GX10" s="343"/>
      <c r="GY10" s="343"/>
      <c r="GZ10" s="343">
        <f>GW9*GZ11/4</f>
        <v>3.7677630474478043</v>
      </c>
      <c r="HA10" s="343">
        <f>GZ9*HA11/4</f>
        <v>4.2404838692689282</v>
      </c>
      <c r="HB10" s="343">
        <f>HA9*HB11/4</f>
        <v>4.615806582571504</v>
      </c>
      <c r="HC10" s="343">
        <f>HB9*HC11/4</f>
        <v>5.0175340007612963</v>
      </c>
      <c r="HD10" s="343"/>
      <c r="HE10" s="343"/>
      <c r="HF10" s="343">
        <f>HC9*HF11/4</f>
        <v>5.4411746424875327</v>
      </c>
      <c r="HG10" s="343">
        <f>HF9*HG11/4</f>
        <v>5.9935891097034784</v>
      </c>
      <c r="HH10" s="343">
        <f>HG9*HH11/4</f>
        <v>6.4454717056361561</v>
      </c>
      <c r="HI10" s="343">
        <f>HH9*HI11/4</f>
        <v>6.9279381778142497</v>
      </c>
      <c r="HJ10" s="343"/>
      <c r="HK10" s="343"/>
      <c r="HL10" s="343"/>
      <c r="HM10" s="343"/>
      <c r="HN10" s="343"/>
      <c r="HO10" s="343"/>
      <c r="HP10" s="343"/>
      <c r="HQ10" s="343"/>
      <c r="HR10" s="343"/>
    </row>
    <row r="11" spans="1:226" s="30" customFormat="1">
      <c r="C11" s="30" t="s">
        <v>110</v>
      </c>
      <c r="K11" s="33"/>
      <c r="L11" s="33"/>
      <c r="M11" s="33"/>
      <c r="P11" s="33"/>
      <c r="Q11" s="33"/>
      <c r="R11" s="33"/>
      <c r="S11" s="33"/>
      <c r="V11" s="33"/>
      <c r="W11" s="33"/>
      <c r="X11" s="33"/>
      <c r="Y11" s="33"/>
      <c r="AB11" s="33"/>
      <c r="AC11" s="33"/>
      <c r="AD11" s="33"/>
      <c r="AE11" s="33"/>
      <c r="AH11" s="33"/>
      <c r="AI11" s="33"/>
      <c r="AJ11" s="33"/>
      <c r="AK11" s="33"/>
      <c r="AN11" s="33"/>
      <c r="AO11" s="33"/>
      <c r="AP11" s="33"/>
      <c r="AQ11" s="33"/>
      <c r="AT11" s="33"/>
      <c r="AU11" s="34"/>
      <c r="AV11" s="34"/>
      <c r="AW11" s="33"/>
      <c r="AZ11" s="33"/>
      <c r="BA11" s="34"/>
      <c r="BB11" s="34"/>
      <c r="BC11" s="34"/>
      <c r="BF11" s="34"/>
      <c r="BG11" s="34"/>
      <c r="BH11" s="34"/>
      <c r="BI11" s="34"/>
      <c r="BL11" s="34"/>
      <c r="BM11" s="34"/>
      <c r="BN11" s="34"/>
      <c r="BO11" s="34"/>
      <c r="BR11" s="34"/>
      <c r="BS11" s="34"/>
      <c r="BT11" s="34"/>
      <c r="BU11" s="34"/>
      <c r="BX11" s="34"/>
      <c r="BY11" s="34"/>
      <c r="BZ11" s="34"/>
      <c r="CA11" s="34"/>
      <c r="CD11" s="34"/>
      <c r="CE11" s="34"/>
      <c r="CF11" s="34"/>
      <c r="CG11" s="34"/>
      <c r="CJ11" s="34"/>
      <c r="CK11" s="34"/>
      <c r="CL11" s="34"/>
      <c r="CM11" s="34"/>
      <c r="CP11" s="34"/>
      <c r="CQ11" s="34"/>
      <c r="CR11" s="34"/>
      <c r="CS11" s="34"/>
      <c r="CV11" s="34"/>
      <c r="CW11" s="34"/>
      <c r="CX11" s="34"/>
      <c r="CY11" s="34"/>
      <c r="DB11" s="34"/>
      <c r="DC11" s="34"/>
      <c r="DD11" s="34"/>
      <c r="DE11" s="34"/>
      <c r="DH11" s="34">
        <f>DH10/AVERAGE(DE9,DH9)*4</f>
        <v>0</v>
      </c>
      <c r="DI11" s="34">
        <f>DI10/AVERAGE(DH9:DI9)*4</f>
        <v>0</v>
      </c>
      <c r="DJ11" s="34">
        <f>DJ10/AVERAGE(DI9:DJ9)*4</f>
        <v>0</v>
      </c>
      <c r="DK11" s="34">
        <f>DK10/AVERAGE(DJ9:DK9)*4</f>
        <v>0</v>
      </c>
      <c r="DN11" s="34">
        <f>DN10/AVERAGE(DK9,DN9)*4</f>
        <v>0</v>
      </c>
      <c r="DO11" s="34">
        <f>DO10/AVERAGE(DN9:DO9)*4</f>
        <v>0</v>
      </c>
      <c r="DP11" s="34">
        <f>DP10/AVERAGE(DO9:DP9)*4</f>
        <v>0</v>
      </c>
      <c r="DQ11" s="34">
        <f>DQ10/AVERAGE(DP9:DQ9)*4</f>
        <v>0</v>
      </c>
      <c r="DT11" s="34">
        <f>DT10/AVERAGE(DQ9,DT9)*4</f>
        <v>0</v>
      </c>
      <c r="DU11" s="34">
        <f>DU10/AVERAGE(DT9:DU9)*4</f>
        <v>0</v>
      </c>
      <c r="DV11" s="34">
        <f>DV10/AVERAGE(DU9:DV9)*4</f>
        <v>0</v>
      </c>
      <c r="DW11" s="34">
        <f>DW10/AVERAGE(DV9:DW9)*4</f>
        <v>0</v>
      </c>
      <c r="DZ11" s="34">
        <f>DZ10/AVERAGE(DW9,DZ9)*4</f>
        <v>0</v>
      </c>
      <c r="EA11" s="34">
        <f>EA10/AVERAGE(DZ9:EA9)*4</f>
        <v>0</v>
      </c>
      <c r="EB11" s="34">
        <f>EB10/AVERAGE(EA9:EB9)*4</f>
        <v>0</v>
      </c>
      <c r="EC11" s="34">
        <f>EC10/AVERAGE(EB9:EC9)*4</f>
        <v>0</v>
      </c>
      <c r="EF11" s="34">
        <f>EF10/AVERAGE(EC9,EF9)*4</f>
        <v>0</v>
      </c>
      <c r="EG11" s="34">
        <f>EG10/AVERAGE(EF9:EG9)*4</f>
        <v>0</v>
      </c>
      <c r="EH11" s="34">
        <f>EH10/AVERAGE(EG9:EH9)*4</f>
        <v>0</v>
      </c>
      <c r="EI11" s="34">
        <f>EI10/AVERAGE(EH9:EI9)*4</f>
        <v>1.2998152297536774E-2</v>
      </c>
      <c r="EL11" s="34">
        <f>EL10/AVERAGE(EI9,EL9)*4</f>
        <v>2.1782181893097299E-2</v>
      </c>
      <c r="EM11" s="34">
        <f>EM10/AVERAGE(EL9:EM9)*4</f>
        <v>3.5758115615309831E-2</v>
      </c>
      <c r="EN11" s="34">
        <f>EN10/AVERAGE(EM9:EN9)*4</f>
        <v>3.8164797341902493E-2</v>
      </c>
      <c r="EO11" s="34">
        <f>EO10/AVERAGE(EN9:EO9)*4</f>
        <v>5.974778296571593E-2</v>
      </c>
      <c r="ER11" s="34">
        <f>ER10/AVERAGE(EO9,ER9)*4</f>
        <v>5.7342653194978652E-2</v>
      </c>
      <c r="ES11" s="34">
        <f>ES10/AVERAGE(ER9:ES9)*4</f>
        <v>5.3473149160333563E-2</v>
      </c>
      <c r="ET11" s="34">
        <f>ET10/AVERAGE(ER9:ET9)*4</f>
        <v>5.3457083997860803E-2</v>
      </c>
      <c r="EU11" s="34">
        <f>EU10/AVERAGE(ET9:EU9)*4</f>
        <v>4.7494938299378335E-2</v>
      </c>
      <c r="EX11" s="34">
        <f>EX10/AVERAGE(EU9,EX9)*4</f>
        <v>4.1738291601584959E-2</v>
      </c>
      <c r="EY11" s="34">
        <f>EY10/AVERAGE(EV9,EY9)*4</f>
        <v>5.8504553298475336E-2</v>
      </c>
      <c r="EZ11" s="34">
        <f>EZ10/AVERAGE(EW9,EZ9)*4</f>
        <v>3.8094773850362855E-2</v>
      </c>
      <c r="FA11" s="552">
        <v>4.4999999999999998E-2</v>
      </c>
      <c r="FD11" s="552">
        <v>0.03</v>
      </c>
      <c r="FE11" s="638">
        <v>0.03</v>
      </c>
      <c r="FF11" s="638">
        <v>0.03</v>
      </c>
      <c r="FG11" s="638">
        <v>0.03</v>
      </c>
      <c r="FJ11" s="34">
        <f>FG11</f>
        <v>0.03</v>
      </c>
      <c r="FK11" s="34">
        <f>FJ11</f>
        <v>0.03</v>
      </c>
      <c r="FL11" s="34">
        <f>FK11</f>
        <v>0.03</v>
      </c>
      <c r="FM11" s="34">
        <f>FL11</f>
        <v>0.03</v>
      </c>
      <c r="FP11" s="34">
        <f>FM11</f>
        <v>0.03</v>
      </c>
      <c r="FQ11" s="34">
        <f>FP11</f>
        <v>0.03</v>
      </c>
      <c r="FR11" s="34">
        <f>FQ11</f>
        <v>0.03</v>
      </c>
      <c r="FS11" s="34">
        <f>FR11</f>
        <v>0.03</v>
      </c>
      <c r="FV11" s="34">
        <f>FS11</f>
        <v>0.03</v>
      </c>
      <c r="FW11" s="34">
        <f>FV11</f>
        <v>0.03</v>
      </c>
      <c r="FX11" s="34">
        <f>FW11</f>
        <v>0.03</v>
      </c>
      <c r="FY11" s="34">
        <f>FX11</f>
        <v>0.03</v>
      </c>
      <c r="GB11" s="34">
        <f>FY11</f>
        <v>0.03</v>
      </c>
      <c r="GC11" s="34">
        <f>GB11</f>
        <v>0.03</v>
      </c>
      <c r="GD11" s="34">
        <f>GC11</f>
        <v>0.03</v>
      </c>
      <c r="GE11" s="34">
        <f>GD11</f>
        <v>0.03</v>
      </c>
      <c r="GH11" s="34">
        <f>GE11</f>
        <v>0.03</v>
      </c>
      <c r="GI11" s="34">
        <f>GH11</f>
        <v>0.03</v>
      </c>
      <c r="GJ11" s="34">
        <f>GI11</f>
        <v>0.03</v>
      </c>
      <c r="GK11" s="34">
        <f>GJ11</f>
        <v>0.03</v>
      </c>
      <c r="GN11" s="34">
        <f>GK11</f>
        <v>0.03</v>
      </c>
      <c r="GO11" s="34">
        <f>GN11</f>
        <v>0.03</v>
      </c>
      <c r="GP11" s="34">
        <f>GO11</f>
        <v>0.03</v>
      </c>
      <c r="GQ11" s="34">
        <f>GP11</f>
        <v>0.03</v>
      </c>
      <c r="GT11" s="34">
        <f>GQ11</f>
        <v>0.03</v>
      </c>
      <c r="GU11" s="34">
        <f>GT11</f>
        <v>0.03</v>
      </c>
      <c r="GV11" s="34">
        <f>GU11</f>
        <v>0.03</v>
      </c>
      <c r="GW11" s="34">
        <f>GV11</f>
        <v>0.03</v>
      </c>
      <c r="GZ11" s="34">
        <f>GW11</f>
        <v>0.03</v>
      </c>
      <c r="HA11" s="34">
        <f>GZ11</f>
        <v>0.03</v>
      </c>
      <c r="HB11" s="34">
        <f>HA11</f>
        <v>0.03</v>
      </c>
      <c r="HC11" s="34">
        <f>HB11</f>
        <v>0.03</v>
      </c>
      <c r="HF11" s="34">
        <f>HC11</f>
        <v>0.03</v>
      </c>
      <c r="HG11" s="34">
        <f>HF11</f>
        <v>0.03</v>
      </c>
      <c r="HH11" s="34">
        <f>HG11</f>
        <v>0.03</v>
      </c>
      <c r="HI11" s="34">
        <f>HH11</f>
        <v>0.03</v>
      </c>
    </row>
    <row r="12" spans="1:226" s="30" customFormat="1">
      <c r="EX12" s="692"/>
      <c r="FA12" s="108"/>
      <c r="FD12" s="907"/>
      <c r="FJ12" s="692"/>
      <c r="FP12" s="692"/>
      <c r="FV12" s="692"/>
      <c r="GB12" s="692"/>
      <c r="GH12" s="692"/>
      <c r="GN12" s="692"/>
      <c r="GT12" s="692"/>
      <c r="GZ12" s="692"/>
      <c r="HF12" s="692"/>
    </row>
    <row r="13" spans="1:226" s="30" customFormat="1">
      <c r="A13" s="29" t="s">
        <v>111</v>
      </c>
      <c r="DU13" s="58"/>
      <c r="EX13" s="692"/>
      <c r="FA13" s="108"/>
      <c r="FD13" s="907"/>
      <c r="FJ13" s="692"/>
      <c r="FP13" s="692"/>
      <c r="FV13" s="692"/>
      <c r="GB13" s="692"/>
      <c r="GH13" s="692"/>
      <c r="GN13" s="692"/>
      <c r="GT13" s="692"/>
      <c r="GZ13" s="692"/>
      <c r="HF13" s="692"/>
    </row>
    <row r="14" spans="1:226" s="30" customFormat="1">
      <c r="A14" s="29" t="s">
        <v>589</v>
      </c>
      <c r="DU14" s="58"/>
      <c r="EX14" s="692"/>
      <c r="FA14" s="108"/>
      <c r="FD14" s="907"/>
      <c r="FJ14" s="692"/>
      <c r="FP14" s="692"/>
      <c r="FV14" s="692"/>
      <c r="GB14" s="692"/>
      <c r="GH14" s="692"/>
      <c r="GN14" s="692"/>
      <c r="GT14" s="692"/>
      <c r="GZ14" s="692"/>
      <c r="HF14" s="692"/>
    </row>
    <row r="15" spans="1:226" s="30" customFormat="1">
      <c r="A15" s="29"/>
      <c r="C15" s="30" t="s">
        <v>114</v>
      </c>
      <c r="DH15" s="460">
        <v>20</v>
      </c>
      <c r="DI15" s="460">
        <v>30</v>
      </c>
      <c r="DJ15" s="460">
        <v>0</v>
      </c>
      <c r="DK15" s="460">
        <v>5</v>
      </c>
      <c r="DL15" s="30">
        <f>DK15</f>
        <v>5</v>
      </c>
      <c r="DN15" s="460">
        <v>5</v>
      </c>
      <c r="DO15" s="460">
        <v>0</v>
      </c>
      <c r="DP15" s="460">
        <v>0</v>
      </c>
      <c r="DQ15" s="460">
        <v>0</v>
      </c>
      <c r="DR15" s="30">
        <f>DQ15</f>
        <v>0</v>
      </c>
      <c r="DT15" s="460">
        <v>0</v>
      </c>
      <c r="DU15" s="460">
        <v>0</v>
      </c>
      <c r="DV15" s="460">
        <v>0</v>
      </c>
      <c r="DW15" s="460">
        <v>0</v>
      </c>
      <c r="DX15" s="30">
        <f>DW15</f>
        <v>0</v>
      </c>
      <c r="DZ15" s="460">
        <v>0</v>
      </c>
      <c r="EA15" s="460">
        <v>0</v>
      </c>
      <c r="EB15" s="460">
        <v>0</v>
      </c>
      <c r="EC15" s="460">
        <v>0</v>
      </c>
      <c r="ED15" s="30">
        <f>EC15</f>
        <v>0</v>
      </c>
      <c r="EF15" s="460">
        <v>0</v>
      </c>
      <c r="EG15" s="460">
        <v>0</v>
      </c>
      <c r="EH15" s="460">
        <v>0</v>
      </c>
      <c r="EI15" s="460">
        <v>0</v>
      </c>
      <c r="EJ15" s="30">
        <f>EI15</f>
        <v>0</v>
      </c>
      <c r="EL15" s="460">
        <v>0</v>
      </c>
      <c r="EM15" s="460">
        <v>0</v>
      </c>
      <c r="EN15" s="460">
        <v>0</v>
      </c>
      <c r="EO15" s="460">
        <v>0</v>
      </c>
      <c r="EP15" s="30">
        <f>EO15</f>
        <v>0</v>
      </c>
      <c r="ER15" s="460">
        <v>0</v>
      </c>
      <c r="ES15" s="460">
        <v>0</v>
      </c>
      <c r="ET15" s="460">
        <v>0</v>
      </c>
      <c r="EU15" s="460">
        <v>0</v>
      </c>
      <c r="EV15" s="30">
        <f>EU15</f>
        <v>0</v>
      </c>
      <c r="EX15" s="460">
        <f>EU15</f>
        <v>0</v>
      </c>
      <c r="EY15" s="460">
        <f t="shared" ref="EY15:FA16" si="0">EX15</f>
        <v>0</v>
      </c>
      <c r="EZ15" s="460">
        <f t="shared" si="0"/>
        <v>0</v>
      </c>
      <c r="FA15" s="108">
        <f t="shared" si="0"/>
        <v>0</v>
      </c>
      <c r="FD15" s="108">
        <f>FA15</f>
        <v>0</v>
      </c>
      <c r="FE15" s="30">
        <f t="shared" ref="FE15:FG16" si="1">FD15</f>
        <v>0</v>
      </c>
      <c r="FF15" s="30">
        <f t="shared" si="1"/>
        <v>0</v>
      </c>
      <c r="FG15" s="30">
        <f t="shared" si="1"/>
        <v>0</v>
      </c>
      <c r="FJ15" s="30">
        <f>FG15</f>
        <v>0</v>
      </c>
      <c r="FK15" s="30">
        <f>FJ15</f>
        <v>0</v>
      </c>
      <c r="FL15" s="30">
        <f>FK15</f>
        <v>0</v>
      </c>
      <c r="FM15" s="122">
        <v>345</v>
      </c>
      <c r="FP15" s="30">
        <f>FM15</f>
        <v>345</v>
      </c>
      <c r="FQ15" s="30">
        <f t="shared" ref="FQ15:FS16" si="2">FP15</f>
        <v>345</v>
      </c>
      <c r="FR15" s="30">
        <f t="shared" si="2"/>
        <v>345</v>
      </c>
      <c r="FS15" s="30">
        <f t="shared" si="2"/>
        <v>345</v>
      </c>
      <c r="FV15" s="30">
        <f>FS15</f>
        <v>345</v>
      </c>
      <c r="FW15" s="30">
        <f t="shared" ref="FW15:FY16" si="3">FV15</f>
        <v>345</v>
      </c>
      <c r="FX15" s="30">
        <f t="shared" si="3"/>
        <v>345</v>
      </c>
      <c r="FY15" s="30">
        <f t="shared" si="3"/>
        <v>345</v>
      </c>
      <c r="GB15" s="30">
        <f>FY15</f>
        <v>345</v>
      </c>
      <c r="GC15" s="30">
        <f t="shared" ref="GC15:GE16" si="4">GB15</f>
        <v>345</v>
      </c>
      <c r="GD15" s="30">
        <f t="shared" si="4"/>
        <v>345</v>
      </c>
      <c r="GE15" s="30">
        <f t="shared" si="4"/>
        <v>345</v>
      </c>
      <c r="GH15" s="30">
        <f>GE15</f>
        <v>345</v>
      </c>
      <c r="GI15" s="30">
        <f>GH15</f>
        <v>345</v>
      </c>
      <c r="GJ15" s="30">
        <f>GI15</f>
        <v>345</v>
      </c>
      <c r="GK15" s="122">
        <v>0</v>
      </c>
      <c r="GN15" s="30">
        <f>GK15</f>
        <v>0</v>
      </c>
      <c r="GO15" s="30">
        <f t="shared" ref="GO15:GQ16" si="5">GN15</f>
        <v>0</v>
      </c>
      <c r="GP15" s="30">
        <f t="shared" si="5"/>
        <v>0</v>
      </c>
      <c r="GQ15" s="30">
        <f t="shared" si="5"/>
        <v>0</v>
      </c>
      <c r="GT15" s="30">
        <f>GQ15</f>
        <v>0</v>
      </c>
      <c r="GU15" s="30">
        <f t="shared" ref="GU15:GW16" si="6">GT15</f>
        <v>0</v>
      </c>
      <c r="GV15" s="30">
        <f t="shared" si="6"/>
        <v>0</v>
      </c>
      <c r="GW15" s="30">
        <f t="shared" si="6"/>
        <v>0</v>
      </c>
      <c r="GZ15" s="30">
        <f>GW15</f>
        <v>0</v>
      </c>
      <c r="HA15" s="30">
        <f t="shared" ref="HA15:HC16" si="7">GZ15</f>
        <v>0</v>
      </c>
      <c r="HB15" s="30">
        <f t="shared" si="7"/>
        <v>0</v>
      </c>
      <c r="HC15" s="30">
        <f t="shared" si="7"/>
        <v>0</v>
      </c>
      <c r="HF15" s="30">
        <f>HC15</f>
        <v>0</v>
      </c>
      <c r="HG15" s="30">
        <f t="shared" ref="HG15:HG16" si="8">HF15</f>
        <v>0</v>
      </c>
      <c r="HH15" s="30">
        <f t="shared" ref="HH15:HH16" si="9">HG15</f>
        <v>0</v>
      </c>
      <c r="HI15" s="30">
        <f t="shared" ref="HI15:HI16" si="10">HH15</f>
        <v>0</v>
      </c>
    </row>
    <row r="16" spans="1:226" s="30" customFormat="1">
      <c r="A16" s="29"/>
      <c r="C16" s="30" t="s">
        <v>591</v>
      </c>
      <c r="DH16" s="635">
        <v>0.05</v>
      </c>
      <c r="DI16" s="635">
        <f>DH16</f>
        <v>0.05</v>
      </c>
      <c r="DJ16" s="635">
        <f>DI16</f>
        <v>0.05</v>
      </c>
      <c r="DK16" s="635">
        <f>DJ16</f>
        <v>0.05</v>
      </c>
      <c r="DN16" s="635">
        <v>0.05</v>
      </c>
      <c r="DO16" s="635">
        <f>DN16</f>
        <v>0.05</v>
      </c>
      <c r="DP16" s="635">
        <f>DO16</f>
        <v>0.05</v>
      </c>
      <c r="DQ16" s="635">
        <f>DP16</f>
        <v>0.05</v>
      </c>
      <c r="DT16" s="635">
        <v>0.05</v>
      </c>
      <c r="DU16" s="635">
        <f>DT16</f>
        <v>0.05</v>
      </c>
      <c r="DV16" s="635">
        <f>DU16</f>
        <v>0.05</v>
      </c>
      <c r="DW16" s="635">
        <f>DV16</f>
        <v>0.05</v>
      </c>
      <c r="DZ16" s="635">
        <v>0.05</v>
      </c>
      <c r="EA16" s="635">
        <f>DZ16</f>
        <v>0.05</v>
      </c>
      <c r="EB16" s="635">
        <f>EA16</f>
        <v>0.05</v>
      </c>
      <c r="EC16" s="635">
        <f>EB16</f>
        <v>0.05</v>
      </c>
      <c r="EF16" s="635">
        <v>0.05</v>
      </c>
      <c r="EG16" s="635">
        <f>EF16</f>
        <v>0.05</v>
      </c>
      <c r="EH16" s="635">
        <f>EG16</f>
        <v>0.05</v>
      </c>
      <c r="EI16" s="635">
        <f>EH16</f>
        <v>0.05</v>
      </c>
      <c r="EL16" s="635">
        <v>0.05</v>
      </c>
      <c r="EM16" s="635">
        <f>EL16</f>
        <v>0.05</v>
      </c>
      <c r="EN16" s="635">
        <f>EM16</f>
        <v>0.05</v>
      </c>
      <c r="EO16" s="635">
        <f>EN16</f>
        <v>0.05</v>
      </c>
      <c r="ER16" s="635">
        <v>0.05</v>
      </c>
      <c r="ES16" s="635">
        <f>ER16</f>
        <v>0.05</v>
      </c>
      <c r="ET16" s="635">
        <f>ES16</f>
        <v>0.05</v>
      </c>
      <c r="EU16" s="635">
        <f>ET16</f>
        <v>0.05</v>
      </c>
      <c r="EX16" s="635">
        <f>EU16</f>
        <v>0.05</v>
      </c>
      <c r="EY16" s="635">
        <f t="shared" si="0"/>
        <v>0.05</v>
      </c>
      <c r="EZ16" s="635">
        <f t="shared" si="0"/>
        <v>0.05</v>
      </c>
      <c r="FA16" s="694">
        <f t="shared" si="0"/>
        <v>0.05</v>
      </c>
      <c r="FD16" s="694">
        <f>FA16</f>
        <v>0.05</v>
      </c>
      <c r="FE16" s="693">
        <f t="shared" si="1"/>
        <v>0.05</v>
      </c>
      <c r="FF16" s="693">
        <f t="shared" si="1"/>
        <v>0.05</v>
      </c>
      <c r="FG16" s="693">
        <f t="shared" si="1"/>
        <v>0.05</v>
      </c>
      <c r="FJ16" s="693">
        <f>FG16</f>
        <v>0.05</v>
      </c>
      <c r="FK16" s="693">
        <f>FJ16</f>
        <v>0.05</v>
      </c>
      <c r="FL16" s="693">
        <f>FK16</f>
        <v>0.05</v>
      </c>
      <c r="FM16" s="693">
        <f>FL16</f>
        <v>0.05</v>
      </c>
      <c r="FP16" s="693">
        <f>FM16</f>
        <v>0.05</v>
      </c>
      <c r="FQ16" s="693">
        <f t="shared" si="2"/>
        <v>0.05</v>
      </c>
      <c r="FR16" s="693">
        <f t="shared" si="2"/>
        <v>0.05</v>
      </c>
      <c r="FS16" s="693">
        <f t="shared" si="2"/>
        <v>0.05</v>
      </c>
      <c r="FV16" s="693">
        <f>FS16</f>
        <v>0.05</v>
      </c>
      <c r="FW16" s="693">
        <f t="shared" si="3"/>
        <v>0.05</v>
      </c>
      <c r="FX16" s="693">
        <f t="shared" si="3"/>
        <v>0.05</v>
      </c>
      <c r="FY16" s="693">
        <f t="shared" si="3"/>
        <v>0.05</v>
      </c>
      <c r="GB16" s="693">
        <f>FY16</f>
        <v>0.05</v>
      </c>
      <c r="GC16" s="693">
        <f t="shared" si="4"/>
        <v>0.05</v>
      </c>
      <c r="GD16" s="693">
        <f t="shared" si="4"/>
        <v>0.05</v>
      </c>
      <c r="GE16" s="693">
        <f t="shared" si="4"/>
        <v>0.05</v>
      </c>
      <c r="GH16" s="693">
        <f>GE16</f>
        <v>0.05</v>
      </c>
      <c r="GI16" s="693">
        <f>GH16</f>
        <v>0.05</v>
      </c>
      <c r="GJ16" s="693">
        <f>GI16</f>
        <v>0.05</v>
      </c>
      <c r="GK16" s="693">
        <f>GJ16</f>
        <v>0.05</v>
      </c>
      <c r="GN16" s="693">
        <f>GK16</f>
        <v>0.05</v>
      </c>
      <c r="GO16" s="693">
        <f t="shared" si="5"/>
        <v>0.05</v>
      </c>
      <c r="GP16" s="693">
        <f t="shared" si="5"/>
        <v>0.05</v>
      </c>
      <c r="GQ16" s="693">
        <f t="shared" si="5"/>
        <v>0.05</v>
      </c>
      <c r="GT16" s="693">
        <f>GQ16</f>
        <v>0.05</v>
      </c>
      <c r="GU16" s="693">
        <f t="shared" si="6"/>
        <v>0.05</v>
      </c>
      <c r="GV16" s="693">
        <f t="shared" si="6"/>
        <v>0.05</v>
      </c>
      <c r="GW16" s="693">
        <f t="shared" si="6"/>
        <v>0.05</v>
      </c>
      <c r="GZ16" s="693">
        <f>GW16</f>
        <v>0.05</v>
      </c>
      <c r="HA16" s="693">
        <f t="shared" si="7"/>
        <v>0.05</v>
      </c>
      <c r="HB16" s="693">
        <f t="shared" si="7"/>
        <v>0.05</v>
      </c>
      <c r="HC16" s="693">
        <f t="shared" si="7"/>
        <v>0.05</v>
      </c>
      <c r="HF16" s="693">
        <f>HC16</f>
        <v>0.05</v>
      </c>
      <c r="HG16" s="693">
        <f t="shared" si="8"/>
        <v>0.05</v>
      </c>
      <c r="HH16" s="693">
        <f t="shared" si="9"/>
        <v>0.05</v>
      </c>
      <c r="HI16" s="693">
        <f t="shared" si="10"/>
        <v>0.05</v>
      </c>
    </row>
    <row r="17" spans="1:217" s="30" customFormat="1">
      <c r="A17" s="29"/>
      <c r="C17" s="30" t="s">
        <v>24</v>
      </c>
      <c r="DN17" s="30">
        <f>(AVERAGE(DN15,DK15)*DN16)/4</f>
        <v>6.25E-2</v>
      </c>
      <c r="DO17" s="30">
        <f>(AVERAGE(DO15,DN15)*DO16)/4</f>
        <v>3.125E-2</v>
      </c>
      <c r="DP17" s="30">
        <f>(AVERAGE(DP15,DO15)*DP16)/4</f>
        <v>0</v>
      </c>
      <c r="DQ17" s="30">
        <f>(AVERAGE(DQ15,DP15)*DQ16)/4</f>
        <v>0</v>
      </c>
      <c r="DT17" s="30">
        <f>(AVERAGE(DT15,DQ15)*DT16)/4</f>
        <v>0</v>
      </c>
      <c r="DU17" s="30">
        <f>(AVERAGE(DU15,DT15)*DU16)/4</f>
        <v>0</v>
      </c>
      <c r="DV17" s="30">
        <f>(AVERAGE(DV15,DU15)*DV16)/4</f>
        <v>0</v>
      </c>
      <c r="DW17" s="30">
        <f>(AVERAGE(DW15,DV15)*DW16)/4</f>
        <v>0</v>
      </c>
      <c r="DZ17" s="30">
        <f>(AVERAGE(DZ15,DW15)*DZ16)/4</f>
        <v>0</v>
      </c>
      <c r="EA17" s="30">
        <f>(AVERAGE(EA15,DZ15)*EA16)/4</f>
        <v>0</v>
      </c>
      <c r="EB17" s="30">
        <f>(AVERAGE(EB15,EA15)*EB16)/4</f>
        <v>0</v>
      </c>
      <c r="EC17" s="30">
        <f>(AVERAGE(EC15,EB15)*EC16)/4</f>
        <v>0</v>
      </c>
      <c r="EF17" s="30">
        <f>(AVERAGE(EF15,EC15)*EF16)/4</f>
        <v>0</v>
      </c>
      <c r="EG17" s="30">
        <f>(AVERAGE(EG15,EF15)*EG16)/4</f>
        <v>0</v>
      </c>
      <c r="EH17" s="30">
        <f>(AVERAGE(EH15,EG15)*EH16)/4</f>
        <v>0</v>
      </c>
      <c r="EI17" s="30">
        <f>(AVERAGE(EI15,EH15)*EI16)/4</f>
        <v>0</v>
      </c>
      <c r="EL17" s="30">
        <f>(AVERAGE(EL15,EI15)*EL16)/4</f>
        <v>0</v>
      </c>
      <c r="EM17" s="30">
        <f>(AVERAGE(EM15,EL15)*EM16)/4</f>
        <v>0</v>
      </c>
      <c r="EN17" s="30">
        <f>(AVERAGE(EN15,EM15)*EN16)/4</f>
        <v>0</v>
      </c>
      <c r="EO17" s="30">
        <f>(AVERAGE(EO15,EN15)*EO16)/4</f>
        <v>0</v>
      </c>
      <c r="ER17" s="30">
        <f>(AVERAGE(ER15,EO15)*ER16)/4</f>
        <v>0</v>
      </c>
      <c r="ES17" s="30">
        <f>(AVERAGE(ES15,ER15)*ES16)/4</f>
        <v>0</v>
      </c>
      <c r="ET17" s="30">
        <f>(AVERAGE(ET15,ES15)*ET16)/4</f>
        <v>0</v>
      </c>
      <c r="EU17" s="30">
        <f>(AVERAGE(EU15,ET15)*EU16)/4</f>
        <v>0</v>
      </c>
      <c r="EX17" s="30">
        <f>(AVERAGE(EX15,EU15)*EX16)/4</f>
        <v>0</v>
      </c>
      <c r="EY17" s="30">
        <f>(AVERAGE(EY15,EX15)*EY16)/4</f>
        <v>0</v>
      </c>
      <c r="EZ17" s="30">
        <f>(AVERAGE(EZ15,EY15)*EZ16)/4</f>
        <v>0</v>
      </c>
      <c r="FA17" s="108">
        <f>(AVERAGE(FA15,EZ15)*FA16)/4</f>
        <v>0</v>
      </c>
      <c r="FD17" s="108">
        <f>(AVERAGE(FD15,FA15)*FD16)/4</f>
        <v>0</v>
      </c>
      <c r="FE17" s="30">
        <f>(AVERAGE(FE15,FD15)*FE16)/4</f>
        <v>0</v>
      </c>
      <c r="FF17" s="30">
        <f>(AVERAGE(FF15,FE15)*FF16)/4</f>
        <v>0</v>
      </c>
      <c r="FG17" s="30">
        <f>(AVERAGE(FG15,FF15)*FG16)/4</f>
        <v>0</v>
      </c>
      <c r="FJ17" s="30">
        <f>(AVERAGE(FJ15,FG15)*FJ16)/4</f>
        <v>0</v>
      </c>
      <c r="FK17" s="30">
        <f>(AVERAGE(FK15,FJ15)*FK16)/4</f>
        <v>0</v>
      </c>
      <c r="FL17" s="30">
        <f>(AVERAGE(FL15,FK15)*FL16)/4</f>
        <v>0</v>
      </c>
      <c r="FM17" s="30">
        <f>(AVERAGE(FM15,FL15)*FM16)/4</f>
        <v>2.15625</v>
      </c>
      <c r="FP17" s="30">
        <f>(AVERAGE(FP15,FM15)*FP16)/4</f>
        <v>4.3125</v>
      </c>
      <c r="FQ17" s="30">
        <f>(AVERAGE(FQ15,FP15)*FQ16)/4</f>
        <v>4.3125</v>
      </c>
      <c r="FR17" s="30">
        <f>(AVERAGE(FR15,FQ15)*FR16)/4</f>
        <v>4.3125</v>
      </c>
      <c r="FS17" s="30">
        <f>(AVERAGE(FS15,FR15)*FS16)/4</f>
        <v>4.3125</v>
      </c>
      <c r="FV17" s="30">
        <f>(AVERAGE(FV15,FS15)*FV16)/4</f>
        <v>4.3125</v>
      </c>
      <c r="FW17" s="30">
        <f>(AVERAGE(FW15,FV15)*FW16)/4</f>
        <v>4.3125</v>
      </c>
      <c r="FX17" s="30">
        <f>(AVERAGE(FX15,FW15)*FX16)/4</f>
        <v>4.3125</v>
      </c>
      <c r="FY17" s="30">
        <f>(AVERAGE(FY15,FX15)*FY16)/4</f>
        <v>4.3125</v>
      </c>
      <c r="GB17" s="30">
        <f>(AVERAGE(GB15,FY15)*GB16)/4</f>
        <v>4.3125</v>
      </c>
      <c r="GC17" s="30">
        <f>(AVERAGE(GC15,GB15)*GC16)/4</f>
        <v>4.3125</v>
      </c>
      <c r="GD17" s="30">
        <f>(AVERAGE(GD15,GC15)*GD16)/4</f>
        <v>4.3125</v>
      </c>
      <c r="GE17" s="30">
        <f>(AVERAGE(GE15,GD15)*GE16)/4</f>
        <v>4.3125</v>
      </c>
      <c r="GH17" s="30">
        <f>(AVERAGE(GH15,GE15)*GH16)/4</f>
        <v>4.3125</v>
      </c>
      <c r="GI17" s="30">
        <f>(AVERAGE(GI15,GH15)*GI16)/4</f>
        <v>4.3125</v>
      </c>
      <c r="GJ17" s="30">
        <f>(AVERAGE(GJ15,GI15)*GJ16)/4</f>
        <v>4.3125</v>
      </c>
      <c r="GK17" s="30">
        <f>(AVERAGE(GK15,GJ15)*GK16)/4</f>
        <v>2.15625</v>
      </c>
      <c r="GN17" s="30">
        <f>(AVERAGE(GN15,GK15)*GN16)/4</f>
        <v>0</v>
      </c>
      <c r="GO17" s="30">
        <f>(AVERAGE(GO15,GN15)*GO16)/4</f>
        <v>0</v>
      </c>
      <c r="GP17" s="30">
        <f>(AVERAGE(GP15,GO15)*GP16)/4</f>
        <v>0</v>
      </c>
      <c r="GQ17" s="30">
        <f>(AVERAGE(GQ15,GP15)*GQ16)/4</f>
        <v>0</v>
      </c>
      <c r="GT17" s="30">
        <f>(AVERAGE(GT15,GQ15)*GT16)/4</f>
        <v>0</v>
      </c>
      <c r="GU17" s="30">
        <f>(AVERAGE(GU15,GT15)*GU16)/4</f>
        <v>0</v>
      </c>
      <c r="GV17" s="30">
        <f>(AVERAGE(GV15,GU15)*GV16)/4</f>
        <v>0</v>
      </c>
      <c r="GW17" s="30">
        <f>(AVERAGE(GW15,GV15)*GW16)/4</f>
        <v>0</v>
      </c>
      <c r="GZ17" s="30">
        <f>(AVERAGE(GZ15,GW15)*GZ16)/4</f>
        <v>0</v>
      </c>
      <c r="HA17" s="30">
        <f>(AVERAGE(HA15,GZ15)*HA16)/4</f>
        <v>0</v>
      </c>
      <c r="HB17" s="30">
        <f>(AVERAGE(HB15,HA15)*HB16)/4</f>
        <v>0</v>
      </c>
      <c r="HC17" s="30">
        <f>(AVERAGE(HC15,HB15)*HC16)/4</f>
        <v>0</v>
      </c>
      <c r="HF17" s="30">
        <f>(AVERAGE(HF15,HC15)*HF16)/4</f>
        <v>0</v>
      </c>
      <c r="HG17" s="30">
        <f>(AVERAGE(HG15,HF15)*HG16)/4</f>
        <v>0</v>
      </c>
      <c r="HH17" s="30">
        <f>(AVERAGE(HH15,HG15)*HH16)/4</f>
        <v>0</v>
      </c>
      <c r="HI17" s="30">
        <f>(AVERAGE(HI15,HH15)*HI16)/4</f>
        <v>0</v>
      </c>
    </row>
    <row r="18" spans="1:217" s="58" customFormat="1">
      <c r="A18" s="440" t="s">
        <v>56</v>
      </c>
      <c r="FA18" s="442"/>
      <c r="FD18" s="442"/>
    </row>
    <row r="19" spans="1:217" s="58" customFormat="1">
      <c r="C19" s="58" t="s">
        <v>114</v>
      </c>
      <c r="DH19" s="437">
        <v>70.311999999999998</v>
      </c>
      <c r="DI19" s="437">
        <v>99.375</v>
      </c>
      <c r="DJ19" s="437">
        <v>98.061000000000007</v>
      </c>
      <c r="DK19" s="437">
        <v>96.754999999999995</v>
      </c>
      <c r="DL19" s="58">
        <f>DK19</f>
        <v>96.754999999999995</v>
      </c>
      <c r="DN19" s="437">
        <v>94.781999999999996</v>
      </c>
      <c r="DO19" s="437">
        <v>100</v>
      </c>
      <c r="DP19" s="437">
        <v>100</v>
      </c>
      <c r="DQ19" s="437">
        <v>97.5</v>
      </c>
      <c r="DR19" s="58">
        <f>DQ19</f>
        <v>97.5</v>
      </c>
      <c r="DT19" s="437">
        <v>96.25</v>
      </c>
      <c r="DU19" s="437">
        <v>0</v>
      </c>
      <c r="DV19" s="437">
        <v>0</v>
      </c>
      <c r="DW19" s="437">
        <v>0</v>
      </c>
      <c r="DX19" s="58">
        <f>DW19</f>
        <v>0</v>
      </c>
      <c r="DZ19" s="437">
        <v>0</v>
      </c>
      <c r="EA19" s="437">
        <v>0</v>
      </c>
      <c r="EB19" s="437">
        <v>0</v>
      </c>
      <c r="EC19" s="437">
        <v>0</v>
      </c>
      <c r="ED19" s="58">
        <f>EC19</f>
        <v>0</v>
      </c>
      <c r="EF19" s="437">
        <v>0</v>
      </c>
      <c r="EG19" s="437">
        <v>0</v>
      </c>
      <c r="EH19" s="437">
        <v>0</v>
      </c>
      <c r="EI19" s="437">
        <v>0</v>
      </c>
      <c r="EJ19" s="58">
        <f>EI19</f>
        <v>0</v>
      </c>
      <c r="EL19" s="437">
        <v>0</v>
      </c>
      <c r="EM19" s="437">
        <v>0</v>
      </c>
      <c r="EN19" s="437">
        <v>0</v>
      </c>
      <c r="EO19" s="437">
        <v>0</v>
      </c>
      <c r="EP19" s="58">
        <f>EO19</f>
        <v>0</v>
      </c>
      <c r="ER19" s="437">
        <v>0</v>
      </c>
      <c r="ES19" s="437">
        <v>0</v>
      </c>
      <c r="ET19" s="437">
        <v>0</v>
      </c>
      <c r="EU19" s="437">
        <v>0</v>
      </c>
      <c r="EV19" s="58">
        <f>EU19</f>
        <v>0</v>
      </c>
      <c r="EX19" s="437">
        <f>EU19</f>
        <v>0</v>
      </c>
      <c r="EY19" s="437">
        <v>0</v>
      </c>
      <c r="EZ19" s="437">
        <v>0</v>
      </c>
      <c r="FA19" s="108">
        <f>EZ19</f>
        <v>0</v>
      </c>
      <c r="FD19" s="108">
        <f>FA19</f>
        <v>0</v>
      </c>
      <c r="FE19" s="30">
        <f t="shared" ref="FE19:FG20" si="11">FD19</f>
        <v>0</v>
      </c>
      <c r="FF19" s="30">
        <f t="shared" si="11"/>
        <v>0</v>
      </c>
      <c r="FG19" s="30">
        <f t="shared" si="11"/>
        <v>0</v>
      </c>
      <c r="FJ19" s="30">
        <f>FG19</f>
        <v>0</v>
      </c>
      <c r="FK19" s="30">
        <f t="shared" ref="FK19:FM20" si="12">FJ19</f>
        <v>0</v>
      </c>
      <c r="FL19" s="30">
        <f t="shared" si="12"/>
        <v>0</v>
      </c>
      <c r="FM19" s="30">
        <f t="shared" si="12"/>
        <v>0</v>
      </c>
      <c r="FP19" s="30">
        <f>FM19</f>
        <v>0</v>
      </c>
      <c r="FQ19" s="30">
        <f t="shared" ref="FQ19:FS20" si="13">FP19</f>
        <v>0</v>
      </c>
      <c r="FR19" s="30">
        <f t="shared" si="13"/>
        <v>0</v>
      </c>
      <c r="FS19" s="30">
        <f t="shared" si="13"/>
        <v>0</v>
      </c>
      <c r="FV19" s="30">
        <f>FS19</f>
        <v>0</v>
      </c>
      <c r="FW19" s="30">
        <f t="shared" ref="FW19:FY20" si="14">FV19</f>
        <v>0</v>
      </c>
      <c r="FX19" s="30">
        <f t="shared" si="14"/>
        <v>0</v>
      </c>
      <c r="FY19" s="30">
        <f t="shared" si="14"/>
        <v>0</v>
      </c>
      <c r="GB19" s="30">
        <f>FY19</f>
        <v>0</v>
      </c>
      <c r="GC19" s="30">
        <f t="shared" ref="GC19:GE20" si="15">GB19</f>
        <v>0</v>
      </c>
      <c r="GD19" s="30">
        <f t="shared" si="15"/>
        <v>0</v>
      </c>
      <c r="GE19" s="30">
        <f t="shared" si="15"/>
        <v>0</v>
      </c>
      <c r="GH19" s="30">
        <f>GE19</f>
        <v>0</v>
      </c>
      <c r="GI19" s="30">
        <f t="shared" ref="GI19:GK20" si="16">GH19</f>
        <v>0</v>
      </c>
      <c r="GJ19" s="30">
        <f t="shared" si="16"/>
        <v>0</v>
      </c>
      <c r="GK19" s="30">
        <f t="shared" si="16"/>
        <v>0</v>
      </c>
      <c r="GN19" s="30">
        <f>GK19</f>
        <v>0</v>
      </c>
      <c r="GO19" s="30">
        <f t="shared" ref="GO19:GQ20" si="17">GN19</f>
        <v>0</v>
      </c>
      <c r="GP19" s="30">
        <f t="shared" si="17"/>
        <v>0</v>
      </c>
      <c r="GQ19" s="30">
        <f t="shared" si="17"/>
        <v>0</v>
      </c>
      <c r="GT19" s="30">
        <f>GQ19</f>
        <v>0</v>
      </c>
      <c r="GU19" s="30">
        <f t="shared" ref="GU19:GW20" si="18">GT19</f>
        <v>0</v>
      </c>
      <c r="GV19" s="30">
        <f t="shared" si="18"/>
        <v>0</v>
      </c>
      <c r="GW19" s="30">
        <f t="shared" si="18"/>
        <v>0</v>
      </c>
      <c r="GZ19" s="30">
        <f>GW19</f>
        <v>0</v>
      </c>
      <c r="HA19" s="30">
        <f t="shared" ref="HA19:HC20" si="19">GZ19</f>
        <v>0</v>
      </c>
      <c r="HB19" s="30">
        <f t="shared" si="19"/>
        <v>0</v>
      </c>
      <c r="HC19" s="30">
        <f t="shared" si="19"/>
        <v>0</v>
      </c>
      <c r="HF19" s="30">
        <f>HC19</f>
        <v>0</v>
      </c>
      <c r="HG19" s="30">
        <f t="shared" ref="HG19:HG20" si="20">HF19</f>
        <v>0</v>
      </c>
      <c r="HH19" s="30">
        <f t="shared" ref="HH19:HH20" si="21">HG19</f>
        <v>0</v>
      </c>
      <c r="HI19" s="30">
        <f t="shared" ref="HI19:HI20" si="22">HH19</f>
        <v>0</v>
      </c>
    </row>
    <row r="20" spans="1:217" s="58" customFormat="1">
      <c r="C20" s="30" t="s">
        <v>591</v>
      </c>
      <c r="DH20" s="635">
        <v>0.05</v>
      </c>
      <c r="DI20" s="635">
        <f>DH20</f>
        <v>0.05</v>
      </c>
      <c r="DJ20" s="635">
        <f>DI20</f>
        <v>0.05</v>
      </c>
      <c r="DK20" s="635">
        <f>DJ20</f>
        <v>0.05</v>
      </c>
      <c r="DN20" s="635">
        <v>0.05</v>
      </c>
      <c r="DO20" s="635">
        <f>DN20</f>
        <v>0.05</v>
      </c>
      <c r="DP20" s="635">
        <f>DO20</f>
        <v>0.05</v>
      </c>
      <c r="DQ20" s="635">
        <f>DP20</f>
        <v>0.05</v>
      </c>
      <c r="DT20" s="635">
        <v>0.05</v>
      </c>
      <c r="DU20" s="635">
        <f>DT20</f>
        <v>0.05</v>
      </c>
      <c r="DV20" s="635">
        <f>DU20</f>
        <v>0.05</v>
      </c>
      <c r="DW20" s="635">
        <f>DV20</f>
        <v>0.05</v>
      </c>
      <c r="DZ20" s="635">
        <v>0.05</v>
      </c>
      <c r="EA20" s="635">
        <f>DZ20</f>
        <v>0.05</v>
      </c>
      <c r="EB20" s="635">
        <f>EA20</f>
        <v>0.05</v>
      </c>
      <c r="EC20" s="635">
        <f>EB20</f>
        <v>0.05</v>
      </c>
      <c r="EF20" s="635">
        <v>0.05</v>
      </c>
      <c r="EG20" s="635">
        <f>EF20</f>
        <v>0.05</v>
      </c>
      <c r="EH20" s="635">
        <f>EG20</f>
        <v>0.05</v>
      </c>
      <c r="EI20" s="635">
        <f>EH20</f>
        <v>0.05</v>
      </c>
      <c r="EL20" s="635">
        <v>0.05</v>
      </c>
      <c r="EM20" s="635">
        <f>EL20</f>
        <v>0.05</v>
      </c>
      <c r="EN20" s="635">
        <f>EM20</f>
        <v>0.05</v>
      </c>
      <c r="EO20" s="635">
        <f>EN20</f>
        <v>0.05</v>
      </c>
      <c r="ER20" s="635">
        <v>0.05</v>
      </c>
      <c r="ES20" s="635">
        <f>ER20</f>
        <v>0.05</v>
      </c>
      <c r="ET20" s="635">
        <f>ES20</f>
        <v>0.05</v>
      </c>
      <c r="EU20" s="635">
        <f>ET20</f>
        <v>0.05</v>
      </c>
      <c r="EX20" s="635">
        <f>EU20</f>
        <v>0.05</v>
      </c>
      <c r="EY20" s="635">
        <f>EX20</f>
        <v>0.05</v>
      </c>
      <c r="EZ20" s="635">
        <f>EY20</f>
        <v>0.05</v>
      </c>
      <c r="FA20" s="694">
        <f>EZ20</f>
        <v>0.05</v>
      </c>
      <c r="FD20" s="694">
        <f>FA20</f>
        <v>0.05</v>
      </c>
      <c r="FE20" s="693">
        <f t="shared" si="11"/>
        <v>0.05</v>
      </c>
      <c r="FF20" s="693">
        <f t="shared" si="11"/>
        <v>0.05</v>
      </c>
      <c r="FG20" s="693">
        <f t="shared" si="11"/>
        <v>0.05</v>
      </c>
      <c r="FJ20" s="693">
        <f>FG20</f>
        <v>0.05</v>
      </c>
      <c r="FK20" s="693">
        <f t="shared" si="12"/>
        <v>0.05</v>
      </c>
      <c r="FL20" s="693">
        <f t="shared" si="12"/>
        <v>0.05</v>
      </c>
      <c r="FM20" s="693">
        <f t="shared" si="12"/>
        <v>0.05</v>
      </c>
      <c r="FP20" s="693">
        <f>FM20</f>
        <v>0.05</v>
      </c>
      <c r="FQ20" s="693">
        <f t="shared" si="13"/>
        <v>0.05</v>
      </c>
      <c r="FR20" s="693">
        <f t="shared" si="13"/>
        <v>0.05</v>
      </c>
      <c r="FS20" s="693">
        <f t="shared" si="13"/>
        <v>0.05</v>
      </c>
      <c r="FV20" s="693">
        <f>FS20</f>
        <v>0.05</v>
      </c>
      <c r="FW20" s="693">
        <f t="shared" si="14"/>
        <v>0.05</v>
      </c>
      <c r="FX20" s="693">
        <f t="shared" si="14"/>
        <v>0.05</v>
      </c>
      <c r="FY20" s="693">
        <f t="shared" si="14"/>
        <v>0.05</v>
      </c>
      <c r="GB20" s="693">
        <f>FY20</f>
        <v>0.05</v>
      </c>
      <c r="GC20" s="693">
        <f t="shared" si="15"/>
        <v>0.05</v>
      </c>
      <c r="GD20" s="693">
        <f t="shared" si="15"/>
        <v>0.05</v>
      </c>
      <c r="GE20" s="693">
        <f t="shared" si="15"/>
        <v>0.05</v>
      </c>
      <c r="GH20" s="693">
        <f>GE20</f>
        <v>0.05</v>
      </c>
      <c r="GI20" s="693">
        <f t="shared" si="16"/>
        <v>0.05</v>
      </c>
      <c r="GJ20" s="693">
        <f t="shared" si="16"/>
        <v>0.05</v>
      </c>
      <c r="GK20" s="693">
        <f t="shared" si="16"/>
        <v>0.05</v>
      </c>
      <c r="GN20" s="693">
        <f>GK20</f>
        <v>0.05</v>
      </c>
      <c r="GO20" s="693">
        <f t="shared" si="17"/>
        <v>0.05</v>
      </c>
      <c r="GP20" s="693">
        <f t="shared" si="17"/>
        <v>0.05</v>
      </c>
      <c r="GQ20" s="693">
        <f t="shared" si="17"/>
        <v>0.05</v>
      </c>
      <c r="GT20" s="693">
        <f>GQ20</f>
        <v>0.05</v>
      </c>
      <c r="GU20" s="693">
        <f t="shared" si="18"/>
        <v>0.05</v>
      </c>
      <c r="GV20" s="693">
        <f t="shared" si="18"/>
        <v>0.05</v>
      </c>
      <c r="GW20" s="693">
        <f t="shared" si="18"/>
        <v>0.05</v>
      </c>
      <c r="GZ20" s="693">
        <f>GW20</f>
        <v>0.05</v>
      </c>
      <c r="HA20" s="693">
        <f t="shared" si="19"/>
        <v>0.05</v>
      </c>
      <c r="HB20" s="693">
        <f t="shared" si="19"/>
        <v>0.05</v>
      </c>
      <c r="HC20" s="693">
        <f t="shared" si="19"/>
        <v>0.05</v>
      </c>
      <c r="HF20" s="693">
        <f>HC20</f>
        <v>0.05</v>
      </c>
      <c r="HG20" s="693">
        <f t="shared" si="20"/>
        <v>0.05</v>
      </c>
      <c r="HH20" s="693">
        <f t="shared" si="21"/>
        <v>0.05</v>
      </c>
      <c r="HI20" s="693">
        <f t="shared" si="22"/>
        <v>0.05</v>
      </c>
    </row>
    <row r="21" spans="1:217" s="58" customFormat="1">
      <c r="C21" s="30" t="s">
        <v>24</v>
      </c>
      <c r="DN21" s="30">
        <f>(AVERAGE(DN19,DK19)*DN20)/4</f>
        <v>1.1971062499999998</v>
      </c>
      <c r="DO21" s="30">
        <f>(AVERAGE(DO19,DN19)*DO20)/4</f>
        <v>1.2173875000000001</v>
      </c>
      <c r="DP21" s="30">
        <f>(AVERAGE(DP19,DO19)*DP20)/4</f>
        <v>1.25</v>
      </c>
      <c r="DQ21" s="30">
        <f>(AVERAGE(DQ19,DP19)*DQ20)/4</f>
        <v>1.234375</v>
      </c>
      <c r="DT21" s="30">
        <f>(AVERAGE(DT19,DQ19)*DT20)/4</f>
        <v>1.2109375</v>
      </c>
      <c r="DU21" s="30">
        <f>(AVERAGE(DU19,DT19)*DU20)/4</f>
        <v>0.6015625</v>
      </c>
      <c r="DV21" s="30">
        <f>(AVERAGE(DV19,DU19)*DV20)/4</f>
        <v>0</v>
      </c>
      <c r="DW21" s="30">
        <f>(AVERAGE(DW19,DV19)*DW20)/4</f>
        <v>0</v>
      </c>
      <c r="DZ21" s="30">
        <f>(AVERAGE(DZ19,DW19)*DZ20)/4</f>
        <v>0</v>
      </c>
      <c r="EA21" s="30">
        <f>(AVERAGE(EA19,DZ19)*EA20)/4</f>
        <v>0</v>
      </c>
      <c r="EB21" s="30">
        <f>(AVERAGE(EB19,EA19)*EB20)/4</f>
        <v>0</v>
      </c>
      <c r="EC21" s="30">
        <f>(AVERAGE(EC19,EB19)*EC20)/4</f>
        <v>0</v>
      </c>
      <c r="EF21" s="30">
        <f>(AVERAGE(EF19,EC19)*EF20)/4</f>
        <v>0</v>
      </c>
      <c r="EG21" s="30">
        <f>(AVERAGE(EG19,EF19)*EG20)/4</f>
        <v>0</v>
      </c>
      <c r="EH21" s="30">
        <f>(AVERAGE(EH19,EG19)*EH20)/4</f>
        <v>0</v>
      </c>
      <c r="EI21" s="30">
        <f>(AVERAGE(EI19,EH19)*EI20)/4</f>
        <v>0</v>
      </c>
      <c r="EL21" s="30">
        <f>(AVERAGE(EL19,EI19)*EL20)/4</f>
        <v>0</v>
      </c>
      <c r="EM21" s="30">
        <f>(AVERAGE(EM19,EL19)*EM20)/4</f>
        <v>0</v>
      </c>
      <c r="EN21" s="30">
        <f>(AVERAGE(EN19,EM19)*EN20)/4</f>
        <v>0</v>
      </c>
      <c r="EO21" s="30">
        <f>(AVERAGE(EO19,EN19)*EO20)/4</f>
        <v>0</v>
      </c>
      <c r="ER21" s="30">
        <f>(AVERAGE(ER19,EO19)*ER20)/4</f>
        <v>0</v>
      </c>
      <c r="ES21" s="30">
        <f>(AVERAGE(ES19,ER19)*ES20)/4</f>
        <v>0</v>
      </c>
      <c r="ET21" s="30">
        <f>(AVERAGE(ET19,ES19)*ET20)/4</f>
        <v>0</v>
      </c>
      <c r="EU21" s="30">
        <f>(AVERAGE(EU19,ET19)*EU20)/4</f>
        <v>0</v>
      </c>
      <c r="EX21" s="30">
        <f>(AVERAGE(EX19,EU19)*EX20)/4</f>
        <v>0</v>
      </c>
      <c r="EY21" s="30">
        <f>(AVERAGE(EY19,EX19)*EY20)/4</f>
        <v>0</v>
      </c>
      <c r="EZ21" s="30">
        <f>(AVERAGE(EZ19,EY19)*EZ20)/4</f>
        <v>0</v>
      </c>
      <c r="FA21" s="108">
        <f>(AVERAGE(FA19,EZ19)*FA20)/4</f>
        <v>0</v>
      </c>
      <c r="FD21" s="108">
        <f>(AVERAGE(FD19,FA19)*FD20)/4</f>
        <v>0</v>
      </c>
      <c r="FE21" s="30">
        <f>(AVERAGE(FE19,FD19)*FE20)/4</f>
        <v>0</v>
      </c>
      <c r="FF21" s="30">
        <f>(AVERAGE(FF19,FE19)*FF20)/4</f>
        <v>0</v>
      </c>
      <c r="FG21" s="30">
        <f>(AVERAGE(FG19,FF19)*FG20)/4</f>
        <v>0</v>
      </c>
      <c r="FJ21" s="30">
        <f>(AVERAGE(FJ19,FG19)*FJ20)/4</f>
        <v>0</v>
      </c>
      <c r="FK21" s="30">
        <f>(AVERAGE(FK19,FJ19)*FK20)/4</f>
        <v>0</v>
      </c>
      <c r="FL21" s="30">
        <f>(AVERAGE(FL19,FK19)*FL20)/4</f>
        <v>0</v>
      </c>
      <c r="FM21" s="30">
        <f>(AVERAGE(FM19,FL19)*FM20)/4</f>
        <v>0</v>
      </c>
      <c r="FP21" s="30">
        <f>(AVERAGE(FP19,FM19)*FP20)/4</f>
        <v>0</v>
      </c>
      <c r="FQ21" s="30">
        <f>(AVERAGE(FQ19,FP19)*FQ20)/4</f>
        <v>0</v>
      </c>
      <c r="FR21" s="30">
        <f>(AVERAGE(FR19,FQ19)*FR20)/4</f>
        <v>0</v>
      </c>
      <c r="FS21" s="30">
        <f>(AVERAGE(FS19,FR19)*FS20)/4</f>
        <v>0</v>
      </c>
      <c r="FV21" s="30">
        <f>(AVERAGE(FV19,FS19)*FV20)/4</f>
        <v>0</v>
      </c>
      <c r="FW21" s="30">
        <f>(AVERAGE(FW19,FV19)*FW20)/4</f>
        <v>0</v>
      </c>
      <c r="FX21" s="30">
        <f>(AVERAGE(FX19,FW19)*FX20)/4</f>
        <v>0</v>
      </c>
      <c r="FY21" s="30">
        <f>(AVERAGE(FY19,FX19)*FY20)/4</f>
        <v>0</v>
      </c>
      <c r="GB21" s="30">
        <f>(AVERAGE(GB19,FY19)*GB20)/4</f>
        <v>0</v>
      </c>
      <c r="GC21" s="30">
        <f>(AVERAGE(GC19,GB19)*GC20)/4</f>
        <v>0</v>
      </c>
      <c r="GD21" s="30">
        <f>(AVERAGE(GD19,GC19)*GD20)/4</f>
        <v>0</v>
      </c>
      <c r="GE21" s="30">
        <f>(AVERAGE(GE19,GD19)*GE20)/4</f>
        <v>0</v>
      </c>
      <c r="GH21" s="30">
        <f>(AVERAGE(GH19,GE19)*GH20)/4</f>
        <v>0</v>
      </c>
      <c r="GI21" s="30">
        <f>(AVERAGE(GI19,GH19)*GI20)/4</f>
        <v>0</v>
      </c>
      <c r="GJ21" s="30">
        <f>(AVERAGE(GJ19,GI19)*GJ20)/4</f>
        <v>0</v>
      </c>
      <c r="GK21" s="30">
        <f>(AVERAGE(GK19,GJ19)*GK20)/4</f>
        <v>0</v>
      </c>
      <c r="GN21" s="30">
        <f>(AVERAGE(GN19,GK19)*GN20)/4</f>
        <v>0</v>
      </c>
      <c r="GO21" s="30">
        <f>(AVERAGE(GO19,GN19)*GO20)/4</f>
        <v>0</v>
      </c>
      <c r="GP21" s="30">
        <f>(AVERAGE(GP19,GO19)*GP20)/4</f>
        <v>0</v>
      </c>
      <c r="GQ21" s="30">
        <f>(AVERAGE(GQ19,GP19)*GQ20)/4</f>
        <v>0</v>
      </c>
      <c r="GT21" s="30">
        <f>(AVERAGE(GT19,GQ19)*GT20)/4</f>
        <v>0</v>
      </c>
      <c r="GU21" s="30">
        <f>(AVERAGE(GU19,GT19)*GU20)/4</f>
        <v>0</v>
      </c>
      <c r="GV21" s="30">
        <f>(AVERAGE(GV19,GU19)*GV20)/4</f>
        <v>0</v>
      </c>
      <c r="GW21" s="30">
        <f>(AVERAGE(GW19,GV19)*GW20)/4</f>
        <v>0</v>
      </c>
      <c r="GZ21" s="30">
        <f>(AVERAGE(GZ19,GW19)*GZ20)/4</f>
        <v>0</v>
      </c>
      <c r="HA21" s="30">
        <f>(AVERAGE(HA19,GZ19)*HA20)/4</f>
        <v>0</v>
      </c>
      <c r="HB21" s="30">
        <f>(AVERAGE(HB19,HA19)*HB20)/4</f>
        <v>0</v>
      </c>
      <c r="HC21" s="30">
        <f>(AVERAGE(HC19,HB19)*HC20)/4</f>
        <v>0</v>
      </c>
      <c r="HF21" s="30">
        <f>(AVERAGE(HF19,HC19)*HF20)/4</f>
        <v>0</v>
      </c>
      <c r="HG21" s="30">
        <f>(AVERAGE(HG19,HF19)*HG20)/4</f>
        <v>0</v>
      </c>
      <c r="HH21" s="30">
        <f>(AVERAGE(HH19,HG19)*HH20)/4</f>
        <v>0</v>
      </c>
      <c r="HI21" s="30">
        <f>(AVERAGE(HI19,HH19)*HI20)/4</f>
        <v>0</v>
      </c>
    </row>
    <row r="22" spans="1:217" s="58" customFormat="1">
      <c r="A22" s="634" t="s">
        <v>590</v>
      </c>
      <c r="B22" s="441"/>
      <c r="BJ22" s="439"/>
      <c r="DC22" s="438"/>
      <c r="FA22" s="442"/>
      <c r="FD22" s="442"/>
    </row>
    <row r="23" spans="1:217" s="58" customFormat="1">
      <c r="A23" s="634"/>
      <c r="B23" s="441"/>
      <c r="C23" s="58" t="s">
        <v>114</v>
      </c>
      <c r="BJ23" s="439"/>
      <c r="DC23" s="438"/>
      <c r="DH23" s="437">
        <v>12.504</v>
      </c>
      <c r="DI23" s="437">
        <v>11.260999999999999</v>
      </c>
      <c r="DJ23" s="437">
        <v>13.337999999999999</v>
      </c>
      <c r="DK23" s="437">
        <v>11.548</v>
      </c>
      <c r="DL23" s="58">
        <f>DK23</f>
        <v>11.548</v>
      </c>
      <c r="DN23" s="437">
        <v>11.754</v>
      </c>
      <c r="DO23" s="437">
        <v>10.606999999999999</v>
      </c>
      <c r="DP23" s="437">
        <v>9.7319999999999993</v>
      </c>
      <c r="DQ23" s="437">
        <v>8.6310000000000002</v>
      </c>
      <c r="DR23" s="58">
        <f>DQ23</f>
        <v>8.6310000000000002</v>
      </c>
      <c r="DT23" s="437">
        <v>7.3689999999999998</v>
      </c>
      <c r="DU23" s="437">
        <v>6.3689999999999998</v>
      </c>
      <c r="DV23" s="437">
        <v>5.0990000000000002</v>
      </c>
      <c r="DW23" s="437">
        <v>3.8079999999999998</v>
      </c>
      <c r="DX23" s="58">
        <f>DW23</f>
        <v>3.8079999999999998</v>
      </c>
      <c r="DY23" s="437"/>
      <c r="DZ23" s="437">
        <v>2.7719999999999998</v>
      </c>
      <c r="EA23" s="437">
        <v>2.3610000000000002</v>
      </c>
      <c r="EB23" s="437">
        <v>1.716</v>
      </c>
      <c r="EC23" s="437">
        <v>1.206</v>
      </c>
      <c r="ED23" s="58">
        <f>EC23</f>
        <v>1.206</v>
      </c>
      <c r="EE23" s="437"/>
      <c r="EF23" s="437">
        <v>0.621</v>
      </c>
      <c r="EG23" s="437">
        <v>0.41</v>
      </c>
      <c r="EH23" s="437">
        <v>0.11799999999999999</v>
      </c>
      <c r="EI23" s="437">
        <v>7.0000000000000007E-2</v>
      </c>
      <c r="EJ23" s="58">
        <f>EI23</f>
        <v>7.0000000000000007E-2</v>
      </c>
      <c r="EK23" s="437"/>
      <c r="EL23" s="437">
        <v>3.7999999999999999E-2</v>
      </c>
      <c r="EM23" s="437">
        <v>1.0999999999999999E-2</v>
      </c>
      <c r="EN23" s="437">
        <v>4.0000000000000001E-3</v>
      </c>
      <c r="EO23" s="437">
        <v>0</v>
      </c>
      <c r="EP23" s="58">
        <f>EO23</f>
        <v>0</v>
      </c>
      <c r="ER23" s="437">
        <v>0</v>
      </c>
      <c r="ES23" s="437">
        <v>0</v>
      </c>
      <c r="ET23" s="437">
        <v>0</v>
      </c>
      <c r="EU23" s="437">
        <v>0</v>
      </c>
      <c r="EV23" s="58">
        <f>EU23</f>
        <v>0</v>
      </c>
      <c r="EX23" s="437">
        <f>EU23</f>
        <v>0</v>
      </c>
      <c r="EY23" s="437">
        <v>0</v>
      </c>
      <c r="EZ23" s="437">
        <v>0</v>
      </c>
      <c r="FA23" s="108">
        <f>EZ23</f>
        <v>0</v>
      </c>
      <c r="FD23" s="108">
        <f>FA23</f>
        <v>0</v>
      </c>
      <c r="FE23" s="30">
        <f t="shared" ref="FE23:FG24" si="23">FD23</f>
        <v>0</v>
      </c>
      <c r="FF23" s="30">
        <f t="shared" si="23"/>
        <v>0</v>
      </c>
      <c r="FG23" s="30">
        <f t="shared" si="23"/>
        <v>0</v>
      </c>
      <c r="FJ23" s="30">
        <f>FG23</f>
        <v>0</v>
      </c>
      <c r="FK23" s="30">
        <f t="shared" ref="FK23:FM24" si="24">FJ23</f>
        <v>0</v>
      </c>
      <c r="FL23" s="30">
        <f t="shared" si="24"/>
        <v>0</v>
      </c>
      <c r="FM23" s="30">
        <f t="shared" si="24"/>
        <v>0</v>
      </c>
      <c r="FP23" s="30">
        <f>FM23</f>
        <v>0</v>
      </c>
      <c r="FQ23" s="30">
        <f t="shared" ref="FQ23:FS24" si="25">FP23</f>
        <v>0</v>
      </c>
      <c r="FR23" s="30">
        <f t="shared" si="25"/>
        <v>0</v>
      </c>
      <c r="FS23" s="30">
        <f t="shared" si="25"/>
        <v>0</v>
      </c>
      <c r="FV23" s="30">
        <f>FS23</f>
        <v>0</v>
      </c>
      <c r="FW23" s="30">
        <f t="shared" ref="FW23:FY24" si="26">FV23</f>
        <v>0</v>
      </c>
      <c r="FX23" s="30">
        <f t="shared" si="26"/>
        <v>0</v>
      </c>
      <c r="FY23" s="30">
        <f t="shared" si="26"/>
        <v>0</v>
      </c>
      <c r="GB23" s="30">
        <f>FY23</f>
        <v>0</v>
      </c>
      <c r="GC23" s="30">
        <f t="shared" ref="GC23:GE24" si="27">GB23</f>
        <v>0</v>
      </c>
      <c r="GD23" s="30">
        <f t="shared" si="27"/>
        <v>0</v>
      </c>
      <c r="GE23" s="30">
        <f t="shared" si="27"/>
        <v>0</v>
      </c>
      <c r="GH23" s="30">
        <f>GE23</f>
        <v>0</v>
      </c>
      <c r="GI23" s="30">
        <f t="shared" ref="GI23:GK24" si="28">GH23</f>
        <v>0</v>
      </c>
      <c r="GJ23" s="30">
        <f t="shared" si="28"/>
        <v>0</v>
      </c>
      <c r="GK23" s="30">
        <f t="shared" si="28"/>
        <v>0</v>
      </c>
      <c r="GN23" s="30">
        <f>GK23</f>
        <v>0</v>
      </c>
      <c r="GO23" s="30">
        <f t="shared" ref="GO23:GQ24" si="29">GN23</f>
        <v>0</v>
      </c>
      <c r="GP23" s="30">
        <f t="shared" si="29"/>
        <v>0</v>
      </c>
      <c r="GQ23" s="30">
        <f t="shared" si="29"/>
        <v>0</v>
      </c>
      <c r="GT23" s="30">
        <f>GQ23</f>
        <v>0</v>
      </c>
      <c r="GU23" s="30">
        <f t="shared" ref="GU23:GW24" si="30">GT23</f>
        <v>0</v>
      </c>
      <c r="GV23" s="30">
        <f t="shared" si="30"/>
        <v>0</v>
      </c>
      <c r="GW23" s="30">
        <f t="shared" si="30"/>
        <v>0</v>
      </c>
      <c r="GZ23" s="30">
        <f>GW23</f>
        <v>0</v>
      </c>
      <c r="HA23" s="30">
        <f t="shared" ref="HA23:HC24" si="31">GZ23</f>
        <v>0</v>
      </c>
      <c r="HB23" s="30">
        <f t="shared" si="31"/>
        <v>0</v>
      </c>
      <c r="HC23" s="30">
        <f t="shared" si="31"/>
        <v>0</v>
      </c>
      <c r="HF23" s="30">
        <f>HC23</f>
        <v>0</v>
      </c>
      <c r="HG23" s="30">
        <f t="shared" ref="HG23:HG24" si="32">HF23</f>
        <v>0</v>
      </c>
      <c r="HH23" s="30">
        <f t="shared" ref="HH23:HH24" si="33">HG23</f>
        <v>0</v>
      </c>
      <c r="HI23" s="30">
        <f t="shared" ref="HI23:HI24" si="34">HH23</f>
        <v>0</v>
      </c>
    </row>
    <row r="24" spans="1:217" s="58" customFormat="1">
      <c r="A24" s="634"/>
      <c r="B24" s="441"/>
      <c r="C24" s="58" t="s">
        <v>591</v>
      </c>
      <c r="BJ24" s="439"/>
      <c r="DC24" s="438"/>
      <c r="DH24" s="635">
        <v>4.8500000000000001E-2</v>
      </c>
      <c r="DI24" s="635">
        <f>DH24</f>
        <v>4.8500000000000001E-2</v>
      </c>
      <c r="DJ24" s="635">
        <f>DI24</f>
        <v>4.8500000000000001E-2</v>
      </c>
      <c r="DK24" s="635">
        <f>DJ24</f>
        <v>4.8500000000000001E-2</v>
      </c>
      <c r="DN24" s="635">
        <v>4.8500000000000001E-2</v>
      </c>
      <c r="DO24" s="635">
        <f>DN24</f>
        <v>4.8500000000000001E-2</v>
      </c>
      <c r="DP24" s="635">
        <f>DO24</f>
        <v>4.8500000000000001E-2</v>
      </c>
      <c r="DQ24" s="635">
        <f>DP24</f>
        <v>4.8500000000000001E-2</v>
      </c>
      <c r="DT24" s="635">
        <v>4.8500000000000001E-2</v>
      </c>
      <c r="DU24" s="635">
        <f>DT24</f>
        <v>4.8500000000000001E-2</v>
      </c>
      <c r="DV24" s="635">
        <v>4.9099999999999998E-2</v>
      </c>
      <c r="DW24" s="635">
        <f>DV24</f>
        <v>4.9099999999999998E-2</v>
      </c>
      <c r="DY24" s="437"/>
      <c r="DZ24" s="635">
        <v>4.9099999999999998E-2</v>
      </c>
      <c r="EA24" s="635">
        <v>4.9099999999999998E-2</v>
      </c>
      <c r="EB24" s="635">
        <v>4.9099999999999998E-2</v>
      </c>
      <c r="EC24" s="635">
        <f>EB24</f>
        <v>4.9099999999999998E-2</v>
      </c>
      <c r="EE24" s="437"/>
      <c r="EF24" s="635">
        <v>4.9099999999999998E-2</v>
      </c>
      <c r="EG24" s="635">
        <v>4.9099999999999998E-2</v>
      </c>
      <c r="EH24" s="635">
        <v>4.9099999999999998E-2</v>
      </c>
      <c r="EI24" s="635">
        <f>EH24</f>
        <v>4.9099999999999998E-2</v>
      </c>
      <c r="EK24" s="437"/>
      <c r="EL24" s="635">
        <v>4.9099999999999998E-2</v>
      </c>
      <c r="EM24" s="635">
        <v>4.9099999999999998E-2</v>
      </c>
      <c r="EN24" s="635">
        <v>4.9099999999999998E-2</v>
      </c>
      <c r="EO24" s="635">
        <f>EN24</f>
        <v>4.9099999999999998E-2</v>
      </c>
      <c r="ER24" s="635">
        <v>4.9099999999999998E-2</v>
      </c>
      <c r="ES24" s="635">
        <v>4.9099999999999998E-2</v>
      </c>
      <c r="ET24" s="635">
        <v>4.9099999999999998E-2</v>
      </c>
      <c r="EU24" s="635">
        <f>ET24</f>
        <v>4.9099999999999998E-2</v>
      </c>
      <c r="EX24" s="635">
        <f>EU24</f>
        <v>4.9099999999999998E-2</v>
      </c>
      <c r="EY24" s="635">
        <f>EX24</f>
        <v>4.9099999999999998E-2</v>
      </c>
      <c r="EZ24" s="635">
        <f>EY24</f>
        <v>4.9099999999999998E-2</v>
      </c>
      <c r="FA24" s="694">
        <f>EZ24</f>
        <v>4.9099999999999998E-2</v>
      </c>
      <c r="FD24" s="694">
        <f>FA24</f>
        <v>4.9099999999999998E-2</v>
      </c>
      <c r="FE24" s="693">
        <f t="shared" si="23"/>
        <v>4.9099999999999998E-2</v>
      </c>
      <c r="FF24" s="693">
        <f t="shared" si="23"/>
        <v>4.9099999999999998E-2</v>
      </c>
      <c r="FG24" s="693">
        <f t="shared" si="23"/>
        <v>4.9099999999999998E-2</v>
      </c>
      <c r="FJ24" s="693">
        <f>FG24</f>
        <v>4.9099999999999998E-2</v>
      </c>
      <c r="FK24" s="693">
        <f t="shared" si="24"/>
        <v>4.9099999999999998E-2</v>
      </c>
      <c r="FL24" s="693">
        <f t="shared" si="24"/>
        <v>4.9099999999999998E-2</v>
      </c>
      <c r="FM24" s="693">
        <f t="shared" si="24"/>
        <v>4.9099999999999998E-2</v>
      </c>
      <c r="FP24" s="693">
        <f>FM24</f>
        <v>4.9099999999999998E-2</v>
      </c>
      <c r="FQ24" s="693">
        <f t="shared" si="25"/>
        <v>4.9099999999999998E-2</v>
      </c>
      <c r="FR24" s="693">
        <f t="shared" si="25"/>
        <v>4.9099999999999998E-2</v>
      </c>
      <c r="FS24" s="693">
        <f t="shared" si="25"/>
        <v>4.9099999999999998E-2</v>
      </c>
      <c r="FV24" s="693">
        <f>FS24</f>
        <v>4.9099999999999998E-2</v>
      </c>
      <c r="FW24" s="693">
        <f t="shared" si="26"/>
        <v>4.9099999999999998E-2</v>
      </c>
      <c r="FX24" s="693">
        <f t="shared" si="26"/>
        <v>4.9099999999999998E-2</v>
      </c>
      <c r="FY24" s="693">
        <f t="shared" si="26"/>
        <v>4.9099999999999998E-2</v>
      </c>
      <c r="GB24" s="693">
        <f>FY24</f>
        <v>4.9099999999999998E-2</v>
      </c>
      <c r="GC24" s="693">
        <f t="shared" si="27"/>
        <v>4.9099999999999998E-2</v>
      </c>
      <c r="GD24" s="693">
        <f t="shared" si="27"/>
        <v>4.9099999999999998E-2</v>
      </c>
      <c r="GE24" s="693">
        <f t="shared" si="27"/>
        <v>4.9099999999999998E-2</v>
      </c>
      <c r="GH24" s="693">
        <f>GE24</f>
        <v>4.9099999999999998E-2</v>
      </c>
      <c r="GI24" s="693">
        <f t="shared" si="28"/>
        <v>4.9099999999999998E-2</v>
      </c>
      <c r="GJ24" s="693">
        <f t="shared" si="28"/>
        <v>4.9099999999999998E-2</v>
      </c>
      <c r="GK24" s="693">
        <f t="shared" si="28"/>
        <v>4.9099999999999998E-2</v>
      </c>
      <c r="GN24" s="693">
        <f>GK24</f>
        <v>4.9099999999999998E-2</v>
      </c>
      <c r="GO24" s="693">
        <f t="shared" si="29"/>
        <v>4.9099999999999998E-2</v>
      </c>
      <c r="GP24" s="693">
        <f t="shared" si="29"/>
        <v>4.9099999999999998E-2</v>
      </c>
      <c r="GQ24" s="693">
        <f t="shared" si="29"/>
        <v>4.9099999999999998E-2</v>
      </c>
      <c r="GT24" s="693">
        <f>GQ24</f>
        <v>4.9099999999999998E-2</v>
      </c>
      <c r="GU24" s="693">
        <f t="shared" si="30"/>
        <v>4.9099999999999998E-2</v>
      </c>
      <c r="GV24" s="693">
        <f t="shared" si="30"/>
        <v>4.9099999999999998E-2</v>
      </c>
      <c r="GW24" s="693">
        <f t="shared" si="30"/>
        <v>4.9099999999999998E-2</v>
      </c>
      <c r="GZ24" s="693">
        <f>GW24</f>
        <v>4.9099999999999998E-2</v>
      </c>
      <c r="HA24" s="693">
        <f t="shared" si="31"/>
        <v>4.9099999999999998E-2</v>
      </c>
      <c r="HB24" s="693">
        <f t="shared" si="31"/>
        <v>4.9099999999999998E-2</v>
      </c>
      <c r="HC24" s="693">
        <f t="shared" si="31"/>
        <v>4.9099999999999998E-2</v>
      </c>
      <c r="HF24" s="693">
        <f>HC24</f>
        <v>4.9099999999999998E-2</v>
      </c>
      <c r="HG24" s="693">
        <f t="shared" si="32"/>
        <v>4.9099999999999998E-2</v>
      </c>
      <c r="HH24" s="693">
        <f t="shared" si="33"/>
        <v>4.9099999999999998E-2</v>
      </c>
      <c r="HI24" s="693">
        <f t="shared" si="34"/>
        <v>4.9099999999999998E-2</v>
      </c>
    </row>
    <row r="25" spans="1:217" s="30" customFormat="1">
      <c r="A25" s="29"/>
      <c r="C25" s="30" t="s">
        <v>24</v>
      </c>
      <c r="DN25" s="30">
        <f>(AVERAGE(DN23,DK23)*DN24)/4</f>
        <v>0.141268375</v>
      </c>
      <c r="DO25" s="30">
        <f>(AVERAGE(DO23,DN23)*DO24)/4</f>
        <v>0.13556356249999998</v>
      </c>
      <c r="DP25" s="30">
        <f>(AVERAGE(DP23,DO23)*DP24)/4</f>
        <v>0.1233051875</v>
      </c>
      <c r="DQ25" s="30">
        <f>(AVERAGE(DQ23,DP23)*DQ24)/4</f>
        <v>0.11132568750000001</v>
      </c>
      <c r="DT25" s="30">
        <f>(AVERAGE(DT23,DQ23)*DT24)/4</f>
        <v>9.7000000000000003E-2</v>
      </c>
      <c r="DU25" s="30">
        <f>(AVERAGE(DU23,DT23)*DU24)/4</f>
        <v>8.3286625000000003E-2</v>
      </c>
      <c r="DV25" s="30">
        <f>(AVERAGE(DV23,DU23)*DV24)/4</f>
        <v>7.0384849999999999E-2</v>
      </c>
      <c r="DW25" s="30">
        <f>(AVERAGE(DW23,DV23)*DW24)/4</f>
        <v>5.4666712499999999E-2</v>
      </c>
      <c r="DZ25" s="30">
        <f>(AVERAGE(DZ23,DW23)*DZ24)/4</f>
        <v>4.0384749999999997E-2</v>
      </c>
      <c r="EA25" s="30">
        <f>(AVERAGE(EA23,DZ23)*EA24)/4</f>
        <v>3.1503787499999998E-2</v>
      </c>
      <c r="EB25" s="30">
        <f>(AVERAGE(EB23,EA23)*EB24)/4</f>
        <v>2.5022587499999999E-2</v>
      </c>
      <c r="EC25" s="30">
        <f>(AVERAGE(EC23,EB23)*EC24)/4</f>
        <v>1.7933774999999999E-2</v>
      </c>
      <c r="EF25" s="30">
        <f>(AVERAGE(EF23,EC23)*EF24)/4</f>
        <v>1.12132125E-2</v>
      </c>
      <c r="EG25" s="30">
        <f>(AVERAGE(EG23,EF23)*EG24)/4</f>
        <v>6.3277624999999995E-3</v>
      </c>
      <c r="EH25" s="30">
        <f>(AVERAGE(EH23,EG23)*EH24)/4</f>
        <v>3.2406000000000002E-3</v>
      </c>
      <c r="EI25" s="30">
        <f>(AVERAGE(EI23,EH23)*EI24)/4</f>
        <v>1.1538499999999999E-3</v>
      </c>
      <c r="EL25" s="30">
        <f>(AVERAGE(EL23,EI23)*EL24)/4</f>
        <v>6.6285000000000009E-4</v>
      </c>
      <c r="EM25" s="30">
        <f>(AVERAGE(EM23,EL23)*EM24)/4</f>
        <v>3.0073749999999998E-4</v>
      </c>
      <c r="EN25" s="30">
        <f>(AVERAGE(EN23,EM23)*EN24)/4</f>
        <v>9.2062499999999995E-5</v>
      </c>
      <c r="EO25" s="30">
        <f>(AVERAGE(EO23,EN23)*EO24)/4</f>
        <v>2.455E-5</v>
      </c>
      <c r="ER25" s="30">
        <f>(AVERAGE(ER23,EO23)*ER24)/4</f>
        <v>0</v>
      </c>
      <c r="ES25" s="30">
        <f>(AVERAGE(ES23,ER23)*ES24)/4</f>
        <v>0</v>
      </c>
      <c r="ET25" s="30">
        <f>(AVERAGE(ET23,ES23)*ET24)/4</f>
        <v>0</v>
      </c>
      <c r="EU25" s="30">
        <f>(AVERAGE(EU23,ET23)*EU24)/4</f>
        <v>0</v>
      </c>
      <c r="EX25" s="30">
        <f>(AVERAGE(EX23,EU23)*EX24)/4</f>
        <v>0</v>
      </c>
      <c r="EY25" s="30">
        <f>(AVERAGE(EY23,EX23)*EY24)/4</f>
        <v>0</v>
      </c>
      <c r="EZ25" s="30">
        <f>(AVERAGE(EZ23,EY23)*EZ24)/4</f>
        <v>0</v>
      </c>
      <c r="FA25" s="108">
        <f>(AVERAGE(FA23,EZ23)*FA24)/4</f>
        <v>0</v>
      </c>
      <c r="FD25" s="108">
        <f>(AVERAGE(FD23,FA23)*FD24)/4</f>
        <v>0</v>
      </c>
      <c r="FE25" s="30">
        <f>(AVERAGE(FE23,FD23)*FE24)/4</f>
        <v>0</v>
      </c>
      <c r="FF25" s="30">
        <f>(AVERAGE(FF23,FE23)*FF24)/4</f>
        <v>0</v>
      </c>
      <c r="FG25" s="30">
        <f>(AVERAGE(FG23,FF23)*FG24)/4</f>
        <v>0</v>
      </c>
      <c r="FJ25" s="30">
        <f>(AVERAGE(FJ23,FG23)*FJ24)/4</f>
        <v>0</v>
      </c>
      <c r="FK25" s="30">
        <f>(AVERAGE(FK23,FJ23)*FK24)/4</f>
        <v>0</v>
      </c>
      <c r="FL25" s="30">
        <f>(AVERAGE(FL23,FK23)*FL24)/4</f>
        <v>0</v>
      </c>
      <c r="FM25" s="30">
        <f>(AVERAGE(FM23,FL23)*FM24)/4</f>
        <v>0</v>
      </c>
      <c r="FP25" s="30">
        <f>(AVERAGE(FP23,FM23)*FP24)/4</f>
        <v>0</v>
      </c>
      <c r="FQ25" s="30">
        <f>(AVERAGE(FQ23,FP23)*FQ24)/4</f>
        <v>0</v>
      </c>
      <c r="FR25" s="30">
        <f>(AVERAGE(FR23,FQ23)*FR24)/4</f>
        <v>0</v>
      </c>
      <c r="FS25" s="30">
        <f>(AVERAGE(FS23,FR23)*FS24)/4</f>
        <v>0</v>
      </c>
      <c r="FV25" s="30">
        <f>(AVERAGE(FV23,FS23)*FV24)/4</f>
        <v>0</v>
      </c>
      <c r="FW25" s="30">
        <f>(AVERAGE(FW23,FV23)*FW24)/4</f>
        <v>0</v>
      </c>
      <c r="FX25" s="30">
        <f>(AVERAGE(FX23,FW23)*FX24)/4</f>
        <v>0</v>
      </c>
      <c r="FY25" s="30">
        <f>(AVERAGE(FY23,FX23)*FY24)/4</f>
        <v>0</v>
      </c>
      <c r="GB25" s="30">
        <f>(AVERAGE(GB23,FY23)*GB24)/4</f>
        <v>0</v>
      </c>
      <c r="GC25" s="30">
        <f>(AVERAGE(GC23,GB23)*GC24)/4</f>
        <v>0</v>
      </c>
      <c r="GD25" s="30">
        <f>(AVERAGE(GD23,GC23)*GD24)/4</f>
        <v>0</v>
      </c>
      <c r="GE25" s="30">
        <f>(AVERAGE(GE23,GD23)*GE24)/4</f>
        <v>0</v>
      </c>
      <c r="GH25" s="30">
        <f>(AVERAGE(GH23,GE23)*GH24)/4</f>
        <v>0</v>
      </c>
      <c r="GI25" s="30">
        <f>(AVERAGE(GI23,GH23)*GI24)/4</f>
        <v>0</v>
      </c>
      <c r="GJ25" s="30">
        <f>(AVERAGE(GJ23,GI23)*GJ24)/4</f>
        <v>0</v>
      </c>
      <c r="GK25" s="30">
        <f>(AVERAGE(GK23,GJ23)*GK24)/4</f>
        <v>0</v>
      </c>
      <c r="GN25" s="30">
        <f>(AVERAGE(GN23,GK23)*GN24)/4</f>
        <v>0</v>
      </c>
      <c r="GO25" s="30">
        <f>(AVERAGE(GO23,GN23)*GO24)/4</f>
        <v>0</v>
      </c>
      <c r="GP25" s="30">
        <f>(AVERAGE(GP23,GO23)*GP24)/4</f>
        <v>0</v>
      </c>
      <c r="GQ25" s="30">
        <f>(AVERAGE(GQ23,GP23)*GQ24)/4</f>
        <v>0</v>
      </c>
      <c r="GT25" s="30">
        <f>(AVERAGE(GT23,GQ23)*GT24)/4</f>
        <v>0</v>
      </c>
      <c r="GU25" s="30">
        <f>(AVERAGE(GU23,GT23)*GU24)/4</f>
        <v>0</v>
      </c>
      <c r="GV25" s="30">
        <f>(AVERAGE(GV23,GU23)*GV24)/4</f>
        <v>0</v>
      </c>
      <c r="GW25" s="30">
        <f>(AVERAGE(GW23,GV23)*GW24)/4</f>
        <v>0</v>
      </c>
      <c r="GZ25" s="30">
        <f>(AVERAGE(GZ23,GW23)*GZ24)/4</f>
        <v>0</v>
      </c>
      <c r="HA25" s="30">
        <f>(AVERAGE(HA23,GZ23)*HA24)/4</f>
        <v>0</v>
      </c>
      <c r="HB25" s="30">
        <f>(AVERAGE(HB23,HA23)*HB24)/4</f>
        <v>0</v>
      </c>
      <c r="HC25" s="30">
        <f>(AVERAGE(HC23,HB23)*HC24)/4</f>
        <v>0</v>
      </c>
      <c r="HF25" s="30">
        <f>(AVERAGE(HF23,HC23)*HF24)/4</f>
        <v>0</v>
      </c>
      <c r="HG25" s="30">
        <f>(AVERAGE(HG23,HF23)*HG24)/4</f>
        <v>0</v>
      </c>
      <c r="HH25" s="30">
        <f>(AVERAGE(HH23,HG23)*HH24)/4</f>
        <v>0</v>
      </c>
      <c r="HI25" s="30">
        <f>(AVERAGE(HI23,HH23)*HI24)/4</f>
        <v>0</v>
      </c>
    </row>
    <row r="26" spans="1:217" s="30" customFormat="1">
      <c r="A26" s="29"/>
      <c r="EX26" s="692"/>
      <c r="FA26" s="108"/>
      <c r="FD26" s="907"/>
      <c r="FJ26" s="692"/>
      <c r="FP26" s="692"/>
      <c r="FV26" s="692"/>
      <c r="GB26" s="692"/>
      <c r="GH26" s="692"/>
      <c r="GN26" s="692"/>
      <c r="GT26" s="692"/>
      <c r="GZ26" s="692"/>
      <c r="HF26" s="692"/>
    </row>
    <row r="27" spans="1:217" s="58" customFormat="1">
      <c r="A27" s="440" t="s">
        <v>112</v>
      </c>
      <c r="FA27" s="442"/>
      <c r="FD27" s="442"/>
    </row>
    <row r="28" spans="1:217" s="58" customFormat="1">
      <c r="A28" s="416">
        <v>43983</v>
      </c>
      <c r="B28" s="416">
        <v>45838</v>
      </c>
      <c r="C28" s="58" t="s">
        <v>538</v>
      </c>
      <c r="DH28" s="437"/>
      <c r="DU28" s="58">
        <f>IF(AND($A28&lt;DU$7,$B28&gt;DU$7),$B29,0)</f>
        <v>201.25</v>
      </c>
      <c r="DV28" s="58">
        <f>IF(AND($A28&lt;DV$7,$B28&gt;DV$7),$B29,0)</f>
        <v>201.25</v>
      </c>
      <c r="DW28" s="58">
        <f>IF(AND($A28&lt;DW$7,$B28&gt;DW$7),$B29,0)</f>
        <v>201.25</v>
      </c>
      <c r="DX28" s="58">
        <f>DW28</f>
        <v>201.25</v>
      </c>
      <c r="DZ28" s="58">
        <f>IF(AND($A28&lt;DZ$7,$B28&gt;DZ$7),$B29,0)</f>
        <v>201.25</v>
      </c>
      <c r="EA28" s="58">
        <f>IF(AND($A28&lt;EA$7,$B28&gt;EA$7),$B29,0)</f>
        <v>201.25</v>
      </c>
      <c r="EB28" s="58">
        <f>IF(AND($A28&lt;EB$7,$B28&gt;EB$7),$B29,0)</f>
        <v>201.25</v>
      </c>
      <c r="EC28" s="58">
        <f>IF(AND($A28&lt;EC$7,$B28&gt;EC$7),$B29,0)</f>
        <v>201.25</v>
      </c>
      <c r="ED28" s="58">
        <f>EC28</f>
        <v>201.25</v>
      </c>
      <c r="EF28" s="58">
        <f>IF(AND($A28&lt;EF$7,$B28&gt;EF$7),$B29,0)</f>
        <v>201.25</v>
      </c>
      <c r="EG28" s="58">
        <f>IF(AND($A28&lt;EG$7,$B28&gt;EG$7),$B29,0)</f>
        <v>201.25</v>
      </c>
      <c r="EH28" s="58">
        <f>IF(AND($A28&lt;EH$7,$B28&gt;EH$7),$B29,0)</f>
        <v>201.25</v>
      </c>
      <c r="EI28" s="58">
        <f>IF(AND($A28&lt;EI$7,$B28&gt;EI$7),$B29,0)</f>
        <v>201.25</v>
      </c>
      <c r="EJ28" s="58">
        <f>EI28</f>
        <v>201.25</v>
      </c>
      <c r="EL28" s="58">
        <f>IF(AND($A28&lt;EL$7,$B28&gt;EL$7),$B29,0)</f>
        <v>201.25</v>
      </c>
      <c r="EM28" s="58">
        <f>IF(AND($A28&lt;EM$7,$B28&gt;EM$7),$B29,0)</f>
        <v>201.25</v>
      </c>
      <c r="EN28" s="58">
        <f>IF(AND($A28&lt;EN$7,$B28&gt;EN$7),$B29,0)</f>
        <v>201.25</v>
      </c>
      <c r="EO28" s="58">
        <f>IF(AND($A28&lt;EO$7,$B28&gt;EO$7),$B29,0)</f>
        <v>201.25</v>
      </c>
      <c r="EP28" s="58">
        <f>EO28</f>
        <v>201.25</v>
      </c>
      <c r="ER28" s="58">
        <f>IF(AND($A28&lt;ER$7,$B28&gt;ER$7),$B29,0)</f>
        <v>201.25</v>
      </c>
      <c r="ES28" s="58">
        <f>IF(AND($A28&lt;ES$7,$B28&gt;ES$7),$B29,0)</f>
        <v>201.25</v>
      </c>
      <c r="ET28" s="421">
        <f>IF(AND($A28&lt;ET$7,$B28&gt;ET$7),$B29,0)</f>
        <v>201.25</v>
      </c>
      <c r="EU28" s="58">
        <f>IF(AND($A28&lt;EU$7,$B28&gt;EU$7),$B29,0)</f>
        <v>201.25</v>
      </c>
      <c r="EW28" s="102"/>
      <c r="EX28" s="58">
        <f>IF(AND($A28&lt;EX$7,$B28&gt;EX$7),$B29,0)</f>
        <v>201.25</v>
      </c>
      <c r="EY28" s="421">
        <v>0</v>
      </c>
      <c r="EZ28" s="421">
        <v>0</v>
      </c>
      <c r="FA28" s="544">
        <f>IF(AND($A28&lt;FA$7,$B28&gt;FA$7),$B29,0)</f>
        <v>0</v>
      </c>
      <c r="FB28" s="102"/>
      <c r="FC28" s="102"/>
      <c r="FD28" s="544">
        <f>IF(AND($A28&lt;FD$7,$B28&gt;FD$7),$B29,0)</f>
        <v>0</v>
      </c>
      <c r="FE28" s="421">
        <f>IF(AND($A28&lt;FE$7,$B28&gt;FE$7),$B29,0)</f>
        <v>0</v>
      </c>
      <c r="FF28" s="421">
        <f>IF(AND($A28&lt;FF$7,$B28&gt;FF$7),$B29,0)</f>
        <v>0</v>
      </c>
      <c r="FG28" s="421">
        <f>IF(AND($A28&lt;FG$7,$B28&gt;FG$7),$B29,0)</f>
        <v>0</v>
      </c>
      <c r="FH28" s="102"/>
      <c r="FI28" s="102"/>
      <c r="FJ28" s="421">
        <f>IF(AND($A28&lt;FJ$7,$B28&gt;FJ$7),$B29,0)</f>
        <v>0</v>
      </c>
      <c r="FK28" s="421">
        <f>IF(AND($A28&lt;FK$7,$B28&gt;FK$7),$B29,0)</f>
        <v>0</v>
      </c>
      <c r="FL28" s="421">
        <f>IF(AND($A28&lt;FL$7,$B28&gt;FL$7),$B29,0)</f>
        <v>0</v>
      </c>
      <c r="FM28" s="421">
        <f>IF(AND($A28&lt;FM$7,$B28&gt;FM$7),$B29,0)</f>
        <v>0</v>
      </c>
      <c r="FN28" s="102"/>
      <c r="FO28" s="102"/>
      <c r="FP28" s="421">
        <f>IF(AND($A28&lt;FP$7,$B28&gt;FP$7),$B29,0)</f>
        <v>0</v>
      </c>
      <c r="FQ28" s="421">
        <f>IF(AND($A28&lt;FQ$7,$B28&gt;FQ$7),$B29,0)</f>
        <v>0</v>
      </c>
      <c r="FR28" s="421">
        <f>IF(AND($A28&lt;FR$7,$B28&gt;FR$7),$B29,0)</f>
        <v>0</v>
      </c>
      <c r="FS28" s="421">
        <f>IF(AND($A28&lt;FS$7,$B28&gt;FS$7),$B29,0)</f>
        <v>0</v>
      </c>
      <c r="FT28" s="102"/>
      <c r="FU28" s="102"/>
      <c r="FV28" s="421">
        <f>IF(AND($A28&lt;FV$7,$B28&gt;FV$7),$B29,0)</f>
        <v>0</v>
      </c>
      <c r="FW28" s="421">
        <f>IF(AND($A28&lt;FW$7,$B28&gt;FW$7),$B29,0)</f>
        <v>0</v>
      </c>
      <c r="FX28" s="421">
        <f>IF(AND($A28&lt;FX$7,$B28&gt;FX$7),$B29,0)</f>
        <v>0</v>
      </c>
      <c r="FY28" s="421">
        <f>IF(AND($A28&lt;FY$7,$B28&gt;FY$7),$B29,0)</f>
        <v>0</v>
      </c>
      <c r="FZ28" s="102"/>
      <c r="GA28" s="102"/>
      <c r="GB28" s="421">
        <f>IF(AND($A28&lt;GB$7,$B28&gt;GB$7),$B29,0)</f>
        <v>0</v>
      </c>
      <c r="GC28" s="421">
        <f>IF(AND($A28&lt;GC$7,$B28&gt;GC$7),$B29,0)</f>
        <v>0</v>
      </c>
      <c r="GD28" s="421">
        <f>IF(AND($A28&lt;GD$7,$B28&gt;GD$7),$B29,0)</f>
        <v>0</v>
      </c>
      <c r="GE28" s="421">
        <f>IF(AND($A28&lt;GE$7,$B28&gt;GE$7),$B29,0)</f>
        <v>0</v>
      </c>
      <c r="GF28" s="102"/>
      <c r="GG28" s="102"/>
      <c r="GH28" s="421">
        <f>IF(AND($A28&lt;GH$7,$B28&gt;GH$7),$B29,0)</f>
        <v>0</v>
      </c>
      <c r="GI28" s="421">
        <f>IF(AND($A28&lt;GI$7,$B28&gt;GI$7),$B29,0)</f>
        <v>0</v>
      </c>
      <c r="GJ28" s="421">
        <f>IF(AND($A28&lt;GJ$7,$B28&gt;GJ$7),$B29,0)</f>
        <v>0</v>
      </c>
      <c r="GK28" s="421">
        <f>IF(AND($A28&lt;GK$7,$B28&gt;GK$7),$B29,0)</f>
        <v>0</v>
      </c>
      <c r="GL28" s="102"/>
      <c r="GM28" s="102"/>
      <c r="GN28" s="421">
        <f>IF(AND($A28&lt;GN$7,$B28&gt;GN$7),$B29,0)</f>
        <v>0</v>
      </c>
      <c r="GO28" s="421">
        <f>IF(AND($A28&lt;GO$7,$B28&gt;GO$7),$B29,0)</f>
        <v>0</v>
      </c>
      <c r="GP28" s="421">
        <f>IF(AND($A28&lt;GP$7,$B28&gt;GP$7),$B29,0)</f>
        <v>0</v>
      </c>
      <c r="GQ28" s="421">
        <f>IF(AND($A28&lt;GQ$7,$B28&gt;GQ$7),$B29,0)</f>
        <v>0</v>
      </c>
      <c r="GR28" s="102"/>
      <c r="GS28" s="102"/>
      <c r="GT28" s="421">
        <f>IF(AND($A28&lt;GT$7,$B28&gt;GT$7),$B29,0)</f>
        <v>0</v>
      </c>
      <c r="GU28" s="421">
        <f>IF(AND($A28&lt;GU$7,$B28&gt;GU$7),$B29,0)</f>
        <v>0</v>
      </c>
      <c r="GV28" s="421">
        <f>IF(AND($A28&lt;GV$7,$B28&gt;GV$7),$B29,0)</f>
        <v>0</v>
      </c>
      <c r="GW28" s="421">
        <f>IF(AND($A28&lt;GW$7,$B28&gt;GW$7),$B29,0)</f>
        <v>0</v>
      </c>
      <c r="GX28" s="102"/>
      <c r="GY28" s="102"/>
      <c r="GZ28" s="421">
        <f>IF(AND($A28&lt;GZ$7,$B28&gt;GZ$7),$B29,0)</f>
        <v>0</v>
      </c>
      <c r="HA28" s="421">
        <f>IF(AND($A28&lt;HA$7,$B28&gt;HA$7),$B29,0)</f>
        <v>0</v>
      </c>
      <c r="HB28" s="421">
        <f>IF(AND($A28&lt;HB$7,$B28&gt;HB$7),$B29,0)</f>
        <v>0</v>
      </c>
      <c r="HC28" s="421">
        <f>IF(AND($A28&lt;HC$7,$B28&gt;HC$7),$B29,0)</f>
        <v>0</v>
      </c>
      <c r="HD28" s="102"/>
      <c r="HE28" s="102"/>
      <c r="HF28" s="421">
        <f>IF(AND($A28&lt;HF$7,$B28&gt;HF$7),$B29,0)</f>
        <v>0</v>
      </c>
      <c r="HG28" s="421">
        <f>IF(AND($A28&lt;HG$7,$B28&gt;HG$7),$B29,0)</f>
        <v>0</v>
      </c>
      <c r="HH28" s="421">
        <f>IF(AND($A28&lt;HH$7,$B28&gt;HH$7),$B29,0)</f>
        <v>0</v>
      </c>
      <c r="HI28" s="421">
        <f>IF(AND($A28&lt;HI$7,$B28&gt;HI$7),$B29,0)</f>
        <v>0</v>
      </c>
    </row>
    <row r="29" spans="1:217" s="58" customFormat="1">
      <c r="A29" s="636">
        <v>1.2500000000000001E-2</v>
      </c>
      <c r="B29" s="437">
        <v>201.25</v>
      </c>
      <c r="C29" s="30" t="s">
        <v>24</v>
      </c>
      <c r="DH29" s="437"/>
      <c r="DU29" s="434">
        <f>DU28*$A29/4</f>
        <v>0.62890625</v>
      </c>
      <c r="DV29" s="434">
        <f>DU28*$A29/4</f>
        <v>0.62890625</v>
      </c>
      <c r="DW29" s="526">
        <f>DV28*$A29/4</f>
        <v>0.62890625</v>
      </c>
      <c r="DX29" s="526">
        <f>SUM(DT29:DW29)</f>
        <v>1.88671875</v>
      </c>
      <c r="DY29" s="102"/>
      <c r="DZ29" s="526">
        <f>DW28*$A29/4</f>
        <v>0.62890625</v>
      </c>
      <c r="EA29" s="526">
        <f>DZ28*$A29/4</f>
        <v>0.62890625</v>
      </c>
      <c r="EB29" s="526">
        <f>EA28*$A29/4</f>
        <v>0.62890625</v>
      </c>
      <c r="EC29" s="526">
        <f>EB28*$A29/4</f>
        <v>0.62890625</v>
      </c>
      <c r="ED29" s="526">
        <f>SUM(DZ29:EC29)</f>
        <v>2.515625</v>
      </c>
      <c r="EE29" s="831"/>
      <c r="EF29" s="526">
        <f>EC28*$A29/4</f>
        <v>0.62890625</v>
      </c>
      <c r="EG29" s="526">
        <f>EF28*$A29/4</f>
        <v>0.62890625</v>
      </c>
      <c r="EH29" s="526">
        <f>EG28*$A29/4</f>
        <v>0.62890625</v>
      </c>
      <c r="EI29" s="526">
        <f>EH28*$A29/4</f>
        <v>0.62890625</v>
      </c>
      <c r="EJ29" s="526">
        <f>SUM(EF29:EI29)</f>
        <v>2.515625</v>
      </c>
      <c r="EK29" s="102"/>
      <c r="EL29" s="526">
        <f>EI28*$A29/4</f>
        <v>0.62890625</v>
      </c>
      <c r="EM29" s="526">
        <f>EL28*$A29/4</f>
        <v>0.62890625</v>
      </c>
      <c r="EN29" s="526">
        <f>EM28*$A29/4</f>
        <v>0.62890625</v>
      </c>
      <c r="EO29" s="526">
        <f>EN28*$A29/4</f>
        <v>0.62890625</v>
      </c>
      <c r="EP29" s="526">
        <f>SUM(EL29:EO29)</f>
        <v>2.515625</v>
      </c>
      <c r="ER29" s="526">
        <f>EO28*$A29/4</f>
        <v>0.62890625</v>
      </c>
      <c r="ES29" s="526">
        <f>EP28*$A29/4</f>
        <v>0.62890625</v>
      </c>
      <c r="ET29" s="434">
        <f>ES28*$A29/4</f>
        <v>0.62890625</v>
      </c>
      <c r="EU29" s="526">
        <f>ET28*$A29/4</f>
        <v>0.62890625</v>
      </c>
      <c r="EV29" s="526"/>
      <c r="EW29" s="102"/>
      <c r="EX29" s="434">
        <f>EU28*$A29/4</f>
        <v>0.62890625</v>
      </c>
      <c r="EY29" s="434">
        <f>EX28*$A29/4</f>
        <v>0.62890625</v>
      </c>
      <c r="EZ29" s="434">
        <f>EY28*$A29/4</f>
        <v>0</v>
      </c>
      <c r="FA29" s="556">
        <f>EZ28*$A29/4</f>
        <v>0</v>
      </c>
      <c r="FB29" s="526"/>
      <c r="FC29" s="102"/>
      <c r="FD29" s="556">
        <f>FA28*$A29/4</f>
        <v>0</v>
      </c>
      <c r="FE29" s="526">
        <f>FD28*$A29/4</f>
        <v>0</v>
      </c>
      <c r="FF29" s="526">
        <f>FE28*$A29/4</f>
        <v>0</v>
      </c>
      <c r="FG29" s="526">
        <f>FF28*$A29/4</f>
        <v>0</v>
      </c>
      <c r="FH29" s="526"/>
      <c r="FI29" s="102"/>
      <c r="FJ29" s="526">
        <f>FG28*$A29/4</f>
        <v>0</v>
      </c>
      <c r="FK29" s="526">
        <f>FJ28*$A29/4</f>
        <v>0</v>
      </c>
      <c r="FL29" s="526">
        <f>FK28*$A29/4</f>
        <v>0</v>
      </c>
      <c r="FM29" s="526">
        <f>FL28*$A29/4</f>
        <v>0</v>
      </c>
      <c r="FN29" s="526"/>
      <c r="FO29" s="102"/>
      <c r="FP29" s="526">
        <f>FM28*$A29/4</f>
        <v>0</v>
      </c>
      <c r="FQ29" s="526">
        <f>FP28*$A29/4</f>
        <v>0</v>
      </c>
      <c r="FR29" s="526">
        <f>FQ28*$A29/4</f>
        <v>0</v>
      </c>
      <c r="FS29" s="526">
        <f>FR28*$A29/4</f>
        <v>0</v>
      </c>
      <c r="FT29" s="526"/>
      <c r="FU29" s="102"/>
      <c r="FV29" s="526">
        <f>FS28*$A29/4</f>
        <v>0</v>
      </c>
      <c r="FW29" s="526">
        <f>FV28*$A29/4</f>
        <v>0</v>
      </c>
      <c r="FX29" s="526">
        <f>FW28*$A29/4</f>
        <v>0</v>
      </c>
      <c r="FY29" s="526">
        <f>FX28*$A29/4</f>
        <v>0</v>
      </c>
      <c r="FZ29" s="526"/>
      <c r="GA29" s="102"/>
      <c r="GB29" s="526">
        <f>FY28*$A29/4</f>
        <v>0</v>
      </c>
      <c r="GC29" s="526">
        <f>GB28*$A29/4</f>
        <v>0</v>
      </c>
      <c r="GD29" s="526">
        <f>GC28*$A29/4</f>
        <v>0</v>
      </c>
      <c r="GE29" s="526">
        <f>GD28*$A29/4</f>
        <v>0</v>
      </c>
      <c r="GF29" s="526"/>
      <c r="GG29" s="102"/>
      <c r="GH29" s="526">
        <f>GE28*$A29/4</f>
        <v>0</v>
      </c>
      <c r="GI29" s="526">
        <f>GH28*$A29/4</f>
        <v>0</v>
      </c>
      <c r="GJ29" s="526">
        <f>GI28*$A29/4</f>
        <v>0</v>
      </c>
      <c r="GK29" s="526">
        <f>GJ28*$A29/4</f>
        <v>0</v>
      </c>
      <c r="GL29" s="526"/>
      <c r="GM29" s="102"/>
      <c r="GN29" s="526">
        <f>GK28*$A29/4</f>
        <v>0</v>
      </c>
      <c r="GO29" s="526">
        <f>GN28*$A29/4</f>
        <v>0</v>
      </c>
      <c r="GP29" s="526">
        <f>GO28*$A29/4</f>
        <v>0</v>
      </c>
      <c r="GQ29" s="526">
        <f>GP28*$A29/4</f>
        <v>0</v>
      </c>
      <c r="GR29" s="526"/>
      <c r="GS29" s="102"/>
      <c r="GT29" s="526">
        <f>GQ28*$A29/4</f>
        <v>0</v>
      </c>
      <c r="GU29" s="526">
        <f>GT28*$A29/4</f>
        <v>0</v>
      </c>
      <c r="GV29" s="526">
        <f>GU28*$A29/4</f>
        <v>0</v>
      </c>
      <c r="GW29" s="526">
        <f>GV28*$A29/4</f>
        <v>0</v>
      </c>
      <c r="GX29" s="526"/>
      <c r="GY29" s="102"/>
      <c r="GZ29" s="526">
        <f>GW28*$A29/4</f>
        <v>0</v>
      </c>
      <c r="HA29" s="526">
        <f>GZ28*$A29/4</f>
        <v>0</v>
      </c>
      <c r="HB29" s="526">
        <f>HA28*$A29/4</f>
        <v>0</v>
      </c>
      <c r="HC29" s="526">
        <f>HB28*$A29/4</f>
        <v>0</v>
      </c>
      <c r="HD29" s="526"/>
      <c r="HE29" s="102"/>
      <c r="HF29" s="526">
        <f>HC28*$A29/4</f>
        <v>0</v>
      </c>
      <c r="HG29" s="526">
        <f>HF28*$A29/4</f>
        <v>0</v>
      </c>
      <c r="HH29" s="526">
        <f>HG28*$A29/4</f>
        <v>0</v>
      </c>
      <c r="HI29" s="526">
        <f>HH28*$A29/4</f>
        <v>0</v>
      </c>
    </row>
    <row r="30" spans="1:217" s="58" customFormat="1">
      <c r="C30" s="58" t="s">
        <v>113</v>
      </c>
      <c r="DU30" s="58">
        <f>DU28-DU31</f>
        <v>36.706999999999994</v>
      </c>
      <c r="DV30" s="58">
        <f>DV28-DV31</f>
        <v>34.81</v>
      </c>
      <c r="DW30" s="58">
        <f>DW28-DW31</f>
        <v>33.129999999999995</v>
      </c>
      <c r="DX30" s="58">
        <f>DW30</f>
        <v>33.129999999999995</v>
      </c>
      <c r="DZ30" s="58">
        <f>DZ28-DZ31</f>
        <v>5.5900000000000034</v>
      </c>
      <c r="EA30" s="58">
        <f>EA28-EA31</f>
        <v>5.2609999999999957</v>
      </c>
      <c r="EB30" s="58">
        <f>EB28-EB31</f>
        <v>4.929000000000002</v>
      </c>
      <c r="EC30" s="58">
        <f>EC28-EC31</f>
        <v>4.5960000000000036</v>
      </c>
      <c r="ED30" s="58">
        <f>EC30</f>
        <v>4.5960000000000036</v>
      </c>
      <c r="EF30" s="58">
        <f>EC30-(($EC$30-$EI$30)/3)</f>
        <v>4.1470000000000011</v>
      </c>
      <c r="EG30" s="58">
        <f>EF30-(($EC$30-$EI$30)/3)</f>
        <v>3.6979999999999982</v>
      </c>
      <c r="EH30" s="58">
        <f>EG30-(($EC$30-$EI$30)/3)</f>
        <v>3.2489999999999952</v>
      </c>
      <c r="EI30" s="58">
        <f>EI28-EI31</f>
        <v>3.2489999999999952</v>
      </c>
      <c r="EJ30" s="58">
        <f>EI30</f>
        <v>3.2489999999999952</v>
      </c>
      <c r="EL30" s="58">
        <f>EI30-(($EI$30-$EO$30)/3)</f>
        <v>2.7906666666666617</v>
      </c>
      <c r="EM30" s="58">
        <f>EL30-(($EI$30-$EO$30)/3)</f>
        <v>2.3323333333333283</v>
      </c>
      <c r="EN30" s="58">
        <f>EM30-(($EI$30-$EO$30)/3)</f>
        <v>1.873999999999995</v>
      </c>
      <c r="EO30" s="58">
        <f>EO28-EO31</f>
        <v>1.8739999999999952</v>
      </c>
      <c r="EP30" s="58">
        <f>EO30</f>
        <v>1.8739999999999952</v>
      </c>
      <c r="ER30" s="102">
        <f>IF(ER28&gt;0,EO30-$EO$30/8,0)</f>
        <v>1.6397499999999958</v>
      </c>
      <c r="ES30" s="102">
        <f>IF(ES28&gt;0,EP30-$EO$30/8,0)</f>
        <v>1.6397499999999958</v>
      </c>
      <c r="ET30" s="102">
        <f>IF(ET28&gt;0,ES30-$EO$30/8,0)</f>
        <v>1.4054999999999964</v>
      </c>
      <c r="EU30" s="58">
        <f>EU28-EU31</f>
        <v>0.47300000000001319</v>
      </c>
      <c r="EW30" s="102"/>
      <c r="EX30" s="102">
        <f>IF(EX28&gt;0,EU30-$EO$30/8,0)</f>
        <v>0.23875000000001378</v>
      </c>
      <c r="EY30" s="102">
        <f>IF(EY28&gt;0,EX30-$EO$30/8,0)</f>
        <v>0</v>
      </c>
      <c r="EZ30" s="102">
        <f>IF(EZ28&gt;0,EY30-$EO$30/8,0)</f>
        <v>0</v>
      </c>
      <c r="FA30" s="543">
        <f>IF(FA28&gt;0,EZ30-$EO$30/8,0)</f>
        <v>0</v>
      </c>
      <c r="FB30" s="102"/>
      <c r="FC30" s="102"/>
      <c r="FD30" s="543">
        <f>IF(FD28&gt;0,FA30-$EO$30/8,0)</f>
        <v>0</v>
      </c>
      <c r="FE30" s="102">
        <f>IF(FE28&gt;0,FD30-$EO$30/8,0)</f>
        <v>0</v>
      </c>
      <c r="FF30" s="102">
        <f>IF(FF28&gt;0,FE30-$EO$30/8,0)</f>
        <v>0</v>
      </c>
      <c r="FG30" s="102">
        <f>IF(FG28&gt;0,FF30-$EO$30/8,0)</f>
        <v>0</v>
      </c>
      <c r="FH30" s="102"/>
      <c r="FI30" s="102"/>
      <c r="FJ30" s="102">
        <f>IF(FJ28&gt;0,FG30-$EO$30/8,0)</f>
        <v>0</v>
      </c>
      <c r="FK30" s="102">
        <f>IF(FK28&gt;0,FJ30-$EO$30/8,0)</f>
        <v>0</v>
      </c>
      <c r="FL30" s="102">
        <f>IF(FL28&gt;0,FK30-$EO$30/8,0)</f>
        <v>0</v>
      </c>
      <c r="FM30" s="102">
        <f>IF(FM28&gt;0,FL30-$EO$30/8,0)</f>
        <v>0</v>
      </c>
      <c r="FN30" s="102"/>
      <c r="FO30" s="102"/>
      <c r="FP30" s="102">
        <f>IF(FP28&gt;0,FM30-$EO$30/8,0)</f>
        <v>0</v>
      </c>
      <c r="FQ30" s="102">
        <f>IF(FQ28&gt;0,FP30-$EO$30/8,0)</f>
        <v>0</v>
      </c>
      <c r="FR30" s="102">
        <f>IF(FR28&gt;0,FQ30-$EO$30/8,0)</f>
        <v>0</v>
      </c>
      <c r="FS30" s="102">
        <f>IF(FS28&gt;0,FR30-$EO$30/8,0)</f>
        <v>0</v>
      </c>
      <c r="FT30" s="102"/>
      <c r="FU30" s="102"/>
      <c r="FV30" s="102">
        <f>IF(FV28&gt;0,FS30-$EO$30/8,0)</f>
        <v>0</v>
      </c>
      <c r="FW30" s="102">
        <f>IF(FW28&gt;0,FV30-$EO$30/8,0)</f>
        <v>0</v>
      </c>
      <c r="FX30" s="102">
        <f>IF(FX28&gt;0,FW30-$EO$30/8,0)</f>
        <v>0</v>
      </c>
      <c r="FY30" s="102">
        <f>IF(FY28&gt;0,FX30-$EO$30/8,0)</f>
        <v>0</v>
      </c>
      <c r="FZ30" s="102"/>
      <c r="GA30" s="102"/>
      <c r="GB30" s="102">
        <f>IF(GB28&gt;0,FY30-$EO$30/8,0)</f>
        <v>0</v>
      </c>
      <c r="GC30" s="102">
        <f>IF(GC28&gt;0,GB30-$EO$30/8,0)</f>
        <v>0</v>
      </c>
      <c r="GD30" s="102">
        <f>IF(GD28&gt;0,GC30-$EO$30/8,0)</f>
        <v>0</v>
      </c>
      <c r="GE30" s="102">
        <f>IF(GE28&gt;0,GD30-$EO$30/8,0)</f>
        <v>0</v>
      </c>
      <c r="GF30" s="102"/>
      <c r="GG30" s="102"/>
      <c r="GH30" s="102">
        <f>IF(GH28&gt;0,GE30-$EO$30/8,0)</f>
        <v>0</v>
      </c>
      <c r="GI30" s="102">
        <f>IF(GI28&gt;0,GH30-$EO$30/8,0)</f>
        <v>0</v>
      </c>
      <c r="GJ30" s="102">
        <f>IF(GJ28&gt;0,GI30-$EO$30/8,0)</f>
        <v>0</v>
      </c>
      <c r="GK30" s="102">
        <f>IF(GK28&gt;0,GJ30-$EO$30/8,0)</f>
        <v>0</v>
      </c>
      <c r="GL30" s="102"/>
      <c r="GM30" s="102"/>
      <c r="GN30" s="102">
        <f>IF(GN28&gt;0,GK30-$EO$30/8,0)</f>
        <v>0</v>
      </c>
      <c r="GO30" s="102">
        <f>IF(GO28&gt;0,GN30-$EO$30/8,0)</f>
        <v>0</v>
      </c>
      <c r="GP30" s="102">
        <f>IF(GP28&gt;0,GO30-$EO$30/8,0)</f>
        <v>0</v>
      </c>
      <c r="GQ30" s="102">
        <f>IF(GQ28&gt;0,GP30-$EO$30/8,0)</f>
        <v>0</v>
      </c>
      <c r="GR30" s="102"/>
      <c r="GS30" s="102"/>
      <c r="GT30" s="102">
        <f>IF(GT28&gt;0,GQ30-$EO$30/8,0)</f>
        <v>0</v>
      </c>
      <c r="GU30" s="102">
        <f>IF(GU28&gt;0,GT30-$EO$30/8,0)</f>
        <v>0</v>
      </c>
      <c r="GV30" s="102">
        <f>IF(GV28&gt;0,GU30-$EO$30/8,0)</f>
        <v>0</v>
      </c>
      <c r="GW30" s="102">
        <f>IF(GW28&gt;0,GV30-$EO$30/8,0)</f>
        <v>0</v>
      </c>
      <c r="GX30" s="102"/>
      <c r="GY30" s="102"/>
      <c r="GZ30" s="102">
        <f>IF(GZ28&gt;0,GW30-$EO$30/8,0)</f>
        <v>0</v>
      </c>
      <c r="HA30" s="102">
        <f>IF(HA28&gt;0,GZ30-$EO$30/8,0)</f>
        <v>0</v>
      </c>
      <c r="HB30" s="102">
        <f>IF(HB28&gt;0,HA30-$EO$30/8,0)</f>
        <v>0</v>
      </c>
      <c r="HC30" s="102">
        <f>IF(HC28&gt;0,HB30-$EO$30/8,0)</f>
        <v>0</v>
      </c>
      <c r="HD30" s="102"/>
      <c r="HE30" s="102"/>
      <c r="HF30" s="102">
        <f>IF(HF28&gt;0,HC30-$EO$30/8,0)</f>
        <v>0</v>
      </c>
      <c r="HG30" s="102">
        <f>IF(HG28&gt;0,HF30-$EO$30/8,0)</f>
        <v>0</v>
      </c>
      <c r="HH30" s="102">
        <f>IF(HH28&gt;0,HG30-$EO$30/8,0)</f>
        <v>0</v>
      </c>
      <c r="HI30" s="102">
        <f>IF(HI28&gt;0,HH30-$EO$30/8,0)</f>
        <v>0</v>
      </c>
    </row>
    <row r="31" spans="1:217" s="58" customFormat="1">
      <c r="C31" s="58" t="s">
        <v>114</v>
      </c>
      <c r="DH31" s="437"/>
      <c r="DI31" s="437"/>
      <c r="DJ31" s="437"/>
      <c r="DK31" s="437"/>
      <c r="DN31" s="437"/>
      <c r="DO31" s="437"/>
      <c r="DP31" s="437"/>
      <c r="DQ31" s="437"/>
      <c r="DT31" s="437"/>
      <c r="DU31" s="437">
        <v>164.54300000000001</v>
      </c>
      <c r="DV31" s="437">
        <v>166.44</v>
      </c>
      <c r="DW31" s="437">
        <v>168.12</v>
      </c>
      <c r="DX31" s="58">
        <f>DW31</f>
        <v>168.12</v>
      </c>
      <c r="DZ31" s="437">
        <v>195.66</v>
      </c>
      <c r="EA31" s="437">
        <v>195.989</v>
      </c>
      <c r="EB31" s="437">
        <v>196.321</v>
      </c>
      <c r="EC31" s="437">
        <v>196.654</v>
      </c>
      <c r="ED31" s="58">
        <f>EC31</f>
        <v>196.654</v>
      </c>
      <c r="EF31" s="437"/>
      <c r="EG31" s="437"/>
      <c r="EH31" s="437"/>
      <c r="EI31" s="437">
        <v>198.001</v>
      </c>
      <c r="EJ31" s="58">
        <f>EI31</f>
        <v>198.001</v>
      </c>
      <c r="EL31" s="437"/>
      <c r="EM31" s="437"/>
      <c r="EN31" s="437"/>
      <c r="EO31" s="58">
        <v>199.376</v>
      </c>
      <c r="EP31" s="58">
        <f>EO31</f>
        <v>199.376</v>
      </c>
      <c r="ER31" s="102">
        <f>ER28-ER30</f>
        <v>199.61025000000001</v>
      </c>
      <c r="ES31" s="102">
        <f>ES28-ES30</f>
        <v>199.61025000000001</v>
      </c>
      <c r="ET31" s="102">
        <f>ET28-ET30</f>
        <v>199.84450000000001</v>
      </c>
      <c r="EU31" s="58">
        <v>200.77699999999999</v>
      </c>
      <c r="EW31" s="102"/>
      <c r="EX31" s="102">
        <f>EX28-EX30</f>
        <v>201.01124999999999</v>
      </c>
      <c r="EY31" s="102">
        <f>EY28-EY30</f>
        <v>0</v>
      </c>
      <c r="EZ31" s="102">
        <f>EZ28-EZ30</f>
        <v>0</v>
      </c>
      <c r="FA31" s="543">
        <f>FA28-FA30</f>
        <v>0</v>
      </c>
      <c r="FB31" s="102"/>
      <c r="FC31" s="102"/>
      <c r="FD31" s="543">
        <f>FD28-FD30</f>
        <v>0</v>
      </c>
      <c r="FE31" s="102">
        <f>FE28-FE30</f>
        <v>0</v>
      </c>
      <c r="FF31" s="102">
        <f>FF28-FF30</f>
        <v>0</v>
      </c>
      <c r="FG31" s="102">
        <f>FG28-FG30</f>
        <v>0</v>
      </c>
      <c r="FH31" s="102"/>
      <c r="FI31" s="102"/>
      <c r="FJ31" s="102">
        <f>FJ28-FJ30</f>
        <v>0</v>
      </c>
      <c r="FK31" s="102">
        <f>FK28-FK30</f>
        <v>0</v>
      </c>
      <c r="FL31" s="102">
        <f>FL28-FL30</f>
        <v>0</v>
      </c>
      <c r="FM31" s="102">
        <f>FM28-FM30</f>
        <v>0</v>
      </c>
      <c r="FN31" s="102"/>
      <c r="FO31" s="102"/>
      <c r="FP31" s="102">
        <f>FP28-FP30</f>
        <v>0</v>
      </c>
      <c r="FQ31" s="102">
        <f>FQ28-FQ30</f>
        <v>0</v>
      </c>
      <c r="FR31" s="102">
        <f>FR28-FR30</f>
        <v>0</v>
      </c>
      <c r="FS31" s="102">
        <f>FS28-FS30</f>
        <v>0</v>
      </c>
      <c r="FT31" s="102"/>
      <c r="FU31" s="102"/>
      <c r="FV31" s="102">
        <f>FV28-FV30</f>
        <v>0</v>
      </c>
      <c r="FW31" s="102">
        <f>FW28-FW30</f>
        <v>0</v>
      </c>
      <c r="FX31" s="102">
        <f>FX28-FX30</f>
        <v>0</v>
      </c>
      <c r="FY31" s="102">
        <f>FY28-FY30</f>
        <v>0</v>
      </c>
      <c r="FZ31" s="102"/>
      <c r="GA31" s="102"/>
      <c r="GB31" s="102">
        <f>GB28-GB30</f>
        <v>0</v>
      </c>
      <c r="GC31" s="102">
        <f>GC28-GC30</f>
        <v>0</v>
      </c>
      <c r="GD31" s="102">
        <f>GD28-GD30</f>
        <v>0</v>
      </c>
      <c r="GE31" s="102">
        <f>GE28-GE30</f>
        <v>0</v>
      </c>
      <c r="GF31" s="102"/>
      <c r="GG31" s="102"/>
      <c r="GH31" s="102">
        <f>GH28-GH30</f>
        <v>0</v>
      </c>
      <c r="GI31" s="102">
        <f>GI28-GI30</f>
        <v>0</v>
      </c>
      <c r="GJ31" s="102">
        <f>GJ28-GJ30</f>
        <v>0</v>
      </c>
      <c r="GK31" s="102">
        <f>GK28-GK30</f>
        <v>0</v>
      </c>
      <c r="GL31" s="102"/>
      <c r="GM31" s="102"/>
      <c r="GN31" s="102">
        <f>GN28-GN30</f>
        <v>0</v>
      </c>
      <c r="GO31" s="102">
        <f>GO28-GO30</f>
        <v>0</v>
      </c>
      <c r="GP31" s="102">
        <f>GP28-GP30</f>
        <v>0</v>
      </c>
      <c r="GQ31" s="102">
        <f>GQ28-GQ30</f>
        <v>0</v>
      </c>
      <c r="GR31" s="102"/>
      <c r="GS31" s="102"/>
      <c r="GT31" s="102">
        <f>GT28-GT30</f>
        <v>0</v>
      </c>
      <c r="GU31" s="102">
        <f>GU28-GU30</f>
        <v>0</v>
      </c>
      <c r="GV31" s="102">
        <f>GV28-GV30</f>
        <v>0</v>
      </c>
      <c r="GW31" s="102">
        <f>GW28-GW30</f>
        <v>0</v>
      </c>
      <c r="GX31" s="102"/>
      <c r="GY31" s="102"/>
      <c r="GZ31" s="102">
        <f>GZ28-GZ30</f>
        <v>0</v>
      </c>
      <c r="HA31" s="102">
        <f>HA28-HA30</f>
        <v>0</v>
      </c>
      <c r="HB31" s="102">
        <f>HB28-HB30</f>
        <v>0</v>
      </c>
      <c r="HC31" s="102">
        <f>HC28-HC30</f>
        <v>0</v>
      </c>
      <c r="HD31" s="102"/>
      <c r="HE31" s="102"/>
      <c r="HF31" s="102">
        <f>HF28-HF30</f>
        <v>0</v>
      </c>
      <c r="HG31" s="102">
        <f>HG28-HG30</f>
        <v>0</v>
      </c>
      <c r="HH31" s="102">
        <f>HH28-HH30</f>
        <v>0</v>
      </c>
      <c r="HI31" s="102">
        <f>HI28-HI30</f>
        <v>0</v>
      </c>
    </row>
    <row r="32" spans="1:217" s="58" customFormat="1">
      <c r="FA32" s="442"/>
      <c r="FD32" s="442"/>
    </row>
    <row r="33" spans="1:217" s="58" customFormat="1">
      <c r="A33" s="416">
        <v>44256</v>
      </c>
      <c r="B33" s="416">
        <v>47117</v>
      </c>
      <c r="C33" s="58" t="s">
        <v>539</v>
      </c>
      <c r="DH33" s="437"/>
      <c r="DU33" s="58">
        <f>IF(AND($A33&lt;DU$7,$B33&gt;DU$7),$B34,0)</f>
        <v>0</v>
      </c>
      <c r="DV33" s="58">
        <f>IF(AND($A33&lt;DV$7,$B33&gt;DV$7),$B34,0)</f>
        <v>0</v>
      </c>
      <c r="DW33" s="58">
        <f>IF(AND($A33&lt;DW$7,$B33&gt;DW$7),$B34,0)</f>
        <v>0</v>
      </c>
      <c r="DX33" s="58">
        <f>DW33</f>
        <v>0</v>
      </c>
      <c r="DZ33" s="58">
        <f>IF(AND($A33&lt;DZ$7,$B33&gt;DZ$7),$B34,0)</f>
        <v>345</v>
      </c>
      <c r="EA33" s="58">
        <f>IF(AND($A33&lt;EA$7,$B33&gt;EA$7),$B34,0)</f>
        <v>345</v>
      </c>
      <c r="EB33" s="58">
        <f>IF(AND($A33&lt;EB$7,$B33&gt;EB$7),$B34,0)</f>
        <v>345</v>
      </c>
      <c r="EC33" s="58">
        <f>IF(AND($A33&lt;EC$7,$B33&gt;EC$7),$B34,0)</f>
        <v>345</v>
      </c>
      <c r="ED33" s="58">
        <f>EC33</f>
        <v>345</v>
      </c>
      <c r="EF33" s="58">
        <f>IF(AND($A33&lt;EF$7,$B33&gt;EF$7),$B34,0)</f>
        <v>345</v>
      </c>
      <c r="EG33" s="58">
        <f>IF(AND($A33&lt;EG$7,$B33&gt;EG$7),$B34,0)</f>
        <v>345</v>
      </c>
      <c r="EH33" s="58">
        <f>IF(AND($A33&lt;EH$7,$B33&gt;EH$7),$B34,0)</f>
        <v>345</v>
      </c>
      <c r="EI33" s="58">
        <f>IF(AND($A33&lt;EI$7,$B33&gt;EI$7),$B34,0)</f>
        <v>345</v>
      </c>
      <c r="EJ33" s="58">
        <f>EI33</f>
        <v>345</v>
      </c>
      <c r="EL33" s="58">
        <f>IF(AND($A33&lt;EL$7,$B33&gt;EL$7),$B34,0)</f>
        <v>345</v>
      </c>
      <c r="EM33" s="58">
        <f>IF(AND($A33&lt;EM$7,$B33&gt;EM$7),$B34,0)</f>
        <v>345</v>
      </c>
      <c r="EN33" s="58">
        <f>IF(AND($A33&lt;EN$7,$B33&gt;EN$7),$B34,0)</f>
        <v>345</v>
      </c>
      <c r="EO33" s="58">
        <f>IF(AND($A33&lt;EO$7,$B33&gt;EO$7),$B34,0)</f>
        <v>345</v>
      </c>
      <c r="EP33" s="58">
        <f>EO33</f>
        <v>345</v>
      </c>
      <c r="ER33" s="58">
        <f>IF(AND($A33&lt;ER$7,$B33&gt;ER$7),$B34,0)</f>
        <v>345</v>
      </c>
      <c r="ES33" s="58">
        <f>IF(AND($A33&lt;ES$7,$B33&gt;ES$7),$B34,0)</f>
        <v>345</v>
      </c>
      <c r="ET33" s="58">
        <f>IF(AND($A33&lt;ET$7,$B33&gt;ET$7),$B34,0)</f>
        <v>345</v>
      </c>
      <c r="EU33" s="58">
        <f>IF(AND($A33&lt;EU$7,$B33&gt;EU$7),$B34,0)</f>
        <v>345</v>
      </c>
      <c r="EX33" s="58">
        <f>IF(AND($A33&lt;EX$7,$B33&gt;EX$7),$B34,0)</f>
        <v>345</v>
      </c>
      <c r="EY33" s="58">
        <f>IF(AND($A33&lt;EY$7,$B33&gt;EY$7),$B34,0)</f>
        <v>345</v>
      </c>
      <c r="EZ33" s="58">
        <f>IF(AND($A33&lt;EZ$7,$B33&gt;EZ$7),$B34,0)</f>
        <v>345</v>
      </c>
      <c r="FA33" s="442">
        <f>IF(AND($A33&lt;FA$7,$B33&gt;FA$7),$B34,0)</f>
        <v>345</v>
      </c>
      <c r="FD33" s="442">
        <f>IF(AND($A33&lt;FD$7,$B33&gt;FD$7),$B34,0)</f>
        <v>345</v>
      </c>
      <c r="FE33" s="58">
        <f>IF(AND($A33&lt;FE$7,$B33&gt;FE$7),$B34,0)</f>
        <v>345</v>
      </c>
      <c r="FF33" s="58">
        <f>IF(AND($A33&lt;FF$7,$B33&gt;FF$7),$B34,0)</f>
        <v>345</v>
      </c>
      <c r="FG33" s="58">
        <f>IF(AND($A33&lt;FG$7,$B33&gt;FG$7),$B34,0)</f>
        <v>345</v>
      </c>
      <c r="FJ33" s="58">
        <f>IF(AND($A33&lt;FJ$7,$B33&gt;FJ$7),$B34,0)</f>
        <v>345</v>
      </c>
      <c r="FK33" s="58">
        <f>IF(AND($A33&lt;FK$7,$B33&gt;FK$7),$B34,0)</f>
        <v>345</v>
      </c>
      <c r="FL33" s="58">
        <f>IF(AND($A33&lt;FL$7,$B33&gt;FL$7),$B34,0)</f>
        <v>345</v>
      </c>
      <c r="FM33" s="58">
        <f>IF(AND($A33&lt;FM$7,$B33&gt;FM$7),$B34,0)</f>
        <v>345</v>
      </c>
      <c r="FP33" s="58">
        <f>IF(AND($A33&lt;FP$7,$B33&gt;FP$7),$B34,0)</f>
        <v>345</v>
      </c>
      <c r="FQ33" s="58">
        <f>IF(AND($A33&lt;FQ$7,$B33&gt;FQ$7),$B34,0)</f>
        <v>345</v>
      </c>
      <c r="FR33" s="58">
        <f>IF(AND($A33&lt;FR$7,$B33&gt;FR$7),$B34,0)</f>
        <v>345</v>
      </c>
      <c r="FS33" s="58">
        <f>IF(AND($A33&lt;FS$7,$B33&gt;FS$7),$B34,0)</f>
        <v>0</v>
      </c>
      <c r="FV33" s="58">
        <f>IF(AND($A33&lt;FV$7,$B33&gt;FV$7),$B34,0)</f>
        <v>0</v>
      </c>
      <c r="FW33" s="58">
        <f>IF(AND($A33&lt;FW$7,$B33&gt;FW$7),$B34,0)</f>
        <v>0</v>
      </c>
      <c r="FX33" s="58">
        <f>IF(AND($A33&lt;FX$7,$B33&gt;FX$7),$B34,0)</f>
        <v>0</v>
      </c>
      <c r="FY33" s="58">
        <f>IF(AND($A33&lt;FY$7,$B33&gt;FY$7),$B34,0)</f>
        <v>0</v>
      </c>
      <c r="GB33" s="58">
        <f>IF(AND($A33&lt;GB$7,$B33&gt;GB$7),$B34,0)</f>
        <v>0</v>
      </c>
      <c r="GC33" s="58">
        <f>IF(AND($A33&lt;GC$7,$B33&gt;GC$7),$B34,0)</f>
        <v>0</v>
      </c>
      <c r="GD33" s="58">
        <f>IF(AND($A33&lt;GD$7,$B33&gt;GD$7),$B34,0)</f>
        <v>0</v>
      </c>
      <c r="GE33" s="58">
        <f>IF(AND($A33&lt;GE$7,$B33&gt;GE$7),$B34,0)</f>
        <v>0</v>
      </c>
      <c r="GH33" s="58">
        <f>IF(AND($A33&lt;GH$7,$B33&gt;GH$7),$B34,0)</f>
        <v>0</v>
      </c>
      <c r="GI33" s="58">
        <f>IF(AND($A33&lt;GI$7,$B33&gt;GI$7),$B34,0)</f>
        <v>0</v>
      </c>
      <c r="GJ33" s="58">
        <f>IF(AND($A33&lt;GJ$7,$B33&gt;GJ$7),$B34,0)</f>
        <v>0</v>
      </c>
      <c r="GK33" s="58">
        <f>IF(AND($A33&lt;GK$7,$B33&gt;GK$7),$B34,0)</f>
        <v>0</v>
      </c>
      <c r="GN33" s="58">
        <f>IF(AND($A33&lt;GN$7,$B33&gt;GN$7),$B34,0)</f>
        <v>0</v>
      </c>
      <c r="GO33" s="58">
        <f>IF(AND($A33&lt;GO$7,$B33&gt;GO$7),$B34,0)</f>
        <v>0</v>
      </c>
      <c r="GP33" s="58">
        <f>IF(AND($A33&lt;GP$7,$B33&gt;GP$7),$B34,0)</f>
        <v>0</v>
      </c>
      <c r="GQ33" s="58">
        <f>IF(AND($A33&lt;GQ$7,$B33&gt;GQ$7),$B34,0)</f>
        <v>0</v>
      </c>
      <c r="GT33" s="58">
        <f>IF(AND($A33&lt;GT$7,$B33&gt;GT$7),$B34,0)</f>
        <v>0</v>
      </c>
      <c r="GU33" s="58">
        <f>IF(AND($A33&lt;GU$7,$B33&gt;GU$7),$B34,0)</f>
        <v>0</v>
      </c>
      <c r="GV33" s="58">
        <f>IF(AND($A33&lt;GV$7,$B33&gt;GV$7),$B34,0)</f>
        <v>0</v>
      </c>
      <c r="GW33" s="58">
        <f>IF(AND($A33&lt;GW$7,$B33&gt;GW$7),$B34,0)</f>
        <v>0</v>
      </c>
      <c r="GZ33" s="58">
        <f>IF(AND($A33&lt;GZ$7,$B33&gt;GZ$7),$B34,0)</f>
        <v>0</v>
      </c>
      <c r="HA33" s="58">
        <f>IF(AND($A33&lt;HA$7,$B33&gt;HA$7),$B34,0)</f>
        <v>0</v>
      </c>
      <c r="HB33" s="58">
        <f>IF(AND($A33&lt;HB$7,$B33&gt;HB$7),$B34,0)</f>
        <v>0</v>
      </c>
      <c r="HC33" s="58">
        <f>IF(AND($A33&lt;HC$7,$B33&gt;HC$7),$B34,0)</f>
        <v>0</v>
      </c>
      <c r="HF33" s="58">
        <f>IF(AND($A33&lt;HF$7,$B33&gt;HF$7),$B34,0)</f>
        <v>0</v>
      </c>
      <c r="HG33" s="58">
        <f>IF(AND($A33&lt;HG$7,$B33&gt;HG$7),$B34,0)</f>
        <v>0</v>
      </c>
      <c r="HH33" s="58">
        <f>IF(AND($A33&lt;HH$7,$B33&gt;HH$7),$B34,0)</f>
        <v>0</v>
      </c>
      <c r="HI33" s="58">
        <f>IF(AND($A33&lt;HI$7,$B33&gt;HI$7),$B34,0)</f>
        <v>0</v>
      </c>
    </row>
    <row r="34" spans="1:217" s="58" customFormat="1">
      <c r="A34" s="636">
        <v>2.5000000000000001E-3</v>
      </c>
      <c r="B34" s="437">
        <v>345</v>
      </c>
      <c r="C34" s="30" t="s">
        <v>24</v>
      </c>
      <c r="DZ34" s="526">
        <f>DW33*$A34/4</f>
        <v>0</v>
      </c>
      <c r="EA34" s="526">
        <f>DZ33*$A34/4</f>
        <v>0.21562500000000001</v>
      </c>
      <c r="EB34" s="526">
        <f>EA33*$A34/4</f>
        <v>0.21562500000000001</v>
      </c>
      <c r="EC34" s="526">
        <f>EB33*$A34/4</f>
        <v>0.21562500000000001</v>
      </c>
      <c r="ED34" s="526">
        <f>SUM(DZ34:EC34)</f>
        <v>0.64687500000000009</v>
      </c>
      <c r="EE34" s="831"/>
      <c r="EF34" s="526">
        <f>EC33*$A34/4</f>
        <v>0.21562500000000001</v>
      </c>
      <c r="EG34" s="526">
        <f>EF33*$A34/4</f>
        <v>0.21562500000000001</v>
      </c>
      <c r="EH34" s="526">
        <f>EG33*$A34/4</f>
        <v>0.21562500000000001</v>
      </c>
      <c r="EI34" s="526">
        <f>EH33*$A34/4</f>
        <v>0.21562500000000001</v>
      </c>
      <c r="EJ34" s="526">
        <f>SUM(EF34:EI34)</f>
        <v>0.86250000000000004</v>
      </c>
      <c r="EK34" s="102"/>
      <c r="EL34" s="526">
        <f>EI33*$A34/4</f>
        <v>0.21562500000000001</v>
      </c>
      <c r="EM34" s="526">
        <f>EL33*$A34/4</f>
        <v>0.21562500000000001</v>
      </c>
      <c r="EN34" s="526">
        <f>EM33*$A34/4</f>
        <v>0.21562500000000001</v>
      </c>
      <c r="EO34" s="526">
        <f>EN33*$A34/4</f>
        <v>0.21562500000000001</v>
      </c>
      <c r="EP34" s="526">
        <f>SUM(EL34:EO34)</f>
        <v>0.86250000000000004</v>
      </c>
      <c r="ER34" s="526">
        <f>EO33*$A34/4</f>
        <v>0.21562500000000001</v>
      </c>
      <c r="ES34" s="526">
        <f>EP33*$A34/4</f>
        <v>0.21562500000000001</v>
      </c>
      <c r="ET34" s="434">
        <f>ES33*$A34/4</f>
        <v>0.21562500000000001</v>
      </c>
      <c r="EU34" s="526">
        <f>ET33*$A34/4</f>
        <v>0.21562500000000001</v>
      </c>
      <c r="EV34" s="526"/>
      <c r="EW34" s="102"/>
      <c r="EX34" s="434">
        <f>EU33*$A34/4</f>
        <v>0.21562500000000001</v>
      </c>
      <c r="EY34" s="434">
        <f>EX33*$A34/4</f>
        <v>0.21562500000000001</v>
      </c>
      <c r="EZ34" s="434">
        <f>EY33*$A34/4</f>
        <v>0.21562500000000001</v>
      </c>
      <c r="FA34" s="556">
        <f>EZ33*$A34/4</f>
        <v>0.21562500000000001</v>
      </c>
      <c r="FB34" s="526"/>
      <c r="FC34" s="102"/>
      <c r="FD34" s="556">
        <f>FA33*$A34/4</f>
        <v>0.21562500000000001</v>
      </c>
      <c r="FE34" s="526">
        <f>FD33*$A34/4</f>
        <v>0.21562500000000001</v>
      </c>
      <c r="FF34" s="526">
        <f>FE33*$A34/4</f>
        <v>0.21562500000000001</v>
      </c>
      <c r="FG34" s="526">
        <f>FF33*$A34/4</f>
        <v>0.21562500000000001</v>
      </c>
      <c r="FH34" s="526"/>
      <c r="FI34" s="102"/>
      <c r="FJ34" s="526">
        <f>FG33*$A34/4</f>
        <v>0.21562500000000001</v>
      </c>
      <c r="FK34" s="526">
        <f>FJ33*$A34/4</f>
        <v>0.21562500000000001</v>
      </c>
      <c r="FL34" s="526">
        <f>FK33*$A34/4</f>
        <v>0.21562500000000001</v>
      </c>
      <c r="FM34" s="526">
        <f>FL33*$A34/4</f>
        <v>0.21562500000000001</v>
      </c>
      <c r="FN34" s="526"/>
      <c r="FO34" s="102"/>
      <c r="FP34" s="526">
        <f>FM33*$A34/4</f>
        <v>0.21562500000000001</v>
      </c>
      <c r="FQ34" s="526">
        <f>FP33*$A34/4</f>
        <v>0.21562500000000001</v>
      </c>
      <c r="FR34" s="526">
        <f>FQ33*$A34/4</f>
        <v>0.21562500000000001</v>
      </c>
      <c r="FS34" s="526">
        <f>FR33*$A34/4</f>
        <v>0.21562500000000001</v>
      </c>
      <c r="FT34" s="526"/>
      <c r="FU34" s="102"/>
      <c r="FV34" s="526">
        <f>FS33*$A34/4</f>
        <v>0</v>
      </c>
      <c r="FW34" s="526">
        <f>FV33*$A34/4</f>
        <v>0</v>
      </c>
      <c r="FX34" s="526">
        <f>FW33*$A34/4</f>
        <v>0</v>
      </c>
      <c r="FY34" s="526">
        <f>FX33*$A34/4</f>
        <v>0</v>
      </c>
      <c r="FZ34" s="526"/>
      <c r="GA34" s="102"/>
      <c r="GB34" s="526">
        <f>FY33*$A34/4</f>
        <v>0</v>
      </c>
      <c r="GC34" s="526">
        <f>GB33*$A34/4</f>
        <v>0</v>
      </c>
      <c r="GD34" s="526">
        <f>GC33*$A34/4</f>
        <v>0</v>
      </c>
      <c r="GE34" s="526">
        <f>GD33*$A34/4</f>
        <v>0</v>
      </c>
      <c r="GF34" s="526"/>
      <c r="GG34" s="102"/>
      <c r="GH34" s="526">
        <f>GE33*$A34/4</f>
        <v>0</v>
      </c>
      <c r="GI34" s="526">
        <f>GH33*$A34/4</f>
        <v>0</v>
      </c>
      <c r="GJ34" s="526">
        <f>GI33*$A34/4</f>
        <v>0</v>
      </c>
      <c r="GK34" s="526">
        <f>GJ33*$A34/4</f>
        <v>0</v>
      </c>
      <c r="GL34" s="526"/>
      <c r="GM34" s="102"/>
      <c r="GN34" s="526">
        <f>GK33*$A34/4</f>
        <v>0</v>
      </c>
      <c r="GO34" s="526">
        <f>GN33*$A34/4</f>
        <v>0</v>
      </c>
      <c r="GP34" s="526">
        <f>GO33*$A34/4</f>
        <v>0</v>
      </c>
      <c r="GQ34" s="526">
        <f>GP33*$A34/4</f>
        <v>0</v>
      </c>
      <c r="GR34" s="526"/>
      <c r="GS34" s="102"/>
      <c r="GT34" s="526">
        <f>GQ33*$A34/4</f>
        <v>0</v>
      </c>
      <c r="GU34" s="526">
        <f>GT33*$A34/4</f>
        <v>0</v>
      </c>
      <c r="GV34" s="526">
        <f>GU33*$A34/4</f>
        <v>0</v>
      </c>
      <c r="GW34" s="526">
        <f>GV33*$A34/4</f>
        <v>0</v>
      </c>
      <c r="GX34" s="526"/>
      <c r="GY34" s="102"/>
      <c r="GZ34" s="526">
        <f>GW33*$A34/4</f>
        <v>0</v>
      </c>
      <c r="HA34" s="526">
        <f>GZ33*$A34/4</f>
        <v>0</v>
      </c>
      <c r="HB34" s="526">
        <f>HA33*$A34/4</f>
        <v>0</v>
      </c>
      <c r="HC34" s="526">
        <f>HB33*$A34/4</f>
        <v>0</v>
      </c>
      <c r="HD34" s="526"/>
      <c r="HE34" s="102"/>
      <c r="HF34" s="526">
        <f>HC33*$A34/4</f>
        <v>0</v>
      </c>
      <c r="HG34" s="526">
        <f>HF33*$A34/4</f>
        <v>0</v>
      </c>
      <c r="HH34" s="526">
        <f>HG33*$A34/4</f>
        <v>0</v>
      </c>
      <c r="HI34" s="526">
        <f>HH33*$A34/4</f>
        <v>0</v>
      </c>
    </row>
    <row r="35" spans="1:217" s="58" customFormat="1">
      <c r="A35" s="448"/>
      <c r="C35" s="58" t="s">
        <v>113</v>
      </c>
      <c r="DU35" s="58">
        <f>DU33-DU36</f>
        <v>0</v>
      </c>
      <c r="DV35" s="58">
        <f>DV33-DV36</f>
        <v>0</v>
      </c>
      <c r="DW35" s="58">
        <f>DW33-DW36</f>
        <v>0</v>
      </c>
      <c r="DX35" s="58">
        <f>DW35</f>
        <v>0</v>
      </c>
      <c r="DZ35" s="58">
        <f>DZ33-DZ36</f>
        <v>10.281999999999982</v>
      </c>
      <c r="EA35" s="58">
        <f>EA33-EA36</f>
        <v>9.9119999999999777</v>
      </c>
      <c r="EB35" s="58">
        <f>EB33-EB36</f>
        <v>9.5419999999999732</v>
      </c>
      <c r="EC35" s="58">
        <f>EC33-EC36</f>
        <v>9.1709999999999923</v>
      </c>
      <c r="ED35" s="58">
        <f>EC35</f>
        <v>9.1709999999999923</v>
      </c>
      <c r="EF35" s="58">
        <f>EC35-(($EC$35-$EI$35)/3)</f>
        <v>8.6736666666666533</v>
      </c>
      <c r="EG35" s="58">
        <f>EF35-(($EC$35-$EI$35)/3)</f>
        <v>8.1763333333333144</v>
      </c>
      <c r="EH35" s="58">
        <f>EG35-(($EC$35-$EI$35)/3)</f>
        <v>7.6789999999999745</v>
      </c>
      <c r="EI35" s="58">
        <f>EI33-EI36</f>
        <v>7.6789999999999736</v>
      </c>
      <c r="EJ35" s="58">
        <f>EI35</f>
        <v>7.6789999999999736</v>
      </c>
      <c r="EL35" s="58">
        <f>EL33-EL36</f>
        <v>345</v>
      </c>
      <c r="EM35" s="58">
        <f>EM33-EM36</f>
        <v>345</v>
      </c>
      <c r="EN35" s="58">
        <f>EN33-EN36</f>
        <v>345</v>
      </c>
      <c r="EO35" s="58">
        <f>EO33-EO36</f>
        <v>6.1779999999999973</v>
      </c>
      <c r="EP35" s="58">
        <f>EO35</f>
        <v>6.1779999999999973</v>
      </c>
      <c r="ER35" s="102">
        <f>IF(ER33&gt;0,EO35-$EO$35/20,0)</f>
        <v>5.8690999999999978</v>
      </c>
      <c r="ES35" s="102">
        <f>IF(ES33&gt;0,EP35-$EO$35/20,0)</f>
        <v>5.8690999999999978</v>
      </c>
      <c r="ET35" s="102">
        <f>IF(ET33&gt;0,ES35-$EO$35/20,0)</f>
        <v>5.5601999999999983</v>
      </c>
      <c r="EU35" s="58">
        <f>EU33-EU36</f>
        <v>4.6650000000000205</v>
      </c>
      <c r="EW35" s="102"/>
      <c r="EX35" s="102">
        <f>IF(EX33&gt;0,EU35-$EO$35/20,0)</f>
        <v>4.356100000000021</v>
      </c>
      <c r="EY35" s="102">
        <f>IF(EY33&gt;0,EX35-$EO$35/20,0)</f>
        <v>4.0472000000000214</v>
      </c>
      <c r="EZ35" s="102">
        <f>IF(EZ33&gt;0,EY35-$EO$35/20,0)</f>
        <v>3.7383000000000215</v>
      </c>
      <c r="FA35" s="543">
        <f>IF(FA33&gt;0,EZ35-$EO$35/20,0)</f>
        <v>3.4294000000000215</v>
      </c>
      <c r="FB35" s="102"/>
      <c r="FC35" s="102"/>
      <c r="FD35" s="543">
        <f>IF(FD33&gt;0,FA35-$EO$35/20,0)</f>
        <v>3.1205000000000216</v>
      </c>
      <c r="FE35" s="102">
        <f>IF(FE33&gt;0,FD35-$EO$35/20,0)</f>
        <v>2.8116000000000216</v>
      </c>
      <c r="FF35" s="102">
        <f>IF(FF33&gt;0,FE35-$EO$35/20,0)</f>
        <v>2.5027000000000217</v>
      </c>
      <c r="FG35" s="102">
        <f>IF(FG33&gt;0,FF35-$EO$35/20,0)</f>
        <v>2.1938000000000217</v>
      </c>
      <c r="FH35" s="102"/>
      <c r="FI35" s="102"/>
      <c r="FJ35" s="102">
        <f>IF(FJ33&gt;0,FG35-$EO$35/20,0)</f>
        <v>1.8849000000000218</v>
      </c>
      <c r="FK35" s="102">
        <f>IF(FK33&gt;0,FJ35-$EO$35/20,0)</f>
        <v>1.5760000000000218</v>
      </c>
      <c r="FL35" s="102">
        <f>IF(FL33&gt;0,FK35-$EO$35/20,0)</f>
        <v>1.2671000000000219</v>
      </c>
      <c r="FM35" s="102">
        <f>IF(FM33&gt;0,FL35-$EO$35/20,0)</f>
        <v>0.95820000000002203</v>
      </c>
      <c r="FN35" s="102"/>
      <c r="FO35" s="102"/>
      <c r="FP35" s="102">
        <f>IF(FP33&gt;0,FM35-$EO$35/20,0)</f>
        <v>0.64930000000002219</v>
      </c>
      <c r="FQ35" s="102">
        <f>IF(FQ33&gt;0,FP35-$EO$35/20,0)</f>
        <v>0.34040000000002235</v>
      </c>
      <c r="FR35" s="102">
        <f>IF(FR33&gt;0,FQ35-$EO$35/20,0)</f>
        <v>3.150000000002251E-2</v>
      </c>
      <c r="FS35" s="102">
        <f>IF(FS33&gt;0,FR35-$EO$35/20,0)</f>
        <v>0</v>
      </c>
      <c r="FT35" s="102"/>
      <c r="FU35" s="102"/>
      <c r="FV35" s="102">
        <f>IF(FV33&gt;0,FS35-$EO$35/20,0)</f>
        <v>0</v>
      </c>
      <c r="FW35" s="102">
        <f>IF(FW33&gt;0,FV35-$EO$35/20,0)</f>
        <v>0</v>
      </c>
      <c r="FX35" s="102">
        <f>IF(FX33&gt;0,FW35-$EO$35/20,0)</f>
        <v>0</v>
      </c>
      <c r="FY35" s="102">
        <f>IF(FY33&gt;0,FX35-$EO$35/20,0)</f>
        <v>0</v>
      </c>
      <c r="FZ35" s="102"/>
      <c r="GA35" s="102"/>
      <c r="GB35" s="102">
        <f>IF(GB33&gt;0,FY35-$EO$35/20,0)</f>
        <v>0</v>
      </c>
      <c r="GC35" s="102">
        <f>IF(GC33&gt;0,GB35-$EO$35/20,0)</f>
        <v>0</v>
      </c>
      <c r="GD35" s="102">
        <f>IF(GD33&gt;0,GC35-$EO$35/20,0)</f>
        <v>0</v>
      </c>
      <c r="GE35" s="102">
        <f>IF(GE33&gt;0,GD35-$EO$35/20,0)</f>
        <v>0</v>
      </c>
      <c r="GF35" s="102"/>
      <c r="GG35" s="102"/>
      <c r="GH35" s="102">
        <f>IF(GH33&gt;0,GE35-$EO$35/20,0)</f>
        <v>0</v>
      </c>
      <c r="GI35" s="102">
        <f>IF(GI33&gt;0,GH35-$EO$35/20,0)</f>
        <v>0</v>
      </c>
      <c r="GJ35" s="102">
        <f>IF(GJ33&gt;0,GI35-$EO$35/20,0)</f>
        <v>0</v>
      </c>
      <c r="GK35" s="102">
        <f>IF(GK33&gt;0,GJ35-$EO$35/20,0)</f>
        <v>0</v>
      </c>
      <c r="GL35" s="102"/>
      <c r="GM35" s="102"/>
      <c r="GN35" s="102">
        <f>IF(GN33&gt;0,GK35-$EO$35/20,0)</f>
        <v>0</v>
      </c>
      <c r="GO35" s="102">
        <f>IF(GO33&gt;0,GN35-$EO$35/20,0)</f>
        <v>0</v>
      </c>
      <c r="GP35" s="102">
        <f>IF(GP33&gt;0,GO35-$EO$35/20,0)</f>
        <v>0</v>
      </c>
      <c r="GQ35" s="102">
        <f>IF(GQ33&gt;0,GP35-$EO$35/20,0)</f>
        <v>0</v>
      </c>
      <c r="GR35" s="102"/>
      <c r="GS35" s="102"/>
      <c r="GT35" s="102">
        <f>IF(GT33&gt;0,GQ35-$EO$35/20,0)</f>
        <v>0</v>
      </c>
      <c r="GU35" s="102">
        <f>IF(GU33&gt;0,GT35-$EO$35/20,0)</f>
        <v>0</v>
      </c>
      <c r="GV35" s="102">
        <f>IF(GV33&gt;0,GU35-$EO$35/20,0)</f>
        <v>0</v>
      </c>
      <c r="GW35" s="102">
        <f>IF(GW33&gt;0,GV35-$EO$35/20,0)</f>
        <v>0</v>
      </c>
      <c r="GX35" s="102"/>
      <c r="GY35" s="102"/>
      <c r="GZ35" s="102">
        <f>IF(GZ33&gt;0,GW35-$EO$35/20,0)</f>
        <v>0</v>
      </c>
      <c r="HA35" s="102">
        <f>IF(HA33&gt;0,GZ35-$EO$35/20,0)</f>
        <v>0</v>
      </c>
      <c r="HB35" s="102">
        <f>IF(HB33&gt;0,HA35-$EO$35/20,0)</f>
        <v>0</v>
      </c>
      <c r="HC35" s="102">
        <f>IF(HC33&gt;0,HB35-$EO$35/20,0)</f>
        <v>0</v>
      </c>
      <c r="HD35" s="102"/>
      <c r="HE35" s="102"/>
      <c r="HF35" s="102">
        <f>IF(HF33&gt;0,HC35-$EO$35/20,0)</f>
        <v>0</v>
      </c>
      <c r="HG35" s="102">
        <f>IF(HG33&gt;0,HF35-$EO$35/20,0)</f>
        <v>0</v>
      </c>
      <c r="HH35" s="102">
        <f>IF(HH33&gt;0,HG35-$EO$35/20,0)</f>
        <v>0</v>
      </c>
      <c r="HI35" s="102">
        <f>IF(HI33&gt;0,HH35-$EO$35/20,0)</f>
        <v>0</v>
      </c>
    </row>
    <row r="36" spans="1:217" s="58" customFormat="1">
      <c r="C36" s="58" t="s">
        <v>114</v>
      </c>
      <c r="DH36" s="437"/>
      <c r="DI36" s="437"/>
      <c r="DJ36" s="437"/>
      <c r="DK36" s="437"/>
      <c r="DN36" s="437"/>
      <c r="DO36" s="437"/>
      <c r="DP36" s="437"/>
      <c r="DQ36" s="437"/>
      <c r="DT36" s="437"/>
      <c r="DU36" s="437"/>
      <c r="DV36" s="437"/>
      <c r="DW36" s="437"/>
      <c r="DX36" s="58">
        <f>DW36</f>
        <v>0</v>
      </c>
      <c r="DZ36" s="437">
        <v>334.71800000000002</v>
      </c>
      <c r="EA36" s="437">
        <v>335.08800000000002</v>
      </c>
      <c r="EB36" s="437">
        <v>335.45800000000003</v>
      </c>
      <c r="EC36" s="437">
        <v>335.82900000000001</v>
      </c>
      <c r="ED36" s="58">
        <f>EC36</f>
        <v>335.82900000000001</v>
      </c>
      <c r="EF36" s="437"/>
      <c r="EG36" s="437"/>
      <c r="EH36" s="437"/>
      <c r="EI36" s="437">
        <v>337.32100000000003</v>
      </c>
      <c r="EJ36" s="58">
        <f>EI36</f>
        <v>337.32100000000003</v>
      </c>
      <c r="EL36" s="437"/>
      <c r="EM36" s="437"/>
      <c r="EN36" s="437"/>
      <c r="EO36" s="58">
        <v>338.822</v>
      </c>
      <c r="EP36" s="58">
        <f>EO36</f>
        <v>338.822</v>
      </c>
      <c r="ER36" s="58">
        <f>ER33-ER35</f>
        <v>339.1309</v>
      </c>
      <c r="ES36" s="58">
        <f>ES33-ES35</f>
        <v>339.1309</v>
      </c>
      <c r="ET36" s="58">
        <f>ET33-ET35</f>
        <v>339.43979999999999</v>
      </c>
      <c r="EU36" s="58">
        <v>340.33499999999998</v>
      </c>
      <c r="EX36" s="58">
        <f>EX33-EX35</f>
        <v>340.64389999999997</v>
      </c>
      <c r="EY36" s="58">
        <f>EY33-EY35</f>
        <v>340.95279999999997</v>
      </c>
      <c r="EZ36" s="58">
        <f>EZ33-EZ35</f>
        <v>341.26169999999996</v>
      </c>
      <c r="FA36" s="442">
        <f>FA33-FA35</f>
        <v>341.57059999999996</v>
      </c>
      <c r="FD36" s="442">
        <f>FD33-FD35</f>
        <v>341.87949999999995</v>
      </c>
      <c r="FE36" s="58">
        <f>FE33-FE35</f>
        <v>342.1884</v>
      </c>
      <c r="FF36" s="58">
        <f>FF33-FF35</f>
        <v>342.4973</v>
      </c>
      <c r="FG36" s="58">
        <f>FG33-FG35</f>
        <v>342.80619999999999</v>
      </c>
      <c r="FJ36" s="58">
        <f>FJ33-FJ35</f>
        <v>343.11509999999998</v>
      </c>
      <c r="FK36" s="58">
        <f>FK33-FK35</f>
        <v>343.42399999999998</v>
      </c>
      <c r="FL36" s="58">
        <f>FL33-FL35</f>
        <v>343.73289999999997</v>
      </c>
      <c r="FM36" s="58">
        <f>FM33-FM35</f>
        <v>344.04179999999997</v>
      </c>
      <c r="FP36" s="58">
        <f>FP33-FP35</f>
        <v>344.35069999999996</v>
      </c>
      <c r="FQ36" s="58">
        <f>FQ33-FQ35</f>
        <v>344.65959999999995</v>
      </c>
      <c r="FR36" s="58">
        <f>FR33-FR35</f>
        <v>344.96849999999995</v>
      </c>
      <c r="FS36" s="58">
        <f>FS33-FS35</f>
        <v>0</v>
      </c>
      <c r="FV36" s="58">
        <f>FV33-FV35</f>
        <v>0</v>
      </c>
      <c r="FW36" s="58">
        <f>FW33-FW35</f>
        <v>0</v>
      </c>
      <c r="FX36" s="58">
        <f>FX33-FX35</f>
        <v>0</v>
      </c>
      <c r="FY36" s="58">
        <f>FY33-FY35</f>
        <v>0</v>
      </c>
      <c r="GB36" s="58">
        <f>GB33-GB35</f>
        <v>0</v>
      </c>
      <c r="GC36" s="58">
        <f>GC33-GC35</f>
        <v>0</v>
      </c>
      <c r="GD36" s="58">
        <f>GD33-GD35</f>
        <v>0</v>
      </c>
      <c r="GE36" s="58">
        <f>GE33-GE35</f>
        <v>0</v>
      </c>
      <c r="GH36" s="58">
        <f>GH33-GH35</f>
        <v>0</v>
      </c>
      <c r="GI36" s="58">
        <f>GI33-GI35</f>
        <v>0</v>
      </c>
      <c r="GJ36" s="58">
        <f>GJ33-GJ35</f>
        <v>0</v>
      </c>
      <c r="GK36" s="58">
        <f>GK33-GK35</f>
        <v>0</v>
      </c>
      <c r="GN36" s="58">
        <f>GN33-GN35</f>
        <v>0</v>
      </c>
      <c r="GO36" s="58">
        <f>GO33-GO35</f>
        <v>0</v>
      </c>
      <c r="GP36" s="58">
        <f>GP33-GP35</f>
        <v>0</v>
      </c>
      <c r="GQ36" s="58">
        <f>GQ33-GQ35</f>
        <v>0</v>
      </c>
      <c r="GT36" s="58">
        <f>GT33-GT35</f>
        <v>0</v>
      </c>
      <c r="GU36" s="58">
        <f>GU33-GU35</f>
        <v>0</v>
      </c>
      <c r="GV36" s="58">
        <f>GV33-GV35</f>
        <v>0</v>
      </c>
      <c r="GW36" s="58">
        <f>GW33-GW35</f>
        <v>0</v>
      </c>
      <c r="GZ36" s="58">
        <f>GZ33-GZ35</f>
        <v>0</v>
      </c>
      <c r="HA36" s="58">
        <f>HA33-HA35</f>
        <v>0</v>
      </c>
      <c r="HB36" s="58">
        <f>HB33-HB35</f>
        <v>0</v>
      </c>
      <c r="HC36" s="58">
        <f>HC33-HC35</f>
        <v>0</v>
      </c>
      <c r="HF36" s="58">
        <f>HF33-HF35</f>
        <v>0</v>
      </c>
      <c r="HG36" s="58">
        <f>HG33-HG35</f>
        <v>0</v>
      </c>
      <c r="HH36" s="58">
        <f>HH33-HH35</f>
        <v>0</v>
      </c>
      <c r="HI36" s="58">
        <f>HI33-HI35</f>
        <v>0</v>
      </c>
    </row>
    <row r="37" spans="1:217" s="58" customFormat="1">
      <c r="DH37" s="437"/>
      <c r="DI37" s="437"/>
      <c r="DJ37" s="437"/>
      <c r="DK37" s="437"/>
      <c r="DN37" s="437"/>
      <c r="DO37" s="437"/>
      <c r="DP37" s="437"/>
      <c r="DQ37" s="437"/>
      <c r="DT37" s="437"/>
      <c r="DU37" s="437"/>
      <c r="DV37" s="437"/>
      <c r="DW37" s="437"/>
      <c r="DZ37" s="437"/>
      <c r="EA37" s="437"/>
      <c r="EB37" s="437"/>
      <c r="EC37" s="437"/>
      <c r="EF37" s="437"/>
      <c r="EG37" s="437"/>
      <c r="EH37" s="437"/>
      <c r="EI37" s="437"/>
      <c r="EL37" s="437"/>
      <c r="EM37" s="437"/>
      <c r="EN37" s="437"/>
      <c r="EO37" s="437"/>
      <c r="FA37" s="442"/>
      <c r="FD37" s="442"/>
    </row>
    <row r="38" spans="1:217" s="58" customFormat="1">
      <c r="A38" s="440" t="s">
        <v>170</v>
      </c>
      <c r="FA38" s="442"/>
      <c r="FD38" s="828"/>
      <c r="FJ38" s="441"/>
      <c r="FP38" s="441"/>
      <c r="FV38" s="441"/>
      <c r="GB38" s="441"/>
      <c r="GH38" s="441"/>
      <c r="GN38" s="441"/>
      <c r="GT38" s="441"/>
      <c r="GZ38" s="441"/>
      <c r="HF38" s="441"/>
    </row>
    <row r="39" spans="1:217" s="58" customFormat="1">
      <c r="A39" s="416"/>
      <c r="B39" s="30" t="s">
        <v>541</v>
      </c>
      <c r="DH39" s="58">
        <f>DH15+DH19+DH23</f>
        <v>102.816</v>
      </c>
      <c r="DI39" s="58">
        <f>DI15+DI19+DI23</f>
        <v>140.636</v>
      </c>
      <c r="DJ39" s="58">
        <f>DJ15+DJ19+DJ23</f>
        <v>111.399</v>
      </c>
      <c r="DK39" s="58">
        <f>DK15+DK19+DK23</f>
        <v>113.303</v>
      </c>
      <c r="DN39" s="58">
        <f>DN15+DN19+DN23</f>
        <v>111.536</v>
      </c>
      <c r="DO39" s="58">
        <f>DO15+DO19+DO23</f>
        <v>110.607</v>
      </c>
      <c r="DP39" s="58">
        <f>DP15+DP19+DP23</f>
        <v>109.732</v>
      </c>
      <c r="DQ39" s="58">
        <f>DQ15+DQ19+DQ23</f>
        <v>106.131</v>
      </c>
      <c r="DT39" s="58">
        <f>DT15+DT19+DT23</f>
        <v>103.619</v>
      </c>
      <c r="DU39" s="58">
        <f>SUM(DU28,DU33,DU23)</f>
        <v>207.619</v>
      </c>
      <c r="DV39" s="58">
        <f>SUM(DV28,DV33,DV23)</f>
        <v>206.34899999999999</v>
      </c>
      <c r="DW39" s="58">
        <f>SUM(DW28,DW33,DW23)</f>
        <v>205.05799999999999</v>
      </c>
      <c r="DX39" s="58">
        <f>SUM(DX28,DX33,DX23)</f>
        <v>205.05799999999999</v>
      </c>
      <c r="DZ39" s="58">
        <f>SUM(DZ28,DZ33,DZ23)</f>
        <v>549.02200000000005</v>
      </c>
      <c r="EA39" s="58">
        <f>SUM(EA28,EA33,EA23)</f>
        <v>548.61099999999999</v>
      </c>
      <c r="EB39" s="58">
        <f>SUM(EB28,EB33,EB23)</f>
        <v>547.96600000000001</v>
      </c>
      <c r="EC39" s="58">
        <f>SUM(EC28,EC33,EC23)</f>
        <v>547.45600000000002</v>
      </c>
      <c r="ED39" s="58">
        <f>SUM(ED28,ED33,ED23)</f>
        <v>547.45600000000002</v>
      </c>
      <c r="EF39" s="58">
        <f>SUM(EF28,EF33,EF23)</f>
        <v>546.87099999999998</v>
      </c>
      <c r="EG39" s="58">
        <f>SUM(EG28,EG33,EG23)</f>
        <v>546.66</v>
      </c>
      <c r="EH39" s="58">
        <f>SUM(EH28,EH33,EH23)</f>
        <v>546.36800000000005</v>
      </c>
      <c r="EI39" s="58">
        <f>SUM(EI28,EI33,EI23)</f>
        <v>546.32000000000005</v>
      </c>
      <c r="EJ39" s="58">
        <f>SUM(EJ28,EJ33,EJ23)</f>
        <v>546.32000000000005</v>
      </c>
      <c r="EL39" s="58">
        <f>SUM(EL28,EL33,EL23)</f>
        <v>546.28800000000001</v>
      </c>
      <c r="EM39" s="58">
        <f>SUM(EM28,EM33,EM23)</f>
        <v>546.26099999999997</v>
      </c>
      <c r="EN39" s="58">
        <f>SUM(EN28,EN33,EN23)</f>
        <v>546.25400000000002</v>
      </c>
      <c r="EO39" s="58">
        <f>SUM(EO28,EO33,EO23)</f>
        <v>546.25</v>
      </c>
      <c r="EP39" s="58">
        <f>SUM(EP28,EP33,EP23)</f>
        <v>546.25</v>
      </c>
      <c r="ER39" s="58">
        <f>SUM(ER28,ER33,ER23)</f>
        <v>546.25</v>
      </c>
      <c r="ES39" s="58">
        <f>SUM(ES28,ES33,ES23)</f>
        <v>546.25</v>
      </c>
      <c r="ET39" s="58">
        <f>SUM(ET28,ET33,ET23)</f>
        <v>546.25</v>
      </c>
      <c r="EU39" s="58">
        <f>SUM(EU28,EU33,EU23)</f>
        <v>546.25</v>
      </c>
      <c r="EX39" s="58">
        <f>SUM(EX28,EX33,EX23)</f>
        <v>546.25</v>
      </c>
      <c r="EY39" s="58">
        <f>SUM(EY28,EY33,EY23)</f>
        <v>345</v>
      </c>
      <c r="EZ39" s="58">
        <f>SUM(EZ28,EZ33,EZ23)</f>
        <v>345</v>
      </c>
      <c r="FA39" s="442">
        <f>SUM(FA28,FA33,FA23,FA19,FA15)</f>
        <v>345</v>
      </c>
      <c r="FD39" s="442">
        <f>SUM(FD28,FD33,FD23,FD19,FD15)</f>
        <v>345</v>
      </c>
      <c r="FE39" s="58">
        <f>SUM(FE28,FE33,FE23,FE19,FE15)</f>
        <v>345</v>
      </c>
      <c r="FF39" s="58">
        <f>SUM(FF28,FF33,FF23,FF19,FF15)</f>
        <v>345</v>
      </c>
      <c r="FG39" s="58">
        <f>SUM(FG28,FG33,FG23,FG19,FG15)</f>
        <v>345</v>
      </c>
      <c r="FJ39" s="58">
        <f>SUM(FJ28,FJ33,FJ23,FJ19,FJ15)</f>
        <v>345</v>
      </c>
      <c r="FK39" s="58">
        <f>SUM(FK28,FK33,FK23,FK19,FK15)</f>
        <v>345</v>
      </c>
      <c r="FL39" s="58">
        <f>SUM(FL28,FL33,FL23,FL19,FL15)</f>
        <v>345</v>
      </c>
      <c r="FM39" s="58">
        <f>SUM(FM28,FM33,FM23,FM19,FM15)</f>
        <v>690</v>
      </c>
      <c r="FP39" s="58">
        <f>SUM(FP28,FP33,FP23,FP19,FP15)</f>
        <v>690</v>
      </c>
      <c r="FQ39" s="58">
        <f>SUM(FQ28,FQ33,FQ23,FQ19,FQ15)</f>
        <v>690</v>
      </c>
      <c r="FR39" s="58">
        <f>SUM(FR28,FR33,FR23,FR19,FR15)</f>
        <v>690</v>
      </c>
      <c r="FS39" s="58">
        <f>SUM(FS28,FS33,FS23,FS19,FS15)</f>
        <v>345</v>
      </c>
      <c r="FV39" s="58">
        <f>SUM(FV28,FV33,FV23,FV19,FV15)</f>
        <v>345</v>
      </c>
      <c r="FW39" s="58">
        <f>SUM(FW28,FW33,FW23,FW19,FW15)</f>
        <v>345</v>
      </c>
      <c r="FX39" s="58">
        <f>SUM(FX28,FX33,FX23,FX19,FX15)</f>
        <v>345</v>
      </c>
      <c r="FY39" s="58">
        <f>SUM(FY28,FY33,FY23,FY19,FY15)</f>
        <v>345</v>
      </c>
      <c r="GB39" s="58">
        <f>SUM(GB28,GB33,GB23,GB19,GB15)</f>
        <v>345</v>
      </c>
      <c r="GC39" s="58">
        <f>SUM(GC28,GC33,GC23,GC19,GC15)</f>
        <v>345</v>
      </c>
      <c r="GD39" s="58">
        <f>SUM(GD28,GD33,GD23,GD19,GD15)</f>
        <v>345</v>
      </c>
      <c r="GE39" s="58">
        <f>SUM(GE28,GE33,GE23,GE19,GE15)</f>
        <v>345</v>
      </c>
      <c r="GH39" s="58">
        <f>SUM(GH28,GH33,GH23,GH19,GH15)</f>
        <v>345</v>
      </c>
      <c r="GI39" s="58">
        <f>SUM(GI28,GI33,GI23,GI19,GI15)</f>
        <v>345</v>
      </c>
      <c r="GJ39" s="58">
        <f>SUM(GJ28,GJ33,GJ23,GJ19,GJ15)</f>
        <v>345</v>
      </c>
      <c r="GK39" s="58">
        <f>SUM(GK28,GK33,GK23,GK19,GK15)</f>
        <v>0</v>
      </c>
      <c r="GN39" s="58">
        <f>SUM(GN28,GN33,GN23,GN19,GN15)</f>
        <v>0</v>
      </c>
      <c r="GO39" s="58">
        <f>SUM(GO28,GO33,GO23,GO19,GO15)</f>
        <v>0</v>
      </c>
      <c r="GP39" s="58">
        <f>SUM(GP28,GP33,GP23,GP19,GP15)</f>
        <v>0</v>
      </c>
      <c r="GQ39" s="58">
        <f>SUM(GQ28,GQ33,GQ23,GQ19,GQ15)</f>
        <v>0</v>
      </c>
      <c r="GT39" s="58">
        <f>SUM(GT28,GT33,GT23,GT19,GT15)</f>
        <v>0</v>
      </c>
      <c r="GU39" s="58">
        <f>SUM(GU28,GU33,GU23,GU19,GU15)</f>
        <v>0</v>
      </c>
      <c r="GV39" s="58">
        <f>SUM(GV28,GV33,GV23,GV19,GV15)</f>
        <v>0</v>
      </c>
      <c r="GW39" s="58">
        <f>SUM(GW28,GW33,GW23,GW19,GW15)</f>
        <v>0</v>
      </c>
      <c r="GZ39" s="58">
        <f>SUM(GZ28,GZ33,GZ23,GZ19,GZ15)</f>
        <v>0</v>
      </c>
      <c r="HA39" s="58">
        <f>SUM(HA28,HA33,HA23,HA19,HA15)</f>
        <v>0</v>
      </c>
      <c r="HB39" s="58">
        <f>SUM(HB28,HB33,HB23,HB19,HB15)</f>
        <v>0</v>
      </c>
      <c r="HC39" s="58">
        <f>SUM(HC28,HC33,HC23,HC19,HC15)</f>
        <v>0</v>
      </c>
      <c r="HF39" s="58">
        <f>SUM(HF28,HF33,HF23,HF19,HF15)</f>
        <v>0</v>
      </c>
      <c r="HG39" s="58">
        <f>SUM(HG28,HG33,HG23,HG19,HG15)</f>
        <v>0</v>
      </c>
      <c r="HH39" s="58">
        <f>SUM(HH28,HH33,HH23,HH19,HH15)</f>
        <v>0</v>
      </c>
      <c r="HI39" s="58">
        <f>SUM(HI28,HI33,HI23,HI19,HI15)</f>
        <v>0</v>
      </c>
    </row>
    <row r="40" spans="1:217" s="58" customFormat="1">
      <c r="A40" s="448"/>
      <c r="B40" s="30" t="s">
        <v>542</v>
      </c>
      <c r="BJ40" s="439"/>
      <c r="DC40" s="438"/>
      <c r="DH40" s="58">
        <f>DH39-DH41</f>
        <v>1.7719999999999914</v>
      </c>
      <c r="DI40" s="58">
        <f>DI39-DI41</f>
        <v>2.1020000000000039</v>
      </c>
      <c r="DJ40" s="58">
        <f>DJ39-DJ41</f>
        <v>1.0800000000000125</v>
      </c>
      <c r="DK40" s="58">
        <f>DK39-DK41</f>
        <v>1.0020000000000095</v>
      </c>
      <c r="DN40" s="58">
        <f>DN39-DN41</f>
        <v>-2.7060000000000031</v>
      </c>
      <c r="DO40" s="58">
        <f>DO39-DO41</f>
        <v>-2.6779999999999973</v>
      </c>
      <c r="DP40" s="58">
        <f>DP39-DP41</f>
        <v>-2.804000000000002</v>
      </c>
      <c r="DQ40" s="58">
        <f>DQ39-DQ41</f>
        <v>-2.7099999999999937</v>
      </c>
      <c r="DT40" s="58">
        <f>DT39-DT41</f>
        <v>-3.8599999999999994</v>
      </c>
      <c r="DU40" s="58">
        <f>DU39-DU41</f>
        <v>36.705999999999989</v>
      </c>
      <c r="DV40" s="58">
        <f>DV39-DV41</f>
        <v>34.81</v>
      </c>
      <c r="DW40" s="58">
        <f>DW39-DW41</f>
        <v>33.129999999999967</v>
      </c>
      <c r="DX40" s="58">
        <f>DW40</f>
        <v>33.129999999999967</v>
      </c>
      <c r="DZ40" s="58">
        <f>DZ39-DZ41</f>
        <v>15.871999999999957</v>
      </c>
      <c r="EA40" s="58">
        <f>EA39-EA41</f>
        <v>15.173000000000002</v>
      </c>
      <c r="EB40" s="58">
        <f>EB39-EB41</f>
        <v>14.471000000000004</v>
      </c>
      <c r="EC40" s="58">
        <f>EB40</f>
        <v>14.471000000000004</v>
      </c>
      <c r="ED40" s="58">
        <f>EC40</f>
        <v>14.471000000000004</v>
      </c>
      <c r="EF40" s="58">
        <f>EF39-EF41</f>
        <v>13.061000000000035</v>
      </c>
      <c r="EG40" s="58">
        <f>EG39-EG41</f>
        <v>12.351999999999975</v>
      </c>
      <c r="EH40" s="58">
        <f>EH39-EH41</f>
        <v>11.640999999999963</v>
      </c>
      <c r="EI40" s="58">
        <f>EH40</f>
        <v>11.640999999999963</v>
      </c>
      <c r="EJ40" s="58">
        <f>EI40</f>
        <v>11.640999999999963</v>
      </c>
      <c r="EL40" s="58">
        <f>EL39-EL41</f>
        <v>10.212999999999965</v>
      </c>
      <c r="EM40" s="58">
        <f>EM39-EM41</f>
        <v>9.4950000000000045</v>
      </c>
      <c r="EN40" s="58">
        <f>EN39-EN41</f>
        <v>8.7749999999999773</v>
      </c>
      <c r="EO40" s="58">
        <f>EN40</f>
        <v>8.7749999999999773</v>
      </c>
      <c r="EP40" s="58">
        <f>EO40</f>
        <v>8.7749999999999773</v>
      </c>
      <c r="ER40" s="58">
        <f>ER39-ER41</f>
        <v>7.3269999999999982</v>
      </c>
      <c r="ES40" s="58">
        <f>ES39-ES41</f>
        <v>6.6000000000000227</v>
      </c>
      <c r="ET40" s="58">
        <f>ET39-ET41</f>
        <v>5.8700000000000045</v>
      </c>
      <c r="EU40" s="58">
        <f>EU39-EU41</f>
        <v>5.1380000000000337</v>
      </c>
      <c r="EX40" s="58">
        <f>EX39-EX41</f>
        <v>4.4049999999999727</v>
      </c>
      <c r="EY40" s="58">
        <f>EY39-EY41</f>
        <v>3.9049999999999727</v>
      </c>
      <c r="EZ40" s="58">
        <f>EZ39-EZ41</f>
        <v>3.5240000000000009</v>
      </c>
      <c r="FA40" s="543">
        <f>IF(FA39+EZ40&gt;FA41,EZ39-EZ41,0)</f>
        <v>3.5240000000000009</v>
      </c>
      <c r="FD40" s="442">
        <f>IF(FD39+FA40&gt;FD42,FA40,0)</f>
        <v>3.5240000000000009</v>
      </c>
      <c r="FE40" s="102">
        <f>IF(FE39+FD40&gt;FE41,FD39-FD41,0)</f>
        <v>3.1205000000000496</v>
      </c>
      <c r="FF40" s="102">
        <f>IF(FF39+FE40&gt;FF41,FE39-FE41,0)</f>
        <v>2.8115999999999985</v>
      </c>
      <c r="FG40" s="102">
        <f>IF(FG39+FF40&gt;FG41,FF39-FF41,0)</f>
        <v>2.5027000000000044</v>
      </c>
      <c r="FJ40" s="58">
        <f>IF(FJ39+FG40&gt;FJ42,FG40,0)</f>
        <v>2.5027000000000044</v>
      </c>
      <c r="FK40" s="102">
        <f>IF(FK39+FJ40&gt;FK41,FJ39-FJ41,0)</f>
        <v>1.884900000000016</v>
      </c>
      <c r="FL40" s="102">
        <f>IF(FL39+FK40&gt;FL41,FK39-FK41,0)</f>
        <v>1.5760000000000218</v>
      </c>
      <c r="FM40" s="102">
        <f>IF(FM39+FL40&gt;FM41,FL39-FL41,0)</f>
        <v>1.2671000000000276</v>
      </c>
      <c r="FP40" s="58">
        <f>IF(FP39+FM40&gt;FP42,FM40,0)</f>
        <v>1.2671000000000276</v>
      </c>
      <c r="FQ40" s="102">
        <f>IF(FQ39+FP40&gt;FQ41,FP39-FP41,0)</f>
        <v>0.64930000000003929</v>
      </c>
      <c r="FR40" s="102">
        <f>IF(FR39+FQ40&gt;FR41,FQ39-FQ41,0)</f>
        <v>0.34040000000004511</v>
      </c>
      <c r="FS40" s="102">
        <f>IF(FS39+FR40&gt;FS41,FR39-FR41,0)</f>
        <v>3.1500000000050932E-2</v>
      </c>
      <c r="FV40" s="58">
        <f>IF(FV39+FS40&gt;FV42,FS40,0)</f>
        <v>3.1500000000050932E-2</v>
      </c>
      <c r="FW40" s="102">
        <f>IF(FW39+FV40&gt;FW41,FV39-FV41,0)</f>
        <v>0</v>
      </c>
      <c r="FX40" s="102">
        <f>IF(FX39+FW40&gt;FX41,FW39-FW41,0)</f>
        <v>0</v>
      </c>
      <c r="FY40" s="102">
        <f>IF(FY39+FX40&gt;FY41,FX39-FX41,0)</f>
        <v>0</v>
      </c>
      <c r="GB40" s="58">
        <f>IF(GB39+FY40&gt;GB42,FY40,0)</f>
        <v>0</v>
      </c>
      <c r="GC40" s="102">
        <f>IF(GC39+GB40&gt;GC41,GB39-GB41,0)</f>
        <v>0</v>
      </c>
      <c r="GD40" s="102">
        <f>IF(GD39+GC40&gt;GD41,GC39-GC41,0)</f>
        <v>0</v>
      </c>
      <c r="GE40" s="102">
        <f>IF(GE39+GD40&gt;GE41,GD39-GD41,0)</f>
        <v>0</v>
      </c>
      <c r="GH40" s="58">
        <f>IF(GH39+GE40&gt;GH42,GE40,0)</f>
        <v>0</v>
      </c>
      <c r="GI40" s="102">
        <f>IF(GI39+GH40&gt;GI41,GH39-GH41,0)</f>
        <v>0</v>
      </c>
      <c r="GJ40" s="102">
        <f>IF(GJ39+GI40&gt;GJ41,GI39-GI41,0)</f>
        <v>0</v>
      </c>
      <c r="GK40" s="102">
        <f>IF(GK39+GJ40&gt;GK41,GJ39-GJ41,0)</f>
        <v>0</v>
      </c>
      <c r="GN40" s="58">
        <f>IF(GN39+GK40&gt;GN42,GK40,0)</f>
        <v>0</v>
      </c>
      <c r="GO40" s="102">
        <f>IF(GO39+GN40&gt;GO41,GN39-GN41,0)</f>
        <v>0</v>
      </c>
      <c r="GP40" s="102">
        <f>IF(GP39+GO40&gt;GP41,GO39-GO41,0)</f>
        <v>0</v>
      </c>
      <c r="GQ40" s="102">
        <f>IF(GQ39+GP40&gt;GQ41,GP39-GP41,0)</f>
        <v>0</v>
      </c>
      <c r="GT40" s="58">
        <f>IF(GT39+GQ40&gt;GT42,GQ40,0)</f>
        <v>0</v>
      </c>
      <c r="GU40" s="102">
        <f>IF(GU39+GT40&gt;GU41,GT39-GT41,0)</f>
        <v>0</v>
      </c>
      <c r="GV40" s="102">
        <f>IF(GV39+GU40&gt;GV41,GU39-GU41,0)</f>
        <v>0</v>
      </c>
      <c r="GW40" s="102">
        <f>IF(GW39+GV40&gt;GW41,GV39-GV41,0)</f>
        <v>0</v>
      </c>
      <c r="GZ40" s="58">
        <f>IF(GZ39+GW40&gt;GZ42,GW40,0)</f>
        <v>0</v>
      </c>
      <c r="HA40" s="102">
        <f>IF(HA39+GZ40&gt;HA41,GZ39-GZ41,0)</f>
        <v>0</v>
      </c>
      <c r="HB40" s="102">
        <f>IF(HB39+HA40&gt;HB41,HA39-HA41,0)</f>
        <v>0</v>
      </c>
      <c r="HC40" s="102">
        <f>IF(HC39+HB40&gt;HC41,HB39-HB41,0)</f>
        <v>0</v>
      </c>
      <c r="HF40" s="58">
        <f>IF(HF39+HC40&gt;HF42,HC40,0)</f>
        <v>0</v>
      </c>
      <c r="HG40" s="102">
        <f>IF(HG39+HF40&gt;HG41,HF39-HF41,0)</f>
        <v>0</v>
      </c>
      <c r="HH40" s="102">
        <f>IF(HH39+HG40&gt;HH41,HG39-HG41,0)</f>
        <v>0</v>
      </c>
      <c r="HI40" s="102">
        <f>IF(HI39+HH40&gt;HI41,HH39-HH41,0)</f>
        <v>0</v>
      </c>
    </row>
    <row r="41" spans="1:217" s="58" customFormat="1">
      <c r="B41" s="30" t="s">
        <v>543</v>
      </c>
      <c r="DH41" s="58">
        <f>SUM(DH42:DH43)</f>
        <v>101.04400000000001</v>
      </c>
      <c r="DI41" s="58">
        <f>SUM(DI42:DI43)</f>
        <v>138.53399999999999</v>
      </c>
      <c r="DJ41" s="58">
        <f>SUM(DJ42:DJ43)</f>
        <v>110.31899999999999</v>
      </c>
      <c r="DK41" s="58">
        <f>SUM(DK42:DK43)</f>
        <v>112.30099999999999</v>
      </c>
      <c r="DN41" s="58">
        <f>SUM(DN42:DN43)</f>
        <v>114.242</v>
      </c>
      <c r="DO41" s="58">
        <f>SUM(DO42:DO43)</f>
        <v>113.285</v>
      </c>
      <c r="DP41" s="58">
        <f>SUM(DP42:DP43)</f>
        <v>112.536</v>
      </c>
      <c r="DQ41" s="58">
        <f>SUM(DQ42:DQ43)</f>
        <v>108.84099999999999</v>
      </c>
      <c r="DT41" s="58">
        <f>SUM(DT42:DT43)</f>
        <v>107.479</v>
      </c>
      <c r="DU41" s="58">
        <f>SUM(BS!DU37,BS!DU40,BS!DU45:DU46)</f>
        <v>170.91300000000001</v>
      </c>
      <c r="DV41" s="58">
        <f>SUM(BS!DV37,BS!DV40,BS!DV45:DV46)</f>
        <v>171.53899999999999</v>
      </c>
      <c r="DW41" s="58">
        <f>SUM(BS!DW37,BS!DW40,BS!DW45:DW46)</f>
        <v>171.92800000000003</v>
      </c>
      <c r="DX41" s="58">
        <f>DW41</f>
        <v>171.92800000000003</v>
      </c>
      <c r="DZ41" s="58">
        <f>SUM(BS!DZ37,BS!DZ40,BS!DZ45:DZ46)</f>
        <v>533.15000000000009</v>
      </c>
      <c r="EA41" s="58">
        <f>SUM(BS!EA37,BS!EA40,BS!EA45:EA46)</f>
        <v>533.43799999999999</v>
      </c>
      <c r="EB41" s="58">
        <f>SUM(BS!EB37,BS!EB40,BS!EB45:EB46)</f>
        <v>533.495</v>
      </c>
      <c r="EC41" s="58">
        <f>SUM(BS!EC37,BS!EC40,BS!EC45:EC46)</f>
        <v>533.68899999999996</v>
      </c>
      <c r="ED41" s="58">
        <f>EC41</f>
        <v>533.68899999999996</v>
      </c>
      <c r="EF41" s="58">
        <f>SUM(BS!EF37,BS!EF40,BS!EF45:EF46)</f>
        <v>533.80999999999995</v>
      </c>
      <c r="EG41" s="58">
        <f>SUM(BS!EG37,BS!EG40,BS!EG45:EG46)</f>
        <v>534.30799999999999</v>
      </c>
      <c r="EH41" s="58">
        <f>SUM(BS!EH37,BS!EH40,BS!EH45:EH46)</f>
        <v>534.72700000000009</v>
      </c>
      <c r="EI41" s="58">
        <f>SUM(BS!EI37,BS!EI40,BS!EI45:EI46)</f>
        <v>535.39200000000005</v>
      </c>
      <c r="EJ41" s="58">
        <f>EI41</f>
        <v>535.39200000000005</v>
      </c>
      <c r="EL41" s="58">
        <f>SUM(BS!EL37,BS!EL40,BS!EL45:EL46)</f>
        <v>536.07500000000005</v>
      </c>
      <c r="EM41" s="58">
        <f>SUM(BS!EM37,BS!EM40,BS!EM45:EM46)</f>
        <v>536.76599999999996</v>
      </c>
      <c r="EN41" s="58">
        <f>SUM(BS!EN37,BS!EN40,BS!EN45:EN46)</f>
        <v>537.47900000000004</v>
      </c>
      <c r="EO41" s="58">
        <f>SUM(BS!EO37,BS!EO40,BS!EO45:EO46)</f>
        <v>538.19799999999998</v>
      </c>
      <c r="EP41" s="58">
        <f>EO41</f>
        <v>538.19799999999998</v>
      </c>
      <c r="ER41" s="58">
        <f>SUM(BS!ER37,BS!ER40,BS!ER45:ER46)</f>
        <v>538.923</v>
      </c>
      <c r="ES41" s="58">
        <f>SUM(BS!ES37,BS!ES40,BS!ES45:ES46)</f>
        <v>539.65</v>
      </c>
      <c r="ET41" s="58">
        <f>SUM(BS!ET37,BS!ET40,BS!ET45:ET46)</f>
        <v>540.38</v>
      </c>
      <c r="EU41" s="58">
        <f>SUM(BS!EU37,BS!EU40,BS!EU45:EU46)</f>
        <v>541.11199999999997</v>
      </c>
      <c r="EX41" s="58">
        <f>SUM(BS!EX37,BS!EX40,BS!EX45:EX46)</f>
        <v>541.84500000000003</v>
      </c>
      <c r="EY41" s="58">
        <f>SUM(BS!EY37,BS!EY40,BS!EY45:EY46)</f>
        <v>341.09500000000003</v>
      </c>
      <c r="EZ41" s="58">
        <f>SUM(BS!EZ37,BS!EZ40,BS!EZ45:EZ46)</f>
        <v>341.476</v>
      </c>
      <c r="FA41" s="442">
        <f>FA36+FA31+FA23+FA19+FA15</f>
        <v>341.57059999999996</v>
      </c>
      <c r="FD41" s="442">
        <f>FD36+FD31+FD23+FD19+FD15</f>
        <v>341.87949999999995</v>
      </c>
      <c r="FE41" s="58">
        <f>FE36+FE31+FE23+FE19+FE15</f>
        <v>342.1884</v>
      </c>
      <c r="FF41" s="58">
        <f>FF36+FF31+FF23+FF19+FF15</f>
        <v>342.4973</v>
      </c>
      <c r="FG41" s="58">
        <f>FG36+FG31+FG23+FG19+FG15</f>
        <v>342.80619999999999</v>
      </c>
      <c r="FJ41" s="58">
        <f>FJ36+FJ31+FJ23+FJ19+FJ15</f>
        <v>343.11509999999998</v>
      </c>
      <c r="FK41" s="58">
        <f>FK36+FK31+FK23+FK19+FK15</f>
        <v>343.42399999999998</v>
      </c>
      <c r="FL41" s="58">
        <f>FL36+FL31+FL23+FL19+FL15</f>
        <v>343.73289999999997</v>
      </c>
      <c r="FM41" s="58">
        <f>FM36+FM31+FM23+FM19+FM15</f>
        <v>689.04179999999997</v>
      </c>
      <c r="FP41" s="58">
        <f>FP36+FP31+FP23+FP19+FP15</f>
        <v>689.35069999999996</v>
      </c>
      <c r="FQ41" s="58">
        <f>FQ36+FQ31+FQ23+FQ19+FQ15</f>
        <v>689.65959999999995</v>
      </c>
      <c r="FR41" s="58">
        <f>FR36+FR31+FR23+FR19+FR15</f>
        <v>689.96849999999995</v>
      </c>
      <c r="FS41" s="58">
        <f>FS36+FS31+FS23+FS19+FS15</f>
        <v>345</v>
      </c>
      <c r="FV41" s="58">
        <f>FV36+FV31+FV23+FV19+FV15</f>
        <v>345</v>
      </c>
      <c r="FW41" s="58">
        <f>FW36+FW31+FW23+FW19+FW15</f>
        <v>345</v>
      </c>
      <c r="FX41" s="58">
        <f>FX36+FX31+FX23+FX19+FX15</f>
        <v>345</v>
      </c>
      <c r="FY41" s="58">
        <f>FY36+FY31+FY23+FY19+FY15</f>
        <v>345</v>
      </c>
      <c r="GB41" s="58">
        <f>GB36+GB31+GB23+GB19+GB15</f>
        <v>345</v>
      </c>
      <c r="GC41" s="58">
        <f>GC36+GC31+GC23+GC19+GC15</f>
        <v>345</v>
      </c>
      <c r="GD41" s="58">
        <f>GD36+GD31+GD23+GD19+GD15</f>
        <v>345</v>
      </c>
      <c r="GE41" s="58">
        <f>GE36+GE31+GE23+GE19+GE15</f>
        <v>345</v>
      </c>
      <c r="GH41" s="58">
        <f>GH36+GH31+GH23+GH19+GH15</f>
        <v>345</v>
      </c>
      <c r="GI41" s="58">
        <f>GI36+GI31+GI23+GI19+GI15</f>
        <v>345</v>
      </c>
      <c r="GJ41" s="58">
        <f>GJ36+GJ31+GJ23+GJ19+GJ15</f>
        <v>345</v>
      </c>
      <c r="GK41" s="58">
        <f>GK36+GK31+GK23+GK19+GK15</f>
        <v>0</v>
      </c>
      <c r="GN41" s="58">
        <f>GN36+GN31+GN23+GN19+GN15</f>
        <v>0</v>
      </c>
      <c r="GO41" s="58">
        <f>GO36+GO31+GO23+GO19+GO15</f>
        <v>0</v>
      </c>
      <c r="GP41" s="58">
        <f>GP36+GP31+GP23+GP19+GP15</f>
        <v>0</v>
      </c>
      <c r="GQ41" s="58">
        <f>GQ36+GQ31+GQ23+GQ19+GQ15</f>
        <v>0</v>
      </c>
      <c r="GT41" s="58">
        <f>GT36+GT31+GT23+GT19+GT15</f>
        <v>0</v>
      </c>
      <c r="GU41" s="58">
        <f>GU36+GU31+GU23+GU19+GU15</f>
        <v>0</v>
      </c>
      <c r="GV41" s="58">
        <f>GV36+GV31+GV23+GV19+GV15</f>
        <v>0</v>
      </c>
      <c r="GW41" s="58">
        <f>GW36+GW31+GW23+GW19+GW15</f>
        <v>0</v>
      </c>
      <c r="GZ41" s="58">
        <f>GZ36+GZ31+GZ23+GZ19+GZ15</f>
        <v>0</v>
      </c>
      <c r="HA41" s="58">
        <f>HA36+HA31+HA23+HA19+HA15</f>
        <v>0</v>
      </c>
      <c r="HB41" s="58">
        <f>HB36+HB31+HB23+HB19+HB15</f>
        <v>0</v>
      </c>
      <c r="HC41" s="58">
        <f>HC36+HC31+HC23+HC19+HC15</f>
        <v>0</v>
      </c>
      <c r="HF41" s="58">
        <f>HF36+HF31+HF23+HF19+HF15</f>
        <v>0</v>
      </c>
      <c r="HG41" s="58">
        <f>HG36+HG31+HG23+HG19+HG15</f>
        <v>0</v>
      </c>
      <c r="HH41" s="58">
        <f>HH36+HH31+HH23+HH19+HH15</f>
        <v>0</v>
      </c>
      <c r="HI41" s="58">
        <f>HI36+HI31+HI23+HI19+HI15</f>
        <v>0</v>
      </c>
    </row>
    <row r="42" spans="1:217" s="58" customFormat="1">
      <c r="B42" s="30" t="s">
        <v>593</v>
      </c>
      <c r="DH42" s="58">
        <f>BS!DH37+BS!DH38+BS!DH40</f>
        <v>10.207000000000001</v>
      </c>
      <c r="DI42" s="58">
        <f>BS!DI37+BS!DI38+BS!DI40</f>
        <v>12.409000000000001</v>
      </c>
      <c r="DJ42" s="58">
        <f>BS!DJ37+BS!DJ38+BS!DJ40</f>
        <v>13.891999999999999</v>
      </c>
      <c r="DK42" s="58">
        <f>BS!DK37+BS!DK38+BS!DK40</f>
        <v>14.170999999999999</v>
      </c>
      <c r="DN42" s="58">
        <f>BS!DN37+BS!DN38+BS!DN40</f>
        <v>17.994</v>
      </c>
      <c r="DO42" s="58">
        <f>BS!DO37+BS!DO38+BS!DO40</f>
        <v>14.253</v>
      </c>
      <c r="DP42" s="58">
        <f>BS!DP37+BS!DP38+BS!DP40</f>
        <v>15.527000000000001</v>
      </c>
      <c r="DQ42" s="58">
        <f>BS!DQ37+BS!DQ38+BS!DQ40</f>
        <v>13.813000000000001</v>
      </c>
      <c r="DT42" s="58">
        <f>BS!DT37+BS!DT38+BS!DT40</f>
        <v>14.445999999999998</v>
      </c>
      <c r="DU42" s="58">
        <f>+BS!DU40+BS!DU37</f>
        <v>4.4580000000000002</v>
      </c>
      <c r="DV42" s="58">
        <f>+BS!DV40+BS!DV37</f>
        <v>3.7</v>
      </c>
      <c r="DW42" s="58">
        <f>+BS!DW40+BS!DW37</f>
        <v>2.8410000000000002</v>
      </c>
      <c r="DX42" s="58">
        <f>DW42</f>
        <v>2.8410000000000002</v>
      </c>
      <c r="DZ42" s="58">
        <f>+BS!DZ40+BS!DZ37</f>
        <v>2.089</v>
      </c>
      <c r="EA42" s="58">
        <f>+BS!EA40+BS!EA37</f>
        <v>1.913</v>
      </c>
      <c r="EB42" s="58">
        <f>+BS!EB40+BS!EB37</f>
        <v>1.5640000000000001</v>
      </c>
      <c r="EC42" s="58">
        <f>+BS!EC40+BS!EC37</f>
        <v>1.135</v>
      </c>
      <c r="ED42" s="58">
        <f>EC42</f>
        <v>1.135</v>
      </c>
      <c r="EF42" s="58">
        <f>+BS!EF40+BS!EF37</f>
        <v>0.621</v>
      </c>
      <c r="EG42" s="58">
        <f>+BS!EG40+BS!EG37</f>
        <v>0.41</v>
      </c>
      <c r="EH42" s="58">
        <f>+BS!EH40+BS!EH37</f>
        <v>0.11799999999999999</v>
      </c>
      <c r="EI42" s="58">
        <f>+BS!EI40+BS!EI37</f>
        <v>7.0000000000000007E-2</v>
      </c>
      <c r="EJ42" s="58">
        <f>EI42</f>
        <v>7.0000000000000007E-2</v>
      </c>
      <c r="EL42" s="58">
        <f>+BS!EL40+BS!EL37</f>
        <v>3.7999999999999999E-2</v>
      </c>
      <c r="EM42" s="58">
        <f>+BS!EM40+BS!EM37</f>
        <v>1.0999999999999999E-2</v>
      </c>
      <c r="EN42" s="58">
        <f>+BS!EN40+BS!EN37</f>
        <v>4.0000000000000001E-3</v>
      </c>
      <c r="EO42" s="58">
        <f>+BS!EO40+BS!EO37</f>
        <v>0</v>
      </c>
      <c r="EP42" s="58">
        <f>EO42</f>
        <v>0</v>
      </c>
      <c r="ER42" s="58">
        <f>+BS!ER40+BS!ER37</f>
        <v>0</v>
      </c>
      <c r="ES42" s="58">
        <f>+BS!ES40+BS!ES37</f>
        <v>200.07300000000001</v>
      </c>
      <c r="ET42" s="58">
        <f>+BS!ET40+BS!ET37</f>
        <v>200.42400000000001</v>
      </c>
      <c r="EU42" s="58">
        <f>+BS!EU40+BS!EU37</f>
        <v>200.77699999999999</v>
      </c>
      <c r="EV42" s="102"/>
      <c r="EW42" s="102"/>
      <c r="EX42" s="58">
        <f>+BS!EX40+BS!EX37</f>
        <v>201.131</v>
      </c>
      <c r="EY42" s="58">
        <f>+BS!EY40+BS!EY37</f>
        <v>0</v>
      </c>
      <c r="EZ42" s="58">
        <f>+BS!EZ40+BS!EZ37</f>
        <v>0</v>
      </c>
      <c r="FA42" s="543">
        <f>+IF(AND(FG33=0,FA33&gt;0),FA33,0)+IF(AND(FG28=0,FA28&gt;0),FA28,0)</f>
        <v>0</v>
      </c>
      <c r="FB42" s="102"/>
      <c r="FC42" s="102"/>
      <c r="FD42" s="543">
        <f>+IF(AND(FJ33=0,FD33&gt;0),FD33,0)+IF(AND(FJ28=0,FD28&gt;0),FD28,0)</f>
        <v>0</v>
      </c>
      <c r="FE42" s="102">
        <f>+IF(AND(FK33=0,FE33&gt;0),FE33,0)+IF(AND(FK28=0,FE28&gt;0),FE28,0)</f>
        <v>0</v>
      </c>
      <c r="FF42" s="102">
        <f>+IF(AND(FL33=0,FF33&gt;0),FF33,0)+IF(AND(FL28=0,FF28&gt;0),FF28,0)</f>
        <v>0</v>
      </c>
      <c r="FG42" s="102">
        <f>+IF(AND(FM33=0,FG33&gt;0),FG33,0)+IF(AND(FM28=0,FG28&gt;0),FG28,0)</f>
        <v>0</v>
      </c>
      <c r="FH42" s="102"/>
      <c r="FI42" s="102"/>
      <c r="FJ42" s="102">
        <f>+IF(AND(FP33=0,FJ33&gt;0),FJ33,0)+IF(AND(FP28=0,FJ28&gt;0),FJ28,0)</f>
        <v>0</v>
      </c>
      <c r="FK42" s="102">
        <f>+IF(AND(FQ33=0,FK33&gt;0),FK33,0)+IF(AND(FQ28=0,FK28&gt;0),FK28,0)</f>
        <v>0</v>
      </c>
      <c r="FL42" s="102">
        <f>+IF(AND(FR33=0,FL33&gt;0),FL33,0)+IF(AND(FR28=0,FL28&gt;0),FL28,0)</f>
        <v>0</v>
      </c>
      <c r="FM42" s="102">
        <f>+IF(AND(FS33=0,FM33&gt;0),FM33,0)+IF(AND(FS28=0,FM28&gt;0),FM28,0)</f>
        <v>345</v>
      </c>
      <c r="FN42" s="102"/>
      <c r="FO42" s="102"/>
      <c r="FP42" s="102">
        <f>+IF(AND(FV33=0,FP33&gt;0),FP33,0)+IF(AND(FV28=0,FP28&gt;0),FP28,0)</f>
        <v>345</v>
      </c>
      <c r="FQ42" s="102">
        <f>+IF(AND(FW33=0,FQ33&gt;0),FQ33,0)+IF(AND(FW28=0,FQ28&gt;0),FQ28,0)</f>
        <v>345</v>
      </c>
      <c r="FR42" s="102">
        <f>+IF(AND(FX33=0,FR33&gt;0),FR33,0)+IF(AND(FX28=0,FR28&gt;0),FR28,0)</f>
        <v>345</v>
      </c>
      <c r="FS42" s="102">
        <f>+IF(AND(FY33=0,FS33&gt;0),FS33,0)+IF(AND(FY28=0,FS28&gt;0),FS28,0)</f>
        <v>0</v>
      </c>
      <c r="FT42" s="102"/>
      <c r="FU42" s="102"/>
      <c r="FV42" s="102">
        <f>+IF(AND(GB33=0,FV33&gt;0),FV33,0)+IF(AND(GB28=0,FV28&gt;0),FV28,0)</f>
        <v>0</v>
      </c>
      <c r="FW42" s="102">
        <f>+IF(AND(GC33=0,FW33&gt;0),FW33,0)+IF(AND(GC28=0,FW28&gt;0),FW28,0)</f>
        <v>0</v>
      </c>
      <c r="FX42" s="102">
        <f>+IF(AND(GD33=0,FX33&gt;0),FX33,0)+IF(AND(GD28=0,FX28&gt;0),FX28,0)</f>
        <v>0</v>
      </c>
      <c r="FY42" s="102">
        <f>+IF(AND(GE33=0,FY33&gt;0),FY33,0)+IF(AND(GE28=0,FY28&gt;0),FY28,0)</f>
        <v>0</v>
      </c>
      <c r="FZ42" s="102"/>
      <c r="GA42" s="102"/>
      <c r="GB42" s="102">
        <f>+IF(AND(GH33=0,GB33&gt;0),GB33,0)+IF(AND(GH28=0,GB28&gt;0),GB28,0)</f>
        <v>0</v>
      </c>
      <c r="GC42" s="102">
        <f>+IF(AND(GI33=0,GC33&gt;0),GC33,0)+IF(AND(GI28=0,GC28&gt;0),GC28,0)</f>
        <v>0</v>
      </c>
      <c r="GD42" s="102">
        <f>+IF(AND(GJ33=0,GD33&gt;0),GD33,0)+IF(AND(GJ28=0,GD28&gt;0),GD28,0)</f>
        <v>0</v>
      </c>
      <c r="GE42" s="102">
        <f>+IF(AND(GK33=0,GE33&gt;0),GE33,0)+IF(AND(GK28=0,GE28&gt;0),GE28,0)</f>
        <v>0</v>
      </c>
      <c r="GF42" s="102"/>
      <c r="GG42" s="102"/>
      <c r="GH42" s="102">
        <f>+IF(AND(GN33=0,GH33&gt;0),GH33,0)+IF(AND(GN28=0,GH28&gt;0),GH28,0)</f>
        <v>0</v>
      </c>
      <c r="GI42" s="102">
        <f>+IF(AND(GO33=0,GI33&gt;0),GI33,0)+IF(AND(GO28=0,GI28&gt;0),GI28,0)</f>
        <v>0</v>
      </c>
      <c r="GJ42" s="102">
        <f>+IF(AND(GP33=0,GJ33&gt;0),GJ33,0)+IF(AND(GP28=0,GJ28&gt;0),GJ28,0)</f>
        <v>0</v>
      </c>
      <c r="GK42" s="102">
        <f>+IF(AND(GQ33=0,GK33&gt;0),GK33,0)+IF(AND(GQ28=0,GK28&gt;0),GK28,0)</f>
        <v>0</v>
      </c>
      <c r="GL42" s="102"/>
      <c r="GM42" s="102"/>
      <c r="GN42" s="102">
        <f>+IF(AND(GT33=0,GN33&gt;0),GN33,0)+IF(AND(GT28=0,GN28&gt;0),GN28,0)</f>
        <v>0</v>
      </c>
      <c r="GO42" s="102">
        <f>+IF(AND(GU33=0,GO33&gt;0),GO33,0)+IF(AND(GU28=0,GO28&gt;0),GO28,0)</f>
        <v>0</v>
      </c>
      <c r="GP42" s="102">
        <f>+IF(AND(GV33=0,GP33&gt;0),GP33,0)+IF(AND(GV28=0,GP28&gt;0),GP28,0)</f>
        <v>0</v>
      </c>
      <c r="GQ42" s="102">
        <f>+IF(AND(GW33=0,GQ33&gt;0),GQ33,0)+IF(AND(GW28=0,GQ28&gt;0),GQ28,0)</f>
        <v>0</v>
      </c>
      <c r="GR42" s="102"/>
      <c r="GS42" s="102"/>
      <c r="GT42" s="102">
        <f>+IF(AND(GZ33=0,GT33&gt;0),GT33,0)+IF(AND(GZ28=0,GT28&gt;0),GT28,0)</f>
        <v>0</v>
      </c>
      <c r="GU42" s="102">
        <f>+IF(AND(HA33=0,GU33&gt;0),GU33,0)+IF(AND(HA28=0,GU28&gt;0),GU28,0)</f>
        <v>0</v>
      </c>
      <c r="GV42" s="102">
        <f>+IF(AND(HB33=0,GV33&gt;0),GV33,0)+IF(AND(HB28=0,GV28&gt;0),GV28,0)</f>
        <v>0</v>
      </c>
      <c r="GW42" s="102">
        <f>+IF(AND(HC33=0,GW33&gt;0),GW33,0)+IF(AND(HC28=0,GW28&gt;0),GW28,0)</f>
        <v>0</v>
      </c>
      <c r="GX42" s="102"/>
      <c r="GY42" s="102"/>
      <c r="GZ42" s="102">
        <f>+IF(AND(HF33=0,GZ33&gt;0),GZ33,0)+IF(AND(HF28=0,GZ28&gt;0),GZ28,0)</f>
        <v>0</v>
      </c>
      <c r="HA42" s="102">
        <f>+IF(AND(HG33=0,HA33&gt;0),HA33,0)+IF(AND(HG28=0,HA28&gt;0),HA28,0)</f>
        <v>0</v>
      </c>
      <c r="HB42" s="102">
        <f>+IF(AND(HH33=0,HB33&gt;0),HB33,0)+IF(AND(HH28=0,HB28&gt;0),HB28,0)</f>
        <v>0</v>
      </c>
      <c r="HC42" s="102">
        <f>+IF(AND(HI33=0,HC33&gt;0),HC33,0)+IF(AND(HI28=0,HC28&gt;0),HC28,0)</f>
        <v>0</v>
      </c>
      <c r="HD42" s="102"/>
      <c r="HE42" s="102"/>
      <c r="HF42" s="102">
        <f>+IF(AND(HL33=0,HF33&gt;0),HF33,0)+IF(AND(HL28=0,HF28&gt;0),HF28,0)</f>
        <v>0</v>
      </c>
      <c r="HG42" s="102">
        <f>+IF(AND(HM33=0,HG33&gt;0),HG33,0)+IF(AND(HM28=0,HG28&gt;0),HG28,0)</f>
        <v>0</v>
      </c>
      <c r="HH42" s="102">
        <f>+IF(AND(HN33=0,HH33&gt;0),HH33,0)+IF(AND(HN28=0,HH28&gt;0),HH28,0)</f>
        <v>0</v>
      </c>
      <c r="HI42" s="102">
        <f>+IF(AND(HO33=0,HI33&gt;0),HI33,0)+IF(AND(HO28=0,HI28&gt;0),HI28,0)</f>
        <v>0</v>
      </c>
    </row>
    <row r="43" spans="1:217" s="58" customFormat="1">
      <c r="B43" s="58" t="s">
        <v>595</v>
      </c>
      <c r="DH43" s="58">
        <f>SUM(BS!DH45,BS!DH46)</f>
        <v>90.837000000000003</v>
      </c>
      <c r="DI43" s="58">
        <f>SUM(BS!DI45,BS!DI46)</f>
        <v>126.125</v>
      </c>
      <c r="DJ43" s="58">
        <f>SUM(BS!DJ45,BS!DJ46)</f>
        <v>96.426999999999992</v>
      </c>
      <c r="DK43" s="58">
        <f>SUM(BS!DK45,BS!DK46)</f>
        <v>98.13</v>
      </c>
      <c r="DN43" s="58">
        <f>SUM(BS!DN45,BS!DN46)</f>
        <v>96.248000000000005</v>
      </c>
      <c r="DO43" s="58">
        <f>SUM(BS!DO45,BS!DO46)</f>
        <v>99.031999999999996</v>
      </c>
      <c r="DP43" s="58">
        <f>SUM(BS!DP45,BS!DP46)</f>
        <v>97.009</v>
      </c>
      <c r="DQ43" s="58">
        <f>SUM(BS!DQ45,BS!DQ46)</f>
        <v>95.027999999999992</v>
      </c>
      <c r="DT43" s="58">
        <f>SUM(BS!DT45,BS!DT46)</f>
        <v>93.033000000000001</v>
      </c>
      <c r="DU43" s="58">
        <f>DU41-DU42</f>
        <v>166.45500000000001</v>
      </c>
      <c r="DV43" s="58">
        <f>DV41-DV42</f>
        <v>167.839</v>
      </c>
      <c r="DW43" s="58">
        <f>DW41-DW42</f>
        <v>169.08700000000002</v>
      </c>
      <c r="DX43" s="58">
        <f>DX41-DX42</f>
        <v>169.08700000000002</v>
      </c>
      <c r="DZ43" s="58">
        <f>DZ41-DZ42</f>
        <v>531.06100000000004</v>
      </c>
      <c r="EA43" s="58">
        <f>EA41-EA42</f>
        <v>531.52499999999998</v>
      </c>
      <c r="EB43" s="58">
        <f>EB41-EB42</f>
        <v>531.93100000000004</v>
      </c>
      <c r="EC43" s="58">
        <f>EC41-EC42</f>
        <v>532.55399999999997</v>
      </c>
      <c r="ED43" s="58">
        <f>ED41-ED42</f>
        <v>532.55399999999997</v>
      </c>
      <c r="EF43" s="58">
        <f>EF41-EF42</f>
        <v>533.18899999999996</v>
      </c>
      <c r="EG43" s="58">
        <f>EG41-EG42</f>
        <v>533.89800000000002</v>
      </c>
      <c r="EH43" s="58">
        <f>EH41-EH42</f>
        <v>534.60900000000004</v>
      </c>
      <c r="EI43" s="58">
        <f>EI41-EI42</f>
        <v>535.322</v>
      </c>
      <c r="EJ43" s="58">
        <f>EJ41-EJ42</f>
        <v>535.322</v>
      </c>
      <c r="EL43" s="58">
        <f>EL41-EL42</f>
        <v>536.03700000000003</v>
      </c>
      <c r="EM43" s="58">
        <f>EM41-EM42</f>
        <v>536.755</v>
      </c>
      <c r="EN43" s="58">
        <f>EN41-EN42</f>
        <v>537.47500000000002</v>
      </c>
      <c r="EO43" s="58">
        <f>EO41-EO42</f>
        <v>538.19799999999998</v>
      </c>
      <c r="EP43" s="58">
        <f>EP41-EP42</f>
        <v>538.19799999999998</v>
      </c>
      <c r="ER43" s="58">
        <f>ER41-ER42</f>
        <v>538.923</v>
      </c>
      <c r="ES43" s="58">
        <f>ES41-ES42</f>
        <v>339.577</v>
      </c>
      <c r="ET43" s="58">
        <f>ET41-ET42</f>
        <v>339.95600000000002</v>
      </c>
      <c r="EU43" s="58">
        <f>EU41-EU42</f>
        <v>340.33499999999998</v>
      </c>
      <c r="EX43" s="58">
        <f>EX41-EX42</f>
        <v>340.71400000000006</v>
      </c>
      <c r="EY43" s="58">
        <f>EY41-EY42</f>
        <v>341.09500000000003</v>
      </c>
      <c r="EZ43" s="58">
        <f>EZ41-EZ42</f>
        <v>341.476</v>
      </c>
      <c r="FA43" s="828">
        <f>FA41-FA42</f>
        <v>341.57059999999996</v>
      </c>
      <c r="FD43" s="828">
        <f>FD41-FD42</f>
        <v>341.87949999999995</v>
      </c>
      <c r="FE43" s="441">
        <f>FE41-FE42</f>
        <v>342.1884</v>
      </c>
      <c r="FF43" s="441">
        <f>FF41-FF42</f>
        <v>342.4973</v>
      </c>
      <c r="FG43" s="441">
        <f>FG41-FG42</f>
        <v>342.80619999999999</v>
      </c>
      <c r="FJ43" s="441">
        <f>FJ41-FJ42</f>
        <v>343.11509999999998</v>
      </c>
      <c r="FK43" s="441">
        <f>FK41-FK42</f>
        <v>343.42399999999998</v>
      </c>
      <c r="FL43" s="441">
        <f>FL41-FL42</f>
        <v>343.73289999999997</v>
      </c>
      <c r="FM43" s="441">
        <f>FM41-FM42</f>
        <v>344.04179999999997</v>
      </c>
      <c r="FP43" s="441">
        <f>FP41-FP42</f>
        <v>344.35069999999996</v>
      </c>
      <c r="FQ43" s="441">
        <f>FQ41-FQ42</f>
        <v>344.65959999999995</v>
      </c>
      <c r="FR43" s="441">
        <f>FR41-FR42</f>
        <v>344.96849999999995</v>
      </c>
      <c r="FS43" s="441">
        <f>FS41-FS42</f>
        <v>345</v>
      </c>
      <c r="FV43" s="441">
        <f>FV41-FV42</f>
        <v>345</v>
      </c>
      <c r="FW43" s="441">
        <f>FW41-FW42</f>
        <v>345</v>
      </c>
      <c r="FX43" s="441">
        <f>FX41-FX42</f>
        <v>345</v>
      </c>
      <c r="FY43" s="441">
        <f>FY41-FY42</f>
        <v>345</v>
      </c>
      <c r="GB43" s="441">
        <f>GB41-GB42</f>
        <v>345</v>
      </c>
      <c r="GC43" s="441">
        <f>GC41-GC42</f>
        <v>345</v>
      </c>
      <c r="GD43" s="441">
        <f>GD41-GD42</f>
        <v>345</v>
      </c>
      <c r="GE43" s="441">
        <f>GE41-GE42</f>
        <v>345</v>
      </c>
      <c r="GH43" s="441">
        <f>GH41-GH42</f>
        <v>345</v>
      </c>
      <c r="GI43" s="441">
        <f>GI41-GI42</f>
        <v>345</v>
      </c>
      <c r="GJ43" s="441">
        <f>GJ41-GJ42</f>
        <v>345</v>
      </c>
      <c r="GK43" s="441">
        <f>GK41-GK42</f>
        <v>0</v>
      </c>
      <c r="GN43" s="441">
        <f>GN41-GN42</f>
        <v>0</v>
      </c>
      <c r="GO43" s="441">
        <f>GO41-GO42</f>
        <v>0</v>
      </c>
      <c r="GP43" s="441">
        <f>GP41-GP42</f>
        <v>0</v>
      </c>
      <c r="GQ43" s="441">
        <f>GQ41-GQ42</f>
        <v>0</v>
      </c>
      <c r="GT43" s="441">
        <f>GT41-GT42</f>
        <v>0</v>
      </c>
      <c r="GU43" s="441">
        <f>GU41-GU42</f>
        <v>0</v>
      </c>
      <c r="GV43" s="441">
        <f>GV41-GV42</f>
        <v>0</v>
      </c>
      <c r="GW43" s="441">
        <f>GW41-GW42</f>
        <v>0</v>
      </c>
      <c r="GZ43" s="441">
        <f>GZ41-GZ42</f>
        <v>0</v>
      </c>
      <c r="HA43" s="441">
        <f>HA41-HA42</f>
        <v>0</v>
      </c>
      <c r="HB43" s="441">
        <f>HB41-HB42</f>
        <v>0</v>
      </c>
      <c r="HC43" s="441">
        <f>HC41-HC42</f>
        <v>0</v>
      </c>
      <c r="HF43" s="441">
        <f>HF41-HF42</f>
        <v>0</v>
      </c>
      <c r="HG43" s="441">
        <f>HG41-HG42</f>
        <v>0</v>
      </c>
      <c r="HH43" s="441">
        <f>HH41-HH42</f>
        <v>0</v>
      </c>
      <c r="HI43" s="441">
        <f>HI41-HI42</f>
        <v>0</v>
      </c>
    </row>
    <row r="44" spans="1:217" s="58" customFormat="1">
      <c r="EX44" s="441"/>
      <c r="FA44" s="442"/>
      <c r="FD44" s="828"/>
      <c r="FJ44" s="441"/>
      <c r="FP44" s="441"/>
      <c r="FV44" s="441"/>
      <c r="GB44" s="441"/>
      <c r="GH44" s="441"/>
      <c r="GN44" s="441"/>
      <c r="GT44" s="441"/>
      <c r="GZ44" s="441"/>
      <c r="HF44" s="441"/>
    </row>
    <row r="45" spans="1:217" s="58" customFormat="1">
      <c r="B45" s="58" t="s">
        <v>594</v>
      </c>
      <c r="DK45" s="441"/>
      <c r="DN45" s="55">
        <f>SUM(DN17,DN21,DN25)</f>
        <v>1.4008746249999997</v>
      </c>
      <c r="DO45" s="55">
        <f>SUM(DO17,DO21,DO25)</f>
        <v>1.3842010625000001</v>
      </c>
      <c r="DP45" s="55">
        <f>SUM(DP17,DP21,DP25)</f>
        <v>1.3733051875</v>
      </c>
      <c r="DQ45" s="55">
        <f>SUM(DQ17,DQ21,DQ25)</f>
        <v>1.3457006874999999</v>
      </c>
      <c r="DR45" s="55">
        <f>SUM(DN45:DQ45)</f>
        <v>5.5040815624999997</v>
      </c>
      <c r="DT45" s="55">
        <f>SUM(DT17,DT21,DT25,DT29,DT34)</f>
        <v>1.3079375</v>
      </c>
      <c r="DU45" s="55">
        <f>SUM(DU17,DU21,DU25,DU29,DU34)</f>
        <v>1.3137553749999999</v>
      </c>
      <c r="DV45" s="55">
        <f>SUM(DV17,DV21,DV25,DV29,DV34)</f>
        <v>0.69929109999999994</v>
      </c>
      <c r="DW45" s="55">
        <f>SUM(DW17,DW21,DW25,DW29,DW34)</f>
        <v>0.68357296249999999</v>
      </c>
      <c r="DX45" s="55">
        <f>SUM(DX29,DX34)</f>
        <v>1.88671875</v>
      </c>
      <c r="DZ45" s="55">
        <f>SUM(DZ17,DZ21,DZ25,DZ29,DZ34)</f>
        <v>0.66929099999999997</v>
      </c>
      <c r="EA45" s="55">
        <f>SUM(EA17,EA21,EA25,EA29,EA34)</f>
        <v>0.87603503750000011</v>
      </c>
      <c r="EB45" s="55">
        <f>SUM(EB17,EB21,EB25,EB29,EB34)</f>
        <v>0.86955383750000004</v>
      </c>
      <c r="EC45" s="55">
        <f>SUM(EC17,EC21,EC25,EC29,EC34)</f>
        <v>0.86246502500000011</v>
      </c>
      <c r="ED45" s="55">
        <f>SUM(ED29,ED34)</f>
        <v>3.1625000000000001</v>
      </c>
      <c r="EF45" s="55">
        <f>SUM(EF17,EF21,EF25,EF29,EF34)</f>
        <v>0.85574446249999991</v>
      </c>
      <c r="EG45" s="55">
        <f>SUM(EG17,EG21,EG25,EG29,EG34)</f>
        <v>0.85085901249999996</v>
      </c>
      <c r="EH45" s="55">
        <f>SUM(EH17,EH21,EH25,EH29,EH34)</f>
        <v>0.84777184999999999</v>
      </c>
      <c r="EI45" s="55">
        <f>SUM(EI17,EI21,EI25,EI29,EI34)</f>
        <v>0.84568510000000008</v>
      </c>
      <c r="EJ45" s="55">
        <f>SUM(EJ29,EJ34)</f>
        <v>3.3781249999999998</v>
      </c>
      <c r="EL45" s="55">
        <f>SUM(EL17,EL21,EL25,EL29,EL34)</f>
        <v>0.84519410000000006</v>
      </c>
      <c r="EM45" s="55">
        <f>SUM(EM17,EM21,EM25,EM29,EM34)</f>
        <v>0.8448319875000001</v>
      </c>
      <c r="EN45" s="55">
        <f>SUM(EN17,EN21,EN25,EN29,EN34)</f>
        <v>0.8446233125</v>
      </c>
      <c r="EO45" s="55">
        <f>SUM(EO17,EO21,EO25,EO29,EO34)</f>
        <v>0.84455579999999997</v>
      </c>
      <c r="EP45" s="55"/>
      <c r="ER45" s="55">
        <f>SUM(ER17,ER21,ER25,ER29,ER34)</f>
        <v>0.84453124999999996</v>
      </c>
      <c r="ES45" s="55">
        <f>SUM(ES17,ES21,ES25,ES29,ES34)</f>
        <v>0.84453124999999996</v>
      </c>
      <c r="ET45" s="55">
        <f>SUM(ET17,ET21,ET25,ET29,ET34)</f>
        <v>0.84453124999999996</v>
      </c>
      <c r="EU45" s="55">
        <f>SUM(EU17,EU21,EU25,EU29,EU34)</f>
        <v>0.84453124999999996</v>
      </c>
      <c r="EV45" s="55"/>
      <c r="EX45" s="55">
        <f>SUM(EX17,EX21,EX25,EX29,EX34)</f>
        <v>0.84453124999999996</v>
      </c>
      <c r="EY45" s="55">
        <f>SUM(EY17,EY21,EY25,EY29,EY34)</f>
        <v>0.84453124999999996</v>
      </c>
      <c r="EZ45" s="55">
        <f>SUM(EZ17,EZ21,EZ25,EZ29,EZ34)</f>
        <v>0.21562500000000001</v>
      </c>
      <c r="FA45" s="639">
        <f>SUM(FA17,FA21,FA25,FA29,FA34)</f>
        <v>0.21562500000000001</v>
      </c>
      <c r="FD45" s="639">
        <f>SUM(FD17,FD21,FD25,FD29,FD34)+0.4</f>
        <v>0.61562500000000009</v>
      </c>
      <c r="FE45" s="55">
        <f t="shared" ref="FE45:FG45" si="35">SUM(FE17,FE21,FE25,FE29,FE34)+0.4</f>
        <v>0.61562500000000009</v>
      </c>
      <c r="FF45" s="55">
        <f t="shared" si="35"/>
        <v>0.61562500000000009</v>
      </c>
      <c r="FG45" s="55">
        <f t="shared" si="35"/>
        <v>0.61562500000000009</v>
      </c>
      <c r="FJ45" s="55">
        <f>SUM(FJ17,FJ21,FJ25,FJ29,FJ34)</f>
        <v>0.21562500000000001</v>
      </c>
      <c r="FK45" s="55">
        <f>SUM(FK17,FK21,FK25,FK29,FK34)</f>
        <v>0.21562500000000001</v>
      </c>
      <c r="FL45" s="55">
        <f>SUM(FL17,FL21,FL25,FL29,FL34)</f>
        <v>0.21562500000000001</v>
      </c>
      <c r="FM45" s="55">
        <f>SUM(FM17,FM21,FM25,FM29,FM34)</f>
        <v>2.3718750000000002</v>
      </c>
      <c r="FP45" s="55">
        <f>SUM(FP17,FP21,FP25,FP29,FP34)</f>
        <v>4.5281250000000002</v>
      </c>
      <c r="FQ45" s="55">
        <f>SUM(FQ17,FQ21,FQ25,FQ29,FQ34)</f>
        <v>4.5281250000000002</v>
      </c>
      <c r="FR45" s="55">
        <f>SUM(FR17,FR21,FR25,FR29,FR34)</f>
        <v>4.5281250000000002</v>
      </c>
      <c r="FS45" s="55">
        <f>SUM(FS17,FS21,FS25,FS29,FS34)</f>
        <v>4.5281250000000002</v>
      </c>
      <c r="FV45" s="55">
        <f>SUM(FV17,FV21,FV25,FV29,FV34)</f>
        <v>4.3125</v>
      </c>
      <c r="FW45" s="55">
        <f>SUM(FW17,FW21,FW25,FW29,FW34)</f>
        <v>4.3125</v>
      </c>
      <c r="FX45" s="55">
        <f>SUM(FX17,FX21,FX25,FX29,FX34)</f>
        <v>4.3125</v>
      </c>
      <c r="FY45" s="55">
        <f>SUM(FY17,FY21,FY25,FY29,FY34)</f>
        <v>4.3125</v>
      </c>
      <c r="GB45" s="55">
        <f>SUM(GB17,GB21,GB25,GB29,GB34)</f>
        <v>4.3125</v>
      </c>
      <c r="GC45" s="55">
        <f>SUM(GC17,GC21,GC25,GC29,GC34)</f>
        <v>4.3125</v>
      </c>
      <c r="GD45" s="55">
        <f>SUM(GD17,GD21,GD25,GD29,GD34)</f>
        <v>4.3125</v>
      </c>
      <c r="GE45" s="55">
        <f>SUM(GE17,GE21,GE25,GE29,GE34)</f>
        <v>4.3125</v>
      </c>
      <c r="GH45" s="55">
        <f>SUM(GH17,GH21,GH25,GH29,GH34)</f>
        <v>4.3125</v>
      </c>
      <c r="GI45" s="55">
        <f>SUM(GI17,GI21,GI25,GI29,GI34)</f>
        <v>4.3125</v>
      </c>
      <c r="GJ45" s="55">
        <f>SUM(GJ17,GJ21,GJ25,GJ29,GJ34)</f>
        <v>4.3125</v>
      </c>
      <c r="GK45" s="55">
        <f>SUM(GK17,GK21,GK25,GK29,GK34)</f>
        <v>2.15625</v>
      </c>
      <c r="GN45" s="55">
        <f>SUM(GN17,GN21,GN25,GN29,GN34)</f>
        <v>0</v>
      </c>
      <c r="GO45" s="55">
        <f>SUM(GO17,GO21,GO25,GO29,GO34)</f>
        <v>0</v>
      </c>
      <c r="GP45" s="55">
        <f>SUM(GP17,GP21,GP25,GP29,GP34)</f>
        <v>0</v>
      </c>
      <c r="GQ45" s="55">
        <f>SUM(GQ17,GQ21,GQ25,GQ29,GQ34)</f>
        <v>0</v>
      </c>
      <c r="GT45" s="55">
        <f>SUM(GT17,GT21,GT25,GT29,GT34)</f>
        <v>0</v>
      </c>
      <c r="GU45" s="55">
        <f>SUM(GU17,GU21,GU25,GU29,GU34)</f>
        <v>0</v>
      </c>
      <c r="GV45" s="55">
        <f>SUM(GV17,GV21,GV25,GV29,GV34)</f>
        <v>0</v>
      </c>
      <c r="GW45" s="55">
        <f>SUM(GW17,GW21,GW25,GW29,GW34)</f>
        <v>0</v>
      </c>
      <c r="GZ45" s="55">
        <f>SUM(GZ17,GZ21,GZ25,GZ29,GZ34)</f>
        <v>0</v>
      </c>
      <c r="HA45" s="55">
        <f>SUM(HA17,HA21,HA25,HA29,HA34)</f>
        <v>0</v>
      </c>
      <c r="HB45" s="55">
        <f>SUM(HB17,HB21,HB25,HB29,HB34)</f>
        <v>0</v>
      </c>
      <c r="HC45" s="55">
        <f>SUM(HC17,HC21,HC25,HC29,HC34)</f>
        <v>0</v>
      </c>
      <c r="HF45" s="55">
        <f>SUM(HF17,HF21,HF25,HF29,HF34)</f>
        <v>0</v>
      </c>
      <c r="HG45" s="55">
        <f>SUM(HG17,HG21,HG25,HG29,HG34)</f>
        <v>0</v>
      </c>
      <c r="HH45" s="55">
        <f>SUM(HH17,HH21,HH25,HH29,HH34)</f>
        <v>0</v>
      </c>
      <c r="HI45" s="55">
        <f>SUM(HI17,HI21,HI25,HI29,HI34)</f>
        <v>0</v>
      </c>
    </row>
    <row r="46" spans="1:217" s="58" customFormat="1">
      <c r="B46" s="58" t="s">
        <v>596</v>
      </c>
      <c r="DK46" s="441"/>
      <c r="DN46" s="55"/>
      <c r="DO46" s="55"/>
      <c r="DP46" s="55"/>
      <c r="DQ46" s="55"/>
      <c r="DR46" s="55"/>
      <c r="DT46" s="55"/>
      <c r="DU46" s="55"/>
      <c r="DV46" s="55">
        <f>(DU30-DV30)+(DU34-DV34)</f>
        <v>1.8969999999999914</v>
      </c>
      <c r="DW46" s="55">
        <f>(DV30-DW30)+(DV34-DW34)</f>
        <v>1.6800000000000068</v>
      </c>
      <c r="DX46" s="55"/>
      <c r="DZ46" s="55">
        <f>(DW30-DZ30)+(DW34-DZ34)</f>
        <v>27.539999999999992</v>
      </c>
      <c r="EA46" s="55">
        <f>(DZ30-EA30)+(DZ34-EA34)</f>
        <v>0.11337500000000772</v>
      </c>
      <c r="EB46" s="55">
        <f>(EA30-EB30)+(EA34-EB34)</f>
        <v>0.33199999999999363</v>
      </c>
      <c r="EC46" s="55">
        <f>(EB30-EC30)+(EB34-EC34)</f>
        <v>0.33299999999999841</v>
      </c>
      <c r="ED46" s="55">
        <f>SUM(DZ46:EC46)</f>
        <v>28.318374999999993</v>
      </c>
      <c r="EF46" s="55">
        <f>(EC30-EF30)+(EC34-EF34)</f>
        <v>0.44900000000000251</v>
      </c>
      <c r="EG46" s="55">
        <f>(EF30-EG30)+(EF34-EG34)</f>
        <v>0.44900000000000295</v>
      </c>
      <c r="EH46" s="55">
        <f>(EG30-EH30)+(EG34-EH34)</f>
        <v>0.44900000000000295</v>
      </c>
      <c r="EI46" s="55">
        <f>(EH30-EI30)+(EH34-EI34)</f>
        <v>0</v>
      </c>
      <c r="EJ46" s="55">
        <f>SUM(EF46:EI46)</f>
        <v>1.3470000000000084</v>
      </c>
      <c r="EL46" s="55">
        <f>(EI30-EL30)+(EI34-EL34)</f>
        <v>0.45833333333333348</v>
      </c>
      <c r="EM46" s="55">
        <f>(EL30-EM30)+(EL34-EM34)</f>
        <v>0.45833333333333348</v>
      </c>
      <c r="EN46" s="55">
        <f>(EM30-EN30)+(EM34-EN34)</f>
        <v>0.45833333333333326</v>
      </c>
      <c r="EO46" s="55">
        <f>(EN30-EO30)+(EN34-EO34)</f>
        <v>-2.2204460492503131E-16</v>
      </c>
      <c r="ER46" s="55">
        <f>(EO30-ER30)+(EO34-ER34)</f>
        <v>0.2342499999999994</v>
      </c>
      <c r="ES46" s="55">
        <f>(ER30-ES30)+(ER34-ES34)</f>
        <v>0</v>
      </c>
      <c r="ET46" s="55">
        <f>(ES30-ET30)+(ES34-ET34)</f>
        <v>0.2342499999999994</v>
      </c>
      <c r="EU46" s="55">
        <f>(ET30-EU30)+(ET34-EU34)</f>
        <v>0.93249999999998323</v>
      </c>
      <c r="EX46" s="55">
        <f>(EU30-EX30)+(EU34-EX34)</f>
        <v>0.2342499999999994</v>
      </c>
      <c r="EY46" s="55">
        <f>(EX30-EY30)+(EX34-EY34)</f>
        <v>0.23875000000001378</v>
      </c>
      <c r="EZ46" s="55">
        <f>(EY30-EZ30)+(EY34-EZ34)</f>
        <v>0</v>
      </c>
      <c r="FA46" s="639">
        <f>(EZ30-FA30)+(EZ34-FA34)</f>
        <v>0</v>
      </c>
      <c r="FD46" s="639">
        <f>(FA30-FD30)+(FA34-FD34)</f>
        <v>0</v>
      </c>
      <c r="FE46" s="55">
        <f>(FD30-FE30)+(FD34-FE34)</f>
        <v>0</v>
      </c>
      <c r="FF46" s="55">
        <f>(FE30-FF30)+(FE34-FF34)</f>
        <v>0</v>
      </c>
      <c r="FG46" s="55">
        <f>(FF30-FG30)+(FF34-FG34)</f>
        <v>0</v>
      </c>
      <c r="FJ46" s="55">
        <f>(FG30-FJ30)+(FG34-FJ34)</f>
        <v>0</v>
      </c>
      <c r="FK46" s="55">
        <f>(FJ30-FK30)+(FJ34-FK34)</f>
        <v>0</v>
      </c>
      <c r="FL46" s="55">
        <f>(FK30-FL30)+(FK34-FL34)</f>
        <v>0</v>
      </c>
      <c r="FM46" s="55">
        <f>(FL30-FM30)+(FL34-FM34)</f>
        <v>0</v>
      </c>
      <c r="FP46" s="55">
        <f>(FM30-FP30)+(FM34-FP34)</f>
        <v>0</v>
      </c>
      <c r="FQ46" s="55">
        <f>(FP30-FQ30)+(FP34-FQ34)</f>
        <v>0</v>
      </c>
      <c r="FR46" s="55">
        <f>(FQ30-FR30)+(FQ34-FR34)</f>
        <v>0</v>
      </c>
      <c r="FS46" s="55">
        <f>(FR30-FS30)+(FR34-FS34)</f>
        <v>0</v>
      </c>
      <c r="FV46" s="55">
        <f>(FS30-FV30)+(FS34-FV34)</f>
        <v>0.21562500000000001</v>
      </c>
      <c r="FW46" s="55">
        <f>(FV30-FW30)+(FV34-FW34)</f>
        <v>0</v>
      </c>
      <c r="FX46" s="55">
        <f>(FW30-FX30)+(FW34-FX34)</f>
        <v>0</v>
      </c>
      <c r="FY46" s="55">
        <f>(FX30-FY30)+(FX34-FY34)</f>
        <v>0</v>
      </c>
      <c r="GB46" s="55">
        <f>(FY30-GB30)+(FY34-GB34)</f>
        <v>0</v>
      </c>
      <c r="GC46" s="55">
        <f>(GB30-GC30)+(GB34-GC34)</f>
        <v>0</v>
      </c>
      <c r="GD46" s="55">
        <f>(GC30-GD30)+(GC34-GD34)</f>
        <v>0</v>
      </c>
      <c r="GE46" s="55">
        <f>(GD30-GE30)+(GD34-GE34)</f>
        <v>0</v>
      </c>
      <c r="GH46" s="55">
        <f>(GE30-GH30)+(GE34-GH34)</f>
        <v>0</v>
      </c>
      <c r="GI46" s="55">
        <f>(GH30-GI30)+(GH34-GI34)</f>
        <v>0</v>
      </c>
      <c r="GJ46" s="55">
        <f>(GI30-GJ30)+(GI34-GJ34)</f>
        <v>0</v>
      </c>
      <c r="GK46" s="55">
        <f>(GJ30-GK30)+(GJ34-GK34)</f>
        <v>0</v>
      </c>
      <c r="GN46" s="55">
        <f>(GK30-GN30)+(GK34-GN34)</f>
        <v>0</v>
      </c>
      <c r="GO46" s="55">
        <f>(GN30-GO30)+(GN34-GO34)</f>
        <v>0</v>
      </c>
      <c r="GP46" s="55">
        <f>(GO30-GP30)+(GO34-GP34)</f>
        <v>0</v>
      </c>
      <c r="GQ46" s="55">
        <f>(GP30-GQ30)+(GP34-GQ34)</f>
        <v>0</v>
      </c>
      <c r="GT46" s="55">
        <f>(GQ30-GT30)+(GQ34-GT34)</f>
        <v>0</v>
      </c>
      <c r="GU46" s="55">
        <f>(GT30-GU30)+(GT34-GU34)</f>
        <v>0</v>
      </c>
      <c r="GV46" s="55">
        <f>(GU30-GV30)+(GU34-GV34)</f>
        <v>0</v>
      </c>
      <c r="GW46" s="55">
        <f>(GV30-GW30)+(GV34-GW34)</f>
        <v>0</v>
      </c>
      <c r="GZ46" s="55">
        <f>(GW30-GZ30)+(GW34-GZ34)</f>
        <v>0</v>
      </c>
      <c r="HA46" s="55">
        <f>(GZ30-HA30)+(GZ34-HA34)</f>
        <v>0</v>
      </c>
      <c r="HB46" s="55">
        <f>(HA30-HB30)+(HA34-HB34)</f>
        <v>0</v>
      </c>
      <c r="HC46" s="55">
        <f>(HB30-HC30)+(HB34-HC34)</f>
        <v>0</v>
      </c>
      <c r="HF46" s="55">
        <f>(HC30-HF30)+(HC34-HF34)</f>
        <v>0</v>
      </c>
      <c r="HG46" s="55">
        <f>(HF30-HG30)+(HF34-HG34)</f>
        <v>0</v>
      </c>
      <c r="HH46" s="55">
        <f>(HG30-HH30)+(HG34-HH34)</f>
        <v>0</v>
      </c>
      <c r="HI46" s="55">
        <f>(HH30-HI30)+(HH34-HI34)</f>
        <v>0</v>
      </c>
    </row>
    <row r="47" spans="1:217" s="58" customFormat="1">
      <c r="B47" s="58" t="s">
        <v>597</v>
      </c>
      <c r="DK47" s="441"/>
      <c r="DN47" s="55"/>
      <c r="DO47" s="55"/>
      <c r="DP47" s="55"/>
      <c r="DQ47" s="55"/>
      <c r="DR47" s="55"/>
      <c r="DT47" s="55">
        <f>SUM(DT45:DT46)</f>
        <v>1.3079375</v>
      </c>
      <c r="DU47" s="55">
        <f>SUM(DU45:DU46)</f>
        <v>1.3137553749999999</v>
      </c>
      <c r="DV47" s="55">
        <f>SUM(DV45:DV46)</f>
        <v>2.5962910999999913</v>
      </c>
      <c r="DW47" s="55">
        <f>SUM(DW45:DW46)</f>
        <v>2.3635729625000068</v>
      </c>
      <c r="DX47" s="55">
        <f>SUM(DT47:DW47)</f>
        <v>7.5815569374999985</v>
      </c>
      <c r="DZ47" s="55">
        <f>SUM(DZ45:DZ46)</f>
        <v>28.209290999999993</v>
      </c>
      <c r="EA47" s="55">
        <f>SUM(EA45:EA46)</f>
        <v>0.98941003750000789</v>
      </c>
      <c r="EB47" s="55">
        <f>SUM(EB45:EB46)</f>
        <v>1.2015538374999937</v>
      </c>
      <c r="EC47" s="55">
        <f>SUM(EC45:EC46)</f>
        <v>1.1954650249999985</v>
      </c>
      <c r="ED47" s="55">
        <f>SUM(DZ47:EC47)</f>
        <v>31.595719899999992</v>
      </c>
      <c r="EF47" s="55">
        <f>SUM(EF45:EF46)</f>
        <v>1.3047444625000024</v>
      </c>
      <c r="EG47" s="55">
        <f>SUM(EG45:EG46)</f>
        <v>1.2998590125000029</v>
      </c>
      <c r="EH47" s="55">
        <f>SUM(EH45:EH46)</f>
        <v>1.2967718500000029</v>
      </c>
      <c r="EI47" s="55">
        <f>SUM(EI45:EI46)</f>
        <v>0.84568510000000008</v>
      </c>
      <c r="EJ47" s="55">
        <f>SUM(EF47:EI47)</f>
        <v>4.7470604250000088</v>
      </c>
      <c r="EL47" s="55">
        <f>SUM(EL45:EL46)</f>
        <v>1.3035274333333335</v>
      </c>
      <c r="EM47" s="55">
        <f>SUM(EM45:EM46)</f>
        <v>1.3031653208333336</v>
      </c>
      <c r="EN47" s="55">
        <f>SUM(EN45:EN46)</f>
        <v>1.3029566458333333</v>
      </c>
      <c r="EO47" s="55">
        <f>SUM(EO45:EO46)</f>
        <v>0.84455579999999975</v>
      </c>
      <c r="ER47" s="55">
        <f>SUM(ER45:ER46)</f>
        <v>1.0787812499999994</v>
      </c>
      <c r="ES47" s="55">
        <f>SUM(ES45:ES46)</f>
        <v>0.84453124999999996</v>
      </c>
      <c r="ET47" s="55">
        <f>SUM(ET45:ET46)</f>
        <v>1.0787812499999994</v>
      </c>
      <c r="EU47" s="55">
        <f>SUM(EU45:EU46)</f>
        <v>1.7770312499999832</v>
      </c>
      <c r="EX47" s="55">
        <f>SUM(EX45:EX46)</f>
        <v>1.0787812499999994</v>
      </c>
      <c r="EY47" s="55">
        <f>SUM(EY45:EY46)</f>
        <v>1.0832812500000137</v>
      </c>
      <c r="EZ47" s="55">
        <f>SUM(EZ45:EZ46)</f>
        <v>0.21562500000000001</v>
      </c>
      <c r="FA47" s="639">
        <f>SUM(FA45:FA46)</f>
        <v>0.21562500000000001</v>
      </c>
      <c r="FD47" s="639">
        <f>SUM(FD45:FD46)</f>
        <v>0.61562500000000009</v>
      </c>
      <c r="FE47" s="55">
        <f>SUM(FE45:FE46)</f>
        <v>0.61562500000000009</v>
      </c>
      <c r="FF47" s="55">
        <f>SUM(FF45:FF46)</f>
        <v>0.61562500000000009</v>
      </c>
      <c r="FG47" s="55">
        <f>SUM(FG45:FG46)</f>
        <v>0.61562500000000009</v>
      </c>
      <c r="FJ47" s="55">
        <f>SUM(FJ45:FJ46)</f>
        <v>0.21562500000000001</v>
      </c>
      <c r="FK47" s="55">
        <f>SUM(FK45:FK46)</f>
        <v>0.21562500000000001</v>
      </c>
      <c r="FL47" s="55">
        <f>SUM(FL45:FL46)</f>
        <v>0.21562500000000001</v>
      </c>
      <c r="FM47" s="55">
        <f>SUM(FM45:FM46)</f>
        <v>2.3718750000000002</v>
      </c>
      <c r="FP47" s="55">
        <f>SUM(FP45:FP46)</f>
        <v>4.5281250000000002</v>
      </c>
      <c r="FQ47" s="55">
        <f>SUM(FQ45:FQ46)</f>
        <v>4.5281250000000002</v>
      </c>
      <c r="FR47" s="55">
        <f>SUM(FR45:FR46)</f>
        <v>4.5281250000000002</v>
      </c>
      <c r="FS47" s="55">
        <f>SUM(FS45:FS46)</f>
        <v>4.5281250000000002</v>
      </c>
      <c r="FV47" s="55">
        <f>SUM(FV45:FV46)</f>
        <v>4.5281250000000002</v>
      </c>
      <c r="FW47" s="55">
        <f>SUM(FW45:FW46)</f>
        <v>4.3125</v>
      </c>
      <c r="FX47" s="55">
        <f>SUM(FX45:FX46)</f>
        <v>4.3125</v>
      </c>
      <c r="FY47" s="55">
        <f>SUM(FY45:FY46)</f>
        <v>4.3125</v>
      </c>
      <c r="GB47" s="55">
        <f>SUM(GB45:GB46)</f>
        <v>4.3125</v>
      </c>
      <c r="GC47" s="55">
        <f>SUM(GC45:GC46)</f>
        <v>4.3125</v>
      </c>
      <c r="GD47" s="55">
        <f>SUM(GD45:GD46)</f>
        <v>4.3125</v>
      </c>
      <c r="GE47" s="55">
        <f>SUM(GE45:GE46)</f>
        <v>4.3125</v>
      </c>
      <c r="GH47" s="55">
        <f>SUM(GH45:GH46)</f>
        <v>4.3125</v>
      </c>
      <c r="GI47" s="55">
        <f>SUM(GI45:GI46)</f>
        <v>4.3125</v>
      </c>
      <c r="GJ47" s="55">
        <f>SUM(GJ45:GJ46)</f>
        <v>4.3125</v>
      </c>
      <c r="GK47" s="55">
        <f>SUM(GK45:GK46)</f>
        <v>2.15625</v>
      </c>
      <c r="GN47" s="55">
        <f>SUM(GN45:GN46)</f>
        <v>0</v>
      </c>
      <c r="GO47" s="55">
        <f>SUM(GO45:GO46)</f>
        <v>0</v>
      </c>
      <c r="GP47" s="55">
        <f>SUM(GP45:GP46)</f>
        <v>0</v>
      </c>
      <c r="GQ47" s="55">
        <f>SUM(GQ45:GQ46)</f>
        <v>0</v>
      </c>
      <c r="GT47" s="55">
        <f>SUM(GT45:GT46)</f>
        <v>0</v>
      </c>
      <c r="GU47" s="55">
        <f>SUM(GU45:GU46)</f>
        <v>0</v>
      </c>
      <c r="GV47" s="55">
        <f>SUM(GV45:GV46)</f>
        <v>0</v>
      </c>
      <c r="GW47" s="55">
        <f>SUM(GW45:GW46)</f>
        <v>0</v>
      </c>
      <c r="GZ47" s="55">
        <f>SUM(GZ45:GZ46)</f>
        <v>0</v>
      </c>
      <c r="HA47" s="55">
        <f>SUM(HA45:HA46)</f>
        <v>0</v>
      </c>
      <c r="HB47" s="55">
        <f>SUM(HB45:HB46)</f>
        <v>0</v>
      </c>
      <c r="HC47" s="55">
        <f>SUM(HC45:HC46)</f>
        <v>0</v>
      </c>
      <c r="HF47" s="55">
        <f>SUM(HF45:HF46)</f>
        <v>0</v>
      </c>
      <c r="HG47" s="55">
        <f>SUM(HG45:HG46)</f>
        <v>0</v>
      </c>
      <c r="HH47" s="55">
        <f>SUM(HH45:HH46)</f>
        <v>0</v>
      </c>
      <c r="HI47" s="55">
        <f>SUM(HI45:HI46)</f>
        <v>0</v>
      </c>
    </row>
    <row r="48" spans="1:217" s="58" customFormat="1">
      <c r="B48" s="58" t="s">
        <v>592</v>
      </c>
      <c r="DH48" s="58">
        <f>IS!DH57</f>
        <v>1.486</v>
      </c>
      <c r="DI48" s="58">
        <f>IS!DI57</f>
        <v>1.407</v>
      </c>
      <c r="DJ48" s="58">
        <f>IS!DJ57</f>
        <v>1.873</v>
      </c>
      <c r="DK48" s="58">
        <f>IS!DK57</f>
        <v>1.464</v>
      </c>
      <c r="DL48" s="58">
        <f>SUM(DH48:DK48)</f>
        <v>6.23</v>
      </c>
      <c r="DN48" s="55">
        <f>IS!DN57</f>
        <v>1.8260000000000001</v>
      </c>
      <c r="DO48" s="55">
        <f>IS!DO57</f>
        <v>1.304</v>
      </c>
      <c r="DP48" s="55">
        <f>IS!DP57</f>
        <v>0.20300000000000001</v>
      </c>
      <c r="DQ48" s="55">
        <f>IS!DQ57</f>
        <v>0.38</v>
      </c>
      <c r="DR48" s="55">
        <f>SUM(DN48:DQ48)</f>
        <v>3.7129999999999996</v>
      </c>
      <c r="DT48" s="55">
        <f>IS!DT57</f>
        <v>0.81899999999999995</v>
      </c>
      <c r="DU48" s="55">
        <f>IS!DU57</f>
        <v>1.548</v>
      </c>
      <c r="DV48" s="55">
        <f>IS!DV57</f>
        <v>2.4580000000000002</v>
      </c>
      <c r="DW48" s="55">
        <f>IS!DW57</f>
        <v>2.194</v>
      </c>
      <c r="DX48" s="55">
        <f>SUM(DT48:DW48)</f>
        <v>7.0190000000000001</v>
      </c>
      <c r="DZ48" s="55">
        <f>IS!DZ57</f>
        <v>1.177</v>
      </c>
      <c r="EA48" s="55">
        <f>IS!EA57</f>
        <v>0.90200000000000002</v>
      </c>
      <c r="EB48" s="55">
        <f>IS!EB57</f>
        <v>1.296</v>
      </c>
      <c r="EC48" s="55">
        <f>IS!EC57</f>
        <v>1.7070000000000001</v>
      </c>
      <c r="ED48" s="55">
        <f>SUM(DZ48:EC48)</f>
        <v>5.0819999999999999</v>
      </c>
      <c r="EF48" s="55">
        <f>IS!EF57</f>
        <v>1.3009999999999999</v>
      </c>
      <c r="EG48" s="55">
        <f>IS!EG57</f>
        <v>0.92600000000000005</v>
      </c>
      <c r="EH48" s="55">
        <f>IS!EH57</f>
        <v>0.13900000000000001</v>
      </c>
      <c r="EI48" s="55">
        <f>IS!EI57</f>
        <v>0</v>
      </c>
      <c r="EJ48" s="55">
        <f>SUM(EF48:EI48)</f>
        <v>2.3659999999999997</v>
      </c>
      <c r="EL48" s="55">
        <f>IS!EL57</f>
        <v>0</v>
      </c>
      <c r="EM48" s="55">
        <f>IS!EM57</f>
        <v>0</v>
      </c>
      <c r="EN48" s="55">
        <f>IS!EN57</f>
        <v>0</v>
      </c>
      <c r="EO48" s="55">
        <f>IS!EO57</f>
        <v>1.681</v>
      </c>
      <c r="ER48" s="55">
        <f>IS!ER57</f>
        <v>1.6850000000000001</v>
      </c>
      <c r="ES48" s="55">
        <f>IS!ES57</f>
        <v>1.6659999999999999</v>
      </c>
      <c r="ET48" s="55">
        <f>IS!ET57</f>
        <v>1.6419999999999999</v>
      </c>
      <c r="EU48" s="55">
        <f>IS!EU57</f>
        <v>1.6240000000000001</v>
      </c>
      <c r="EX48" s="55">
        <f>IS!EX57</f>
        <v>1.6180000000000001</v>
      </c>
      <c r="EY48" s="55">
        <f>IS!EY57</f>
        <v>0.93300000000000005</v>
      </c>
      <c r="EZ48" s="55">
        <f>IS!EZ57</f>
        <v>0.60299999999999998</v>
      </c>
      <c r="FA48" s="639">
        <f>IS!FA57</f>
        <v>0.59899999999999998</v>
      </c>
      <c r="FD48" s="639">
        <f>IS!FD57</f>
        <v>0.61562500000000009</v>
      </c>
      <c r="FE48" s="55">
        <f>IS!FE57</f>
        <v>0.61562500000000009</v>
      </c>
      <c r="FF48" s="55">
        <f>IS!FF57</f>
        <v>0.61562500000000009</v>
      </c>
      <c r="FG48" s="55">
        <f>IS!FG57</f>
        <v>0.61562500000000009</v>
      </c>
      <c r="FJ48" s="55">
        <f>IS!FJ57</f>
        <v>0.21562500000000001</v>
      </c>
      <c r="FK48" s="55">
        <f>IS!FK57</f>
        <v>0.21562500000000001</v>
      </c>
      <c r="FL48" s="55">
        <f>IS!FL57</f>
        <v>0.21562500000000001</v>
      </c>
      <c r="FM48" s="55">
        <f>IS!FM57</f>
        <v>2.3718750000000002</v>
      </c>
      <c r="FP48" s="55">
        <f>IS!FP57</f>
        <v>4.5281250000000002</v>
      </c>
      <c r="FQ48" s="55">
        <f>IS!FQ57</f>
        <v>4.5281250000000002</v>
      </c>
      <c r="FR48" s="55">
        <f>IS!FR57</f>
        <v>4.5281250000000002</v>
      </c>
      <c r="FS48" s="55">
        <f>IS!FS57</f>
        <v>4.5281250000000002</v>
      </c>
      <c r="FV48" s="55">
        <f>IS!FV57</f>
        <v>4.5281250000000002</v>
      </c>
      <c r="FW48" s="55">
        <f>IS!FW57</f>
        <v>4.3125</v>
      </c>
      <c r="FX48" s="55">
        <f>IS!FX57</f>
        <v>4.3125</v>
      </c>
      <c r="FY48" s="55">
        <f>IS!FY57</f>
        <v>4.3125</v>
      </c>
      <c r="GB48" s="55">
        <f>IS!GB57</f>
        <v>4.3125</v>
      </c>
      <c r="GC48" s="55">
        <f>IS!GC57</f>
        <v>4.3125</v>
      </c>
      <c r="GD48" s="55">
        <f>IS!GD57</f>
        <v>4.3125</v>
      </c>
      <c r="GE48" s="55">
        <f>IS!GE57</f>
        <v>4.3125</v>
      </c>
      <c r="GH48" s="55">
        <f>IS!GH57</f>
        <v>4.3125</v>
      </c>
      <c r="GI48" s="55">
        <f>IS!GI57</f>
        <v>4.3125</v>
      </c>
      <c r="GJ48" s="55">
        <f>IS!GJ57</f>
        <v>4.3125</v>
      </c>
      <c r="GK48" s="55">
        <f>IS!GK57</f>
        <v>2.15625</v>
      </c>
      <c r="GN48" s="55">
        <f>IS!GN57</f>
        <v>0</v>
      </c>
      <c r="GO48" s="55">
        <f>IS!GO57</f>
        <v>0</v>
      </c>
      <c r="GP48" s="55">
        <f>IS!GP57</f>
        <v>0</v>
      </c>
      <c r="GQ48" s="55">
        <f>IS!GQ57</f>
        <v>0</v>
      </c>
      <c r="GT48" s="55">
        <f>IS!GT57</f>
        <v>0</v>
      </c>
      <c r="GU48" s="55">
        <f>IS!GU57</f>
        <v>0</v>
      </c>
      <c r="GV48" s="55">
        <f>IS!GV57</f>
        <v>0</v>
      </c>
      <c r="GW48" s="55">
        <f>IS!GW57</f>
        <v>0</v>
      </c>
      <c r="GZ48" s="55">
        <f>IS!GZ57</f>
        <v>0</v>
      </c>
      <c r="HA48" s="55">
        <f>IS!HA57</f>
        <v>0</v>
      </c>
      <c r="HB48" s="55">
        <f>IS!HB57</f>
        <v>0</v>
      </c>
      <c r="HC48" s="55">
        <f>IS!HC57</f>
        <v>0</v>
      </c>
      <c r="HF48" s="55">
        <f>IS!HF57</f>
        <v>0</v>
      </c>
      <c r="HG48" s="55">
        <f>IS!HG57</f>
        <v>0</v>
      </c>
      <c r="HH48" s="55">
        <f>IS!HH57</f>
        <v>0</v>
      </c>
      <c r="HI48" s="55">
        <f>IS!HI57</f>
        <v>0</v>
      </c>
    </row>
    <row r="49" spans="1:218" s="58" customFormat="1">
      <c r="DH49" s="437"/>
      <c r="DI49" s="437"/>
      <c r="DJ49" s="437"/>
      <c r="DK49" s="437"/>
      <c r="DZ49" s="437"/>
      <c r="EA49" s="437"/>
      <c r="EB49" s="437"/>
      <c r="EC49" s="437"/>
      <c r="EF49" s="443"/>
      <c r="EG49" s="443"/>
      <c r="EH49" s="443"/>
      <c r="EI49" s="443"/>
      <c r="EL49" s="443"/>
      <c r="EM49" s="443"/>
      <c r="EN49" s="437"/>
      <c r="EO49" s="443"/>
      <c r="EX49" s="441"/>
      <c r="EY49" s="441"/>
      <c r="FA49" s="442"/>
      <c r="FD49" s="828"/>
      <c r="FJ49" s="441"/>
      <c r="FP49" s="441"/>
      <c r="FV49" s="441"/>
      <c r="GB49" s="441"/>
      <c r="GH49" s="441"/>
      <c r="GN49" s="441"/>
      <c r="GT49" s="441"/>
      <c r="GZ49" s="441"/>
      <c r="HF49" s="441"/>
    </row>
    <row r="50" spans="1:218" s="103" customFormat="1">
      <c r="A50" s="440" t="s">
        <v>115</v>
      </c>
      <c r="B50" s="58"/>
      <c r="C50" s="58"/>
      <c r="H50" s="58"/>
      <c r="N50" s="58"/>
      <c r="T50" s="58"/>
      <c r="Z50" s="58"/>
      <c r="AF50" s="58"/>
      <c r="AL50" s="58"/>
      <c r="AR50" s="58"/>
      <c r="AX50" s="58"/>
      <c r="BD50" s="58"/>
      <c r="BJ50" s="58"/>
      <c r="BP50" s="58"/>
      <c r="BV50" s="58"/>
      <c r="CB50" s="58"/>
      <c r="CH50" s="58"/>
      <c r="CN50" s="58"/>
      <c r="CT50" s="58"/>
      <c r="CZ50" s="58"/>
      <c r="DF50" s="58"/>
      <c r="DL50" s="58"/>
      <c r="DR50" s="58"/>
      <c r="DX50" s="58"/>
      <c r="ED50" s="58"/>
      <c r="EJ50" s="58"/>
      <c r="EP50" s="58"/>
      <c r="EV50" s="58"/>
      <c r="EX50" s="444"/>
      <c r="EY50" s="444"/>
      <c r="FA50" s="641"/>
      <c r="FB50" s="58"/>
      <c r="FD50" s="908"/>
      <c r="FH50" s="58"/>
      <c r="FJ50" s="444"/>
      <c r="FN50" s="58"/>
      <c r="FP50" s="444"/>
      <c r="FT50" s="58"/>
      <c r="FV50" s="444"/>
      <c r="FZ50" s="58"/>
      <c r="GB50" s="444"/>
      <c r="GF50" s="58"/>
      <c r="GH50" s="444"/>
      <c r="GL50" s="58"/>
      <c r="GN50" s="444"/>
      <c r="GR50" s="58"/>
      <c r="GT50" s="444"/>
      <c r="GX50" s="58"/>
      <c r="GZ50" s="444"/>
      <c r="HD50" s="58"/>
      <c r="HF50" s="444"/>
      <c r="HJ50" s="58"/>
    </row>
    <row r="51" spans="1:218" s="103" customFormat="1">
      <c r="A51" s="58"/>
      <c r="B51" s="58" t="s">
        <v>116</v>
      </c>
      <c r="C51" s="58"/>
      <c r="H51" s="58"/>
      <c r="N51" s="58"/>
      <c r="P51" s="58"/>
      <c r="T51" s="58"/>
      <c r="V51" s="58"/>
      <c r="W51" s="58"/>
      <c r="X51" s="58"/>
      <c r="Y51" s="58"/>
      <c r="Z51" s="58"/>
      <c r="AB51" s="58"/>
      <c r="AC51" s="58"/>
      <c r="AD51" s="58"/>
      <c r="AE51" s="58"/>
      <c r="AF51" s="58"/>
      <c r="AH51" s="58"/>
      <c r="AI51" s="58"/>
      <c r="AJ51" s="58"/>
      <c r="AK51" s="58"/>
      <c r="AL51" s="58"/>
      <c r="AN51" s="58"/>
      <c r="AO51" s="58"/>
      <c r="AP51" s="58"/>
      <c r="AQ51" s="58"/>
      <c r="AR51" s="58"/>
      <c r="AT51" s="58"/>
      <c r="AU51" s="58"/>
      <c r="AV51" s="58"/>
      <c r="AW51" s="58"/>
      <c r="AX51" s="58"/>
      <c r="AZ51" s="58"/>
      <c r="BA51" s="58"/>
      <c r="BB51" s="58"/>
      <c r="BC51" s="58"/>
      <c r="BD51" s="58"/>
      <c r="BF51" s="58"/>
      <c r="BG51" s="58"/>
      <c r="BH51" s="58"/>
      <c r="BI51" s="58"/>
      <c r="BJ51" s="58"/>
      <c r="BL51" s="58"/>
      <c r="BM51" s="58"/>
      <c r="BN51" s="58"/>
      <c r="BO51" s="58"/>
      <c r="BP51" s="58"/>
      <c r="BR51" s="58"/>
      <c r="BS51" s="58"/>
      <c r="BT51" s="58"/>
      <c r="BU51" s="58"/>
      <c r="BV51" s="58"/>
      <c r="BX51" s="58"/>
      <c r="BY51" s="58"/>
      <c r="BZ51" s="58"/>
      <c r="CA51" s="58"/>
      <c r="CB51" s="58"/>
      <c r="CD51" s="58"/>
      <c r="CE51" s="58"/>
      <c r="CF51" s="58"/>
      <c r="CG51" s="58"/>
      <c r="CH51" s="58"/>
      <c r="CJ51" s="58"/>
      <c r="CK51" s="58"/>
      <c r="CL51" s="58"/>
      <c r="CM51" s="58"/>
      <c r="CN51" s="58"/>
      <c r="CP51" s="58"/>
      <c r="CQ51" s="58"/>
      <c r="CR51" s="58"/>
      <c r="CS51" s="58"/>
      <c r="CT51" s="58"/>
      <c r="CV51" s="58"/>
      <c r="CW51" s="58"/>
      <c r="CX51" s="58"/>
      <c r="CY51" s="58"/>
      <c r="CZ51" s="58"/>
      <c r="DB51" s="58"/>
      <c r="DC51" s="58"/>
      <c r="DD51" s="58"/>
      <c r="DE51" s="58"/>
      <c r="DF51" s="58"/>
      <c r="DH51" s="58">
        <v>931</v>
      </c>
      <c r="DI51" s="58">
        <f>DH55</f>
        <v>40.411000000000001</v>
      </c>
      <c r="DJ51" s="58">
        <f>DI55</f>
        <v>42.872999999999998</v>
      </c>
      <c r="DK51" s="58">
        <f>DJ55</f>
        <v>41.003999999999998</v>
      </c>
      <c r="DL51" s="58">
        <f>DH51</f>
        <v>931</v>
      </c>
      <c r="DN51" s="58">
        <f>DK55</f>
        <v>60.887999999999998</v>
      </c>
      <c r="DO51" s="58">
        <f>DN55</f>
        <v>60.695999999999998</v>
      </c>
      <c r="DP51" s="58">
        <f>DO55</f>
        <v>59.334000000000003</v>
      </c>
      <c r="DQ51" s="58">
        <f>DP55</f>
        <v>62.488</v>
      </c>
      <c r="DR51" s="58">
        <f>DN51</f>
        <v>60.887999999999998</v>
      </c>
      <c r="DT51" s="58">
        <f>DQ55</f>
        <v>64.188000000000002</v>
      </c>
      <c r="DU51" s="58">
        <f>DT55</f>
        <v>83.391999999999996</v>
      </c>
      <c r="DV51" s="58">
        <f>DU55</f>
        <v>83.968999999999994</v>
      </c>
      <c r="DW51" s="58">
        <f>DV55</f>
        <v>85.448999999999998</v>
      </c>
      <c r="DX51" s="58">
        <f>DT51</f>
        <v>64.188000000000002</v>
      </c>
      <c r="DZ51" s="58">
        <f>DW55</f>
        <v>85.873000000000005</v>
      </c>
      <c r="EA51" s="58">
        <f>DZ55</f>
        <v>94.314999999999998</v>
      </c>
      <c r="EB51" s="58">
        <f>EA55</f>
        <v>112.208</v>
      </c>
      <c r="EC51" s="58">
        <f>EB55</f>
        <v>107.172</v>
      </c>
      <c r="ED51" s="58">
        <f>DZ51</f>
        <v>85.873000000000005</v>
      </c>
      <c r="EF51" s="58">
        <f>EC55</f>
        <v>109.465</v>
      </c>
      <c r="EG51" s="58">
        <f>EF55</f>
        <v>108.94199999999999</v>
      </c>
      <c r="EH51" s="58">
        <f>EG55</f>
        <v>111.105</v>
      </c>
      <c r="EI51" s="58">
        <f>EH55</f>
        <v>106.818</v>
      </c>
      <c r="EJ51" s="58">
        <f>EF51</f>
        <v>109.465</v>
      </c>
      <c r="EL51" s="58">
        <f>EI55</f>
        <v>102.499</v>
      </c>
      <c r="EM51" s="58">
        <f>EL55</f>
        <v>102.845</v>
      </c>
      <c r="EN51" s="58">
        <f>EM55</f>
        <v>100.11</v>
      </c>
      <c r="EO51" s="58">
        <f>EN55</f>
        <v>94.516999999999996</v>
      </c>
      <c r="EP51" s="58">
        <f>EL51</f>
        <v>102.499</v>
      </c>
      <c r="ER51" s="58">
        <f>EO55</f>
        <v>92.012</v>
      </c>
      <c r="ES51" s="58">
        <f>ER55</f>
        <v>87.864999999999995</v>
      </c>
      <c r="ET51" s="58">
        <f>ES55</f>
        <v>92.158000000000001</v>
      </c>
      <c r="EU51" s="58">
        <f>ET55</f>
        <v>93.037999999999997</v>
      </c>
      <c r="EV51" s="58">
        <f>ER51</f>
        <v>92.012</v>
      </c>
      <c r="EX51" s="58">
        <f>EU55</f>
        <v>94.102999999999994</v>
      </c>
      <c r="EY51" s="58">
        <f>EX55</f>
        <v>89.602999999999994</v>
      </c>
      <c r="EZ51" s="58">
        <f>EY55</f>
        <v>85.462000000000003</v>
      </c>
      <c r="FA51" s="442">
        <f>EZ55</f>
        <v>85.47</v>
      </c>
      <c r="FB51" s="58">
        <f>EX51</f>
        <v>94.102999999999994</v>
      </c>
      <c r="FD51" s="828">
        <f>FA55</f>
        <v>89.399699999999996</v>
      </c>
      <c r="FE51" s="58">
        <f>FD55</f>
        <v>88.515855000000002</v>
      </c>
      <c r="FF51" s="58">
        <f>FE55</f>
        <v>87.720394499999998</v>
      </c>
      <c r="FG51" s="58">
        <f>FF55</f>
        <v>87.004480049999998</v>
      </c>
      <c r="FH51" s="58">
        <f>FD51</f>
        <v>89.399699999999996</v>
      </c>
      <c r="FJ51" s="441">
        <f>FG55</f>
        <v>86.360157044999994</v>
      </c>
      <c r="FK51" s="58">
        <f>FJ55</f>
        <v>86.465036965500005</v>
      </c>
      <c r="FL51" s="58">
        <f>FK55</f>
        <v>86.559428893950013</v>
      </c>
      <c r="FM51" s="58">
        <f>FL55</f>
        <v>86.644381629555014</v>
      </c>
      <c r="FN51" s="58">
        <f>FJ51</f>
        <v>86.360157044999994</v>
      </c>
      <c r="FP51" s="441">
        <f>FM55</f>
        <v>86.720839091599501</v>
      </c>
      <c r="FQ51" s="58">
        <f>FP55</f>
        <v>87.532626935564551</v>
      </c>
      <c r="FR51" s="58">
        <f>FQ55</f>
        <v>88.263235995133101</v>
      </c>
      <c r="FS51" s="58">
        <f>FR55</f>
        <v>88.920784148744801</v>
      </c>
      <c r="FT51" s="58">
        <f>FP51</f>
        <v>86.720839091599501</v>
      </c>
      <c r="FV51" s="441">
        <f>FS55</f>
        <v>89.512577486995312</v>
      </c>
      <c r="FW51" s="58">
        <f>FV55</f>
        <v>90.851320590436401</v>
      </c>
      <c r="FX51" s="58">
        <f>FW55</f>
        <v>92.056189383533379</v>
      </c>
      <c r="FY51" s="58">
        <f>FX55</f>
        <v>93.140571297320662</v>
      </c>
      <c r="FZ51" s="58">
        <f>FV51</f>
        <v>89.512577486995312</v>
      </c>
      <c r="GB51" s="441">
        <f>FY55</f>
        <v>94.116515019729221</v>
      </c>
      <c r="GC51" s="58">
        <f>GB55</f>
        <v>95.425674097688471</v>
      </c>
      <c r="GD51" s="58">
        <f>GC55</f>
        <v>96.598462438360286</v>
      </c>
      <c r="GE51" s="58">
        <f>GD55</f>
        <v>97.64908532687879</v>
      </c>
      <c r="GF51" s="58">
        <f>GB51</f>
        <v>94.116515019729221</v>
      </c>
      <c r="GH51" s="441">
        <f>GE55</f>
        <v>98.590268331176617</v>
      </c>
      <c r="GI51" s="58">
        <f>GH55</f>
        <v>100.37801327089048</v>
      </c>
      <c r="GJ51" s="58">
        <f>GI55</f>
        <v>101.97953477938415</v>
      </c>
      <c r="GK51" s="58">
        <f>GJ55</f>
        <v>103.41423113074306</v>
      </c>
      <c r="GL51" s="58">
        <f>GH51</f>
        <v>98.590268331176617</v>
      </c>
      <c r="GN51" s="441">
        <f>GK55</f>
        <v>104.69947994550209</v>
      </c>
      <c r="GO51" s="58">
        <f>GN55</f>
        <v>106.33541940968369</v>
      </c>
      <c r="GP51" s="58">
        <f>GO55</f>
        <v>107.79353936688904</v>
      </c>
      <c r="GQ51" s="58">
        <f>GP55</f>
        <v>109.09316802439814</v>
      </c>
      <c r="GR51" s="58">
        <f>GN51</f>
        <v>104.69947994550209</v>
      </c>
      <c r="GT51" s="441">
        <f>GQ55</f>
        <v>110.25153269739539</v>
      </c>
      <c r="GU51" s="58">
        <f>GT55</f>
        <v>112.39037517293183</v>
      </c>
      <c r="GV51" s="58">
        <f>GU55</f>
        <v>114.29673477069257</v>
      </c>
      <c r="GW51" s="58">
        <f>GV55</f>
        <v>115.9958813686967</v>
      </c>
      <c r="GX51" s="58">
        <f>GT51</f>
        <v>110.25153269739539</v>
      </c>
      <c r="GZ51" s="441">
        <f>GW55</f>
        <v>117.5103381190917</v>
      </c>
      <c r="HA51" s="58">
        <f>GZ55</f>
        <v>120.06060990695985</v>
      </c>
      <c r="HB51" s="58">
        <f>HA55</f>
        <v>122.33367823962494</v>
      </c>
      <c r="HC51" s="58">
        <f>HB55</f>
        <v>124.35967392743514</v>
      </c>
      <c r="HD51" s="58">
        <f>GZ51</f>
        <v>117.5103381190917</v>
      </c>
      <c r="HF51" s="441">
        <f>HC55</f>
        <v>126.16545269265725</v>
      </c>
      <c r="HG51" s="58">
        <f>HF55</f>
        <v>129.07741760059824</v>
      </c>
      <c r="HH51" s="58">
        <f>HG55</f>
        <v>131.67286458376304</v>
      </c>
      <c r="HI51" s="58">
        <f>HH55</f>
        <v>133.98619776440992</v>
      </c>
      <c r="HJ51" s="58">
        <f>HF51</f>
        <v>126.16545269265725</v>
      </c>
    </row>
    <row r="52" spans="1:218" s="103" customFormat="1">
      <c r="A52" s="58"/>
      <c r="B52" s="58"/>
      <c r="C52" s="58" t="s">
        <v>117</v>
      </c>
      <c r="H52" s="58"/>
      <c r="N52" s="58"/>
      <c r="P52" s="58"/>
      <c r="T52" s="58"/>
      <c r="V52" s="58"/>
      <c r="W52" s="58"/>
      <c r="X52" s="58"/>
      <c r="Y52" s="58"/>
      <c r="Z52" s="58"/>
      <c r="AB52" s="58"/>
      <c r="AC52" s="58"/>
      <c r="AD52" s="58"/>
      <c r="AE52" s="58"/>
      <c r="AF52" s="58"/>
      <c r="AH52" s="58"/>
      <c r="AI52" s="58"/>
      <c r="AJ52" s="58"/>
      <c r="AK52" s="58"/>
      <c r="AL52" s="58"/>
      <c r="AN52" s="58"/>
      <c r="AO52" s="58"/>
      <c r="AP52" s="58"/>
      <c r="AQ52" s="58"/>
      <c r="AR52" s="58"/>
      <c r="AT52" s="58"/>
      <c r="AU52" s="58"/>
      <c r="AV52" s="58"/>
      <c r="AW52" s="58"/>
      <c r="AX52" s="58"/>
      <c r="AZ52" s="58"/>
      <c r="BA52" s="58"/>
      <c r="BB52" s="58"/>
      <c r="BC52" s="58"/>
      <c r="BD52" s="58"/>
      <c r="BF52" s="58"/>
      <c r="BG52" s="58"/>
      <c r="BH52" s="58"/>
      <c r="BI52" s="58"/>
      <c r="BJ52" s="58"/>
      <c r="BL52" s="58"/>
      <c r="BM52" s="58"/>
      <c r="BN52" s="58"/>
      <c r="BO52" s="58"/>
      <c r="BP52" s="58"/>
      <c r="BR52" s="58"/>
      <c r="BS52" s="58"/>
      <c r="BT52" s="58"/>
      <c r="BU52" s="58"/>
      <c r="BV52" s="58"/>
      <c r="BX52" s="58"/>
      <c r="BY52" s="58"/>
      <c r="BZ52" s="58"/>
      <c r="CA52" s="58"/>
      <c r="CB52" s="58"/>
      <c r="CD52" s="58"/>
      <c r="CE52" s="58"/>
      <c r="CF52" s="58"/>
      <c r="CG52" s="58"/>
      <c r="CH52" s="58"/>
      <c r="CJ52" s="58"/>
      <c r="CK52" s="58"/>
      <c r="CL52" s="58"/>
      <c r="CM52" s="58"/>
      <c r="CN52" s="58"/>
      <c r="CP52" s="58"/>
      <c r="CQ52" s="58"/>
      <c r="CR52" s="58"/>
      <c r="CS52" s="58"/>
      <c r="CT52" s="58"/>
      <c r="CV52" s="58"/>
      <c r="CW52" s="58"/>
      <c r="CX52" s="58"/>
      <c r="CY52" s="58"/>
      <c r="CZ52" s="58"/>
      <c r="DB52" s="58"/>
      <c r="DC52" s="58"/>
      <c r="DD52" s="58"/>
      <c r="DE52" s="58"/>
      <c r="DF52" s="58"/>
      <c r="DH52" s="58">
        <f>DH55-DH51-DH53-DH54</f>
        <v>-891.62199999999996</v>
      </c>
      <c r="DI52" s="58">
        <f>DI55-DI51-DI53-DI54</f>
        <v>1.9959999999999969</v>
      </c>
      <c r="DJ52" s="58">
        <f>DJ55-DJ51-DJ53-DJ54</f>
        <v>1.6000000000000902E-2</v>
      </c>
      <c r="DK52" s="58">
        <f>DK55-DK51-DK53-DK54</f>
        <v>20.991999999999997</v>
      </c>
      <c r="DL52" s="58">
        <f>DL55-DL51-DL53-DL54</f>
        <v>-868.61799999999994</v>
      </c>
      <c r="DN52" s="58">
        <f>DN55-DN51-DN53-DN54</f>
        <v>1.8829999999999996</v>
      </c>
      <c r="DO52" s="58">
        <f>DO55-DO51-DO53-DO54</f>
        <v>0.27800000000000669</v>
      </c>
      <c r="DP52" s="58">
        <f>DP55-DP51-DP53-DP54</f>
        <v>0.6859999999999955</v>
      </c>
      <c r="DQ52" s="58">
        <f>DQ55-DQ51-DQ53-DQ54</f>
        <v>0.77000000000000313</v>
      </c>
      <c r="DR52" s="58">
        <f>DR55-DR51-DR53-DR54</f>
        <v>3.6170000000000044</v>
      </c>
      <c r="DT52" s="58">
        <f>DT55-DT51-DT53-DT54</f>
        <v>20.735999999999994</v>
      </c>
      <c r="DU52" s="58">
        <f>DU55-DU51-DU53-DU54</f>
        <v>1.4879999999999978</v>
      </c>
      <c r="DV52" s="58">
        <f>DV55-DV51-DV53-DV54</f>
        <v>0.15100000000000158</v>
      </c>
      <c r="DW52" s="58">
        <f>DW55-DW51-DW53-DW54</f>
        <v>-3.8819999999999908</v>
      </c>
      <c r="DX52" s="58">
        <f>DX55-DX51-DX53-DX54</f>
        <v>18.493000000000002</v>
      </c>
      <c r="DZ52" s="58">
        <f>DZ55-DZ51-DZ53-DZ54</f>
        <v>-0.70900000000000674</v>
      </c>
      <c r="EA52" s="58">
        <f>EA55-EA51-EA53-EA54</f>
        <v>3.4950000000000028</v>
      </c>
      <c r="EB52" s="58">
        <f>EB55-EB51-EB53-EB54</f>
        <v>-11.835000000000006</v>
      </c>
      <c r="EC52" s="58">
        <f>EC55-EC51-EC53-EC54</f>
        <v>-1.3089999999999868</v>
      </c>
      <c r="ED52" s="58">
        <f>ED55-ED51-ED53-ED54</f>
        <v>-10.357999999999997</v>
      </c>
      <c r="EF52" s="58">
        <f>EF55-EF51-EF53-EF54</f>
        <v>-0.34700000000001019</v>
      </c>
      <c r="EG52" s="58">
        <f>EG55-EG51-EG53-EG54</f>
        <v>0.39500000000000846</v>
      </c>
      <c r="EH52" s="58">
        <f>EH55-EH51-EH53-EH54</f>
        <v>-3.1580000000000048</v>
      </c>
      <c r="EI52" s="58">
        <f>EI55-EI51-EI53-EI54</f>
        <v>0.625</v>
      </c>
      <c r="EJ52" s="58">
        <f>EJ55-EJ51-EJ53-EJ54</f>
        <v>-2.4850000000000065</v>
      </c>
      <c r="EL52" s="58">
        <f>EL55-EL51-EL53-EL54</f>
        <v>-0.53299999999999592</v>
      </c>
      <c r="EM52" s="58">
        <f>EM55-EM51-EM53-EM54</f>
        <v>-0.75399999999999956</v>
      </c>
      <c r="EN52" s="58">
        <f>EN55-EN51-EN53-EN54</f>
        <v>-0.51800000000000423</v>
      </c>
      <c r="EO52" s="58">
        <f>EO55-EO51-EO53-EO54</f>
        <v>1.6000000000008896E-2</v>
      </c>
      <c r="EP52" s="58">
        <f>EP55-EP51-EP53-EP54</f>
        <v>-1.7889999999999873</v>
      </c>
      <c r="ER52" s="58">
        <f>ER55-ER51-ER53-ER54</f>
        <v>0.17299999999999294</v>
      </c>
      <c r="ES52" s="58">
        <f>ES55-ES51-ES53-ES54</f>
        <v>0.9610000000000074</v>
      </c>
      <c r="ET52" s="58">
        <f>ET55-ET51-ET53-ET54</f>
        <v>-0.2960000000000047</v>
      </c>
      <c r="EU52" s="58">
        <f>EU55-EU51-EU53-EU54</f>
        <v>-0.70700000000000252</v>
      </c>
      <c r="EV52" s="58">
        <f>EV55-EV51-EV53-EV54</f>
        <v>0.13099999999999312</v>
      </c>
      <c r="EX52" s="58">
        <f>EX55-EX51-EX53-EX54</f>
        <v>0.36599999999999966</v>
      </c>
      <c r="EY52" s="58">
        <f>EY55-EY51-EY53-EY54</f>
        <v>-1.323999999999991</v>
      </c>
      <c r="EZ52" s="58">
        <f>EZ55-EZ51-EZ53-EZ54</f>
        <v>0.49699999999999633</v>
      </c>
      <c r="FA52" s="442"/>
      <c r="FB52" s="58"/>
      <c r="FD52" s="828"/>
      <c r="FE52" s="58"/>
      <c r="FF52" s="58"/>
      <c r="FG52" s="58"/>
      <c r="FH52" s="58"/>
      <c r="FJ52" s="441"/>
      <c r="FK52" s="58"/>
      <c r="FL52" s="58"/>
      <c r="FM52" s="58"/>
      <c r="FN52" s="58"/>
      <c r="FP52" s="441"/>
      <c r="FQ52" s="58"/>
      <c r="FR52" s="58"/>
      <c r="FS52" s="58"/>
      <c r="FT52" s="58"/>
      <c r="FV52" s="441"/>
      <c r="FW52" s="58"/>
      <c r="FX52" s="58"/>
      <c r="FY52" s="58"/>
      <c r="FZ52" s="58"/>
      <c r="GB52" s="441"/>
      <c r="GC52" s="58"/>
      <c r="GD52" s="58"/>
      <c r="GE52" s="58"/>
      <c r="GF52" s="58"/>
      <c r="GH52" s="441"/>
      <c r="GI52" s="58"/>
      <c r="GJ52" s="58"/>
      <c r="GK52" s="58"/>
      <c r="GL52" s="58"/>
      <c r="GN52" s="441"/>
      <c r="GO52" s="58"/>
      <c r="GP52" s="58"/>
      <c r="GQ52" s="58"/>
      <c r="GR52" s="58"/>
      <c r="GT52" s="441"/>
      <c r="GU52" s="58"/>
      <c r="GV52" s="58"/>
      <c r="GW52" s="58"/>
      <c r="GX52" s="58"/>
      <c r="GZ52" s="441"/>
      <c r="HA52" s="58"/>
      <c r="HB52" s="58"/>
      <c r="HC52" s="58"/>
      <c r="HD52" s="58"/>
      <c r="HF52" s="441"/>
      <c r="HG52" s="58"/>
      <c r="HH52" s="58"/>
      <c r="HI52" s="58"/>
      <c r="HJ52" s="58"/>
    </row>
    <row r="53" spans="1:218" s="103" customFormat="1">
      <c r="A53" s="684">
        <v>8.5000000000000006E-2</v>
      </c>
      <c r="B53" s="58"/>
      <c r="C53" s="58" t="s">
        <v>118</v>
      </c>
      <c r="H53" s="58"/>
      <c r="N53" s="58"/>
      <c r="P53" s="58"/>
      <c r="Q53" s="58"/>
      <c r="R53" s="58"/>
      <c r="S53" s="58"/>
      <c r="T53" s="58"/>
      <c r="V53" s="58"/>
      <c r="W53" s="58"/>
      <c r="X53" s="58"/>
      <c r="Y53" s="58"/>
      <c r="Z53" s="445"/>
      <c r="AB53" s="58"/>
      <c r="AC53" s="58"/>
      <c r="AD53" s="58"/>
      <c r="AE53" s="58"/>
      <c r="AF53" s="58"/>
      <c r="AH53" s="58"/>
      <c r="AI53" s="58"/>
      <c r="AJ53" s="58"/>
      <c r="AK53" s="58"/>
      <c r="AL53" s="58"/>
      <c r="AN53" s="58"/>
      <c r="AO53" s="58"/>
      <c r="AP53" s="58"/>
      <c r="AQ53" s="58"/>
      <c r="AR53" s="58"/>
      <c r="AT53" s="58"/>
      <c r="AU53" s="58"/>
      <c r="AV53" s="58"/>
      <c r="AW53" s="58"/>
      <c r="AX53" s="58"/>
      <c r="AZ53" s="58"/>
      <c r="BA53" s="58"/>
      <c r="BB53" s="58"/>
      <c r="BC53" s="58"/>
      <c r="BD53" s="58"/>
      <c r="BF53" s="58"/>
      <c r="BG53" s="58"/>
      <c r="BH53" s="58"/>
      <c r="BI53" s="58"/>
      <c r="BJ53" s="58"/>
      <c r="BL53" s="58"/>
      <c r="BM53" s="58"/>
      <c r="BN53" s="58"/>
      <c r="BO53" s="58"/>
      <c r="BP53" s="58"/>
      <c r="BR53" s="58"/>
      <c r="BS53" s="58"/>
      <c r="BT53" s="58"/>
      <c r="BU53" s="58"/>
      <c r="BV53" s="58"/>
      <c r="BX53" s="58"/>
      <c r="BY53" s="58"/>
      <c r="BZ53" s="58"/>
      <c r="CA53" s="58"/>
      <c r="CB53" s="58"/>
      <c r="CD53" s="58"/>
      <c r="CE53" s="58"/>
      <c r="CF53" s="58"/>
      <c r="CG53" s="58"/>
      <c r="CH53" s="58"/>
      <c r="CJ53" s="58"/>
      <c r="CK53" s="58"/>
      <c r="CL53" s="58"/>
      <c r="CM53" s="58"/>
      <c r="CN53" s="58"/>
      <c r="CP53" s="58"/>
      <c r="CQ53" s="58"/>
      <c r="CR53" s="58"/>
      <c r="CS53" s="58"/>
      <c r="CT53" s="58"/>
      <c r="CV53" s="58"/>
      <c r="CW53" s="58"/>
      <c r="CX53" s="58"/>
      <c r="CY53" s="58"/>
      <c r="CZ53" s="58"/>
      <c r="DB53" s="58"/>
      <c r="DC53" s="58"/>
      <c r="DD53" s="58"/>
      <c r="DE53" s="58"/>
      <c r="DF53" s="58"/>
      <c r="DH53" s="58">
        <f>-CF!DH39</f>
        <v>4.6660000000000004</v>
      </c>
      <c r="DI53" s="58">
        <f>-CF!DI39</f>
        <v>4.2769999999999992</v>
      </c>
      <c r="DJ53" s="58">
        <f>-CF!DJ39</f>
        <v>2.1479999999999997</v>
      </c>
      <c r="DK53" s="58">
        <f>-CF!DK39</f>
        <v>3.2190000000000012</v>
      </c>
      <c r="DL53" s="58">
        <f>SUM(DH53:DK53)</f>
        <v>14.31</v>
      </c>
      <c r="DN53" s="58">
        <f>-CF!DN39</f>
        <v>3.1960000000000002</v>
      </c>
      <c r="DO53" s="58">
        <f>-CF!DO39</f>
        <v>3.4409999999999994</v>
      </c>
      <c r="DP53" s="58">
        <f>-CF!DP39</f>
        <v>7.3159999999999998</v>
      </c>
      <c r="DQ53" s="58">
        <f>-CF!DQ39</f>
        <v>6.0760000000000005</v>
      </c>
      <c r="DR53" s="58">
        <f>SUM(DN53:DQ53)</f>
        <v>20.029</v>
      </c>
      <c r="DT53" s="58">
        <f>-CF!DT39</f>
        <v>4.7080000000000002</v>
      </c>
      <c r="DU53" s="58">
        <f>-CF!DU39</f>
        <v>5.0259999999999998</v>
      </c>
      <c r="DV53" s="58">
        <f>-CF!DV39</f>
        <v>7.8570000000000011</v>
      </c>
      <c r="DW53" s="58">
        <f>-CF!DW39</f>
        <v>11.504999999999999</v>
      </c>
      <c r="DX53" s="58">
        <f>SUM(DT53:DW53)</f>
        <v>29.096</v>
      </c>
      <c r="DZ53" s="58">
        <f>-CF!DZ39</f>
        <v>15.831</v>
      </c>
      <c r="EA53" s="58">
        <f>-CF!EA39</f>
        <v>21.346999999999998</v>
      </c>
      <c r="EB53" s="58">
        <f>-CF!EB39</f>
        <v>14.977000000000004</v>
      </c>
      <c r="EC53" s="58">
        <f>-CF!EC39</f>
        <v>11.986999999999995</v>
      </c>
      <c r="ED53" s="58">
        <f>SUM(DZ53:EC53)</f>
        <v>64.141999999999996</v>
      </c>
      <c r="EF53" s="58">
        <f>-CF!EF39</f>
        <v>8.2189999999999994</v>
      </c>
      <c r="EG53" s="58">
        <f>-CF!EG39</f>
        <v>10.294000000000002</v>
      </c>
      <c r="EH53" s="58">
        <f>-CF!EH39</f>
        <v>7.8439999999999976</v>
      </c>
      <c r="EI53" s="58">
        <f>-CF!EI39</f>
        <v>4.5339999999999989</v>
      </c>
      <c r="EJ53" s="58">
        <f>SUM(EF53:EI53)</f>
        <v>30.890999999999998</v>
      </c>
      <c r="EL53" s="58">
        <f>-CF!EL39</f>
        <v>9.9269999999999996</v>
      </c>
      <c r="EM53" s="58">
        <f>-CF!EM39</f>
        <v>7.4939999999999998</v>
      </c>
      <c r="EN53" s="58">
        <f>-CF!EN39</f>
        <v>4.2740000000000009</v>
      </c>
      <c r="EO53" s="58">
        <f>-CF!EO39</f>
        <v>7.0569999999999986</v>
      </c>
      <c r="EP53" s="58">
        <f>SUM(EL53:EO53)</f>
        <v>28.751999999999999</v>
      </c>
      <c r="ER53" s="58">
        <f>-CF!ER39</f>
        <v>5.585</v>
      </c>
      <c r="ES53" s="58">
        <f>-CF!ES39</f>
        <v>13.077999999999999</v>
      </c>
      <c r="ET53" s="58">
        <f>-CF!ET39</f>
        <v>10.798999999999999</v>
      </c>
      <c r="EU53" s="58">
        <f>-CF!EU39</f>
        <v>11.599</v>
      </c>
      <c r="EV53" s="58">
        <f>SUM(ER53:EU53)</f>
        <v>41.061</v>
      </c>
      <c r="EX53" s="58">
        <f>-CF!EX39</f>
        <v>4.5</v>
      </c>
      <c r="EY53" s="58">
        <f>-CF!EY39</f>
        <v>6.3230000000000004</v>
      </c>
      <c r="EZ53" s="58">
        <f>-CF!EZ39</f>
        <v>8.3140000000000001</v>
      </c>
      <c r="FA53" s="442">
        <f>FB53-SUM(EX53:EZ53)</f>
        <v>13.863</v>
      </c>
      <c r="FB53" s="437">
        <v>33</v>
      </c>
      <c r="FD53" s="442">
        <f>FH53/4</f>
        <v>8.9512499999999999</v>
      </c>
      <c r="FE53" s="58">
        <f>(FH53-FD53)/3</f>
        <v>8.9512499999999999</v>
      </c>
      <c r="FF53" s="58">
        <f>(FH53-SUM(FD53:FE53))/2</f>
        <v>8.9512499999999999</v>
      </c>
      <c r="FG53" s="58">
        <f>FH53-SUM(FD53:FF53)</f>
        <v>8.9512500000000017</v>
      </c>
      <c r="FH53" s="58">
        <f>FB53*(1+$A$53)</f>
        <v>35.805</v>
      </c>
      <c r="FJ53" s="58">
        <f>FN53/4</f>
        <v>9.7121062499999997</v>
      </c>
      <c r="FK53" s="58">
        <f>(FN53-FJ53)/3</f>
        <v>9.7121062499999997</v>
      </c>
      <c r="FL53" s="58">
        <f>(FN53-SUM(FJ53:FK53))/2</f>
        <v>9.7121062499999997</v>
      </c>
      <c r="FM53" s="58">
        <f>FN53-SUM(FJ53:FL53)</f>
        <v>9.7121062499999979</v>
      </c>
      <c r="FN53" s="58">
        <f>FH53*(1+$A$53)</f>
        <v>38.848424999999999</v>
      </c>
      <c r="FP53" s="58">
        <f>FT53/4</f>
        <v>10.537635281249999</v>
      </c>
      <c r="FQ53" s="58">
        <f>(FT53-FP53)/3</f>
        <v>10.537635281249999</v>
      </c>
      <c r="FR53" s="58">
        <f>(FT53-SUM(FP53:FQ53))/2</f>
        <v>10.537635281249999</v>
      </c>
      <c r="FS53" s="58">
        <f>FT53-SUM(FP53:FR53)</f>
        <v>10.537635281249997</v>
      </c>
      <c r="FT53" s="58">
        <f>FN53*(1+$A$53)</f>
        <v>42.150541124999997</v>
      </c>
      <c r="FV53" s="58">
        <f>FZ53/4</f>
        <v>11.433334280156249</v>
      </c>
      <c r="FW53" s="58">
        <f>(FZ53-FV53)/3</f>
        <v>11.433334280156251</v>
      </c>
      <c r="FX53" s="58">
        <f>(FZ53-SUM(FV53:FW53))/2</f>
        <v>11.433334280156249</v>
      </c>
      <c r="FY53" s="58">
        <f>FZ53-SUM(FV53:FX53)</f>
        <v>11.433334280156245</v>
      </c>
      <c r="FZ53" s="58">
        <f>FT53*(1+$A$53)</f>
        <v>45.733337120624995</v>
      </c>
      <c r="GB53" s="58">
        <f>GF53/4</f>
        <v>12.405167693969529</v>
      </c>
      <c r="GC53" s="58">
        <f>(GF53-GB53)/3</f>
        <v>12.405167693969529</v>
      </c>
      <c r="GD53" s="58">
        <f>(GF53-SUM(GB53:GC53))/2</f>
        <v>12.405167693969529</v>
      </c>
      <c r="GE53" s="58">
        <f>GF53-SUM(GB53:GD53)</f>
        <v>12.405167693969531</v>
      </c>
      <c r="GF53" s="58">
        <f>FZ53*(1+$A$53)</f>
        <v>49.620670775878118</v>
      </c>
      <c r="GH53" s="58">
        <f>GL53/4</f>
        <v>13.459606947956939</v>
      </c>
      <c r="GI53" s="58">
        <f>(GL53-GH53)/3</f>
        <v>13.459606947956937</v>
      </c>
      <c r="GJ53" s="58">
        <f>(GL53-SUM(GH53:GI53))/2</f>
        <v>13.459606947956939</v>
      </c>
      <c r="GK53" s="58">
        <f>GL53-SUM(GH53:GJ53)</f>
        <v>13.459606947956942</v>
      </c>
      <c r="GL53" s="58">
        <f>GF53*(1+$A$53)</f>
        <v>53.838427791827755</v>
      </c>
      <c r="GN53" s="58">
        <f>GR53/4</f>
        <v>14.603673538533277</v>
      </c>
      <c r="GO53" s="58">
        <f>(GR53-GN53)/3</f>
        <v>14.603673538533277</v>
      </c>
      <c r="GP53" s="58">
        <f>(GR53-SUM(GN53:GO53))/2</f>
        <v>14.603673538533277</v>
      </c>
      <c r="GQ53" s="58">
        <f>GR53-SUM(GN53:GP53)</f>
        <v>14.603673538533279</v>
      </c>
      <c r="GR53" s="58">
        <f>GL53*(1+$A$53)</f>
        <v>58.414694154133109</v>
      </c>
      <c r="GT53" s="58">
        <f>GX53/4</f>
        <v>15.844985789308605</v>
      </c>
      <c r="GU53" s="58">
        <f>(GX53-GT53)/3</f>
        <v>15.844985789308604</v>
      </c>
      <c r="GV53" s="58">
        <f>(GX53-SUM(GT53:GU53))/2</f>
        <v>15.844985789308605</v>
      </c>
      <c r="GW53" s="58">
        <f>GX53-SUM(GT53:GV53)</f>
        <v>15.844985789308609</v>
      </c>
      <c r="GX53" s="58">
        <f>GR53*(1+$A$53)</f>
        <v>63.379943157234422</v>
      </c>
      <c r="GZ53" s="58">
        <f>HD53/4</f>
        <v>17.191809581399838</v>
      </c>
      <c r="HA53" s="58">
        <f>(HD53-GZ53)/3</f>
        <v>17.191809581399838</v>
      </c>
      <c r="HB53" s="58">
        <f>(HD53-SUM(GZ53:HA53))/2</f>
        <v>17.191809581399838</v>
      </c>
      <c r="HC53" s="58">
        <f>HD53-SUM(GZ53:HB53)</f>
        <v>17.191809581399838</v>
      </c>
      <c r="HD53" s="58">
        <f>GX53*(1+$A$53)</f>
        <v>68.767238325599351</v>
      </c>
      <c r="HF53" s="58">
        <f>HJ53/4</f>
        <v>18.653113395818824</v>
      </c>
      <c r="HG53" s="58">
        <f>(HJ53-HF53)/3</f>
        <v>18.653113395818824</v>
      </c>
      <c r="HH53" s="58">
        <f>(HJ53-SUM(HF53:HG53))/2</f>
        <v>18.653113395818824</v>
      </c>
      <c r="HI53" s="58">
        <f>HJ53-SUM(HF53:HH53)</f>
        <v>18.653113395818821</v>
      </c>
      <c r="HJ53" s="58">
        <f>HD53*(1+$A$53)</f>
        <v>74.612453583275297</v>
      </c>
    </row>
    <row r="54" spans="1:218" s="103" customFormat="1">
      <c r="A54" s="643">
        <v>2.5</v>
      </c>
      <c r="B54" s="58"/>
      <c r="C54" s="58" t="s">
        <v>119</v>
      </c>
      <c r="H54" s="58"/>
      <c r="N54" s="58"/>
      <c r="P54" s="446"/>
      <c r="Q54" s="446"/>
      <c r="R54" s="446"/>
      <c r="S54" s="446"/>
      <c r="DH54" s="103">
        <f>-CF!DH11</f>
        <v>-3.633</v>
      </c>
      <c r="DI54" s="103">
        <f>-CF!DI11</f>
        <v>-3.8109999999999999</v>
      </c>
      <c r="DJ54" s="103">
        <f>-CF!DJ11</f>
        <v>-4.0330000000000004</v>
      </c>
      <c r="DK54" s="103">
        <f>-CF!DK11</f>
        <v>-4.327</v>
      </c>
      <c r="DL54" s="103">
        <f>SUM(DH54:DK54)</f>
        <v>-15.804</v>
      </c>
      <c r="DN54" s="103">
        <f>-CF!DN11</f>
        <v>-5.2709999999999999</v>
      </c>
      <c r="DO54" s="103">
        <f>-CF!DO11</f>
        <v>-5.0810000000000004</v>
      </c>
      <c r="DP54" s="103">
        <f>-CF!DP11</f>
        <v>-4.847999999999999</v>
      </c>
      <c r="DQ54" s="103">
        <f>-CF!DQ11</f>
        <v>-5.1460000000000008</v>
      </c>
      <c r="DR54" s="103">
        <f>SUM(DN54:DQ54)</f>
        <v>-20.346</v>
      </c>
      <c r="DT54" s="103">
        <f>-CF!DT11</f>
        <v>-6.24</v>
      </c>
      <c r="DU54" s="103">
        <f>-CF!DU11</f>
        <v>-5.9369999999999994</v>
      </c>
      <c r="DV54" s="103">
        <f>-CF!DV11</f>
        <v>-6.5279999999999987</v>
      </c>
      <c r="DW54" s="103">
        <f>-CF!DW11</f>
        <v>-7.1990000000000016</v>
      </c>
      <c r="DX54" s="103">
        <f>SUM(DT54:DW54)</f>
        <v>-25.904</v>
      </c>
      <c r="DZ54" s="103">
        <f>-CF!DZ11</f>
        <v>-6.68</v>
      </c>
      <c r="EA54" s="103">
        <f>-CF!EA11</f>
        <v>-6.9489999999999998</v>
      </c>
      <c r="EB54" s="103">
        <f>-CF!EB11</f>
        <v>-8.177999999999999</v>
      </c>
      <c r="EC54" s="103">
        <f>-CF!EC11</f>
        <v>-8.3850000000000016</v>
      </c>
      <c r="ED54" s="103">
        <f>SUM(DZ54:EC54)</f>
        <v>-30.192</v>
      </c>
      <c r="EF54" s="103">
        <f>-CF!EF11</f>
        <v>-8.3949999999999996</v>
      </c>
      <c r="EG54" s="103">
        <f>-CF!EG11</f>
        <v>-8.5259999999999998</v>
      </c>
      <c r="EH54" s="103">
        <f>-CF!EH11</f>
        <v>-8.972999999999999</v>
      </c>
      <c r="EI54" s="103">
        <f>-CF!EI11</f>
        <v>-9.4780000000000015</v>
      </c>
      <c r="EJ54" s="103">
        <f>SUM(EF54:EI54)</f>
        <v>-35.372</v>
      </c>
      <c r="EL54" s="103">
        <f>-CF!EL11</f>
        <v>-9.048</v>
      </c>
      <c r="EM54" s="103">
        <f>-CF!EM11</f>
        <v>-9.4749999999999996</v>
      </c>
      <c r="EN54" s="103">
        <f>-CF!EN11</f>
        <v>-9.3490000000000002</v>
      </c>
      <c r="EO54" s="103">
        <f>-CF!EO11</f>
        <v>-9.578000000000003</v>
      </c>
      <c r="EP54" s="103">
        <f>SUM(EL54:EO54)</f>
        <v>-37.450000000000003</v>
      </c>
      <c r="ER54" s="103">
        <f>-CF!ER11</f>
        <v>-9.9049999999999994</v>
      </c>
      <c r="ES54" s="103">
        <f>-CF!ES11</f>
        <v>-9.7460000000000004</v>
      </c>
      <c r="ET54" s="103">
        <f>-CF!ET11</f>
        <v>-9.6229999999999993</v>
      </c>
      <c r="EU54" s="103">
        <f>-CF!EU11</f>
        <v>-9.827</v>
      </c>
      <c r="EV54" s="103">
        <f>SUM(ER54:EU54)</f>
        <v>-39.100999999999999</v>
      </c>
      <c r="EX54" s="103">
        <f>-CF!EX11</f>
        <v>-9.3659999999999997</v>
      </c>
      <c r="EY54" s="103">
        <f>-CF!EY11</f>
        <v>-9.14</v>
      </c>
      <c r="EZ54" s="103">
        <f>-CF!EZ11</f>
        <v>-8.8030000000000008</v>
      </c>
      <c r="FA54" s="641">
        <f>-(FA51+FA53)/$A$54/4</f>
        <v>-9.9332999999999991</v>
      </c>
      <c r="FB54" s="103">
        <f>SUM(EX54:FA54)</f>
        <v>-37.2423</v>
      </c>
      <c r="FD54" s="908">
        <f>-(FD51+FD53)/$A$54/4</f>
        <v>-9.835094999999999</v>
      </c>
      <c r="FE54" s="103">
        <f>-(FE51+FE53)/$A$54/4</f>
        <v>-9.7467105000000007</v>
      </c>
      <c r="FF54" s="103">
        <f>-(FF51+FF53)/$A$54/4</f>
        <v>-9.6671644499999996</v>
      </c>
      <c r="FG54" s="103">
        <f>-(FG51+FG53)/$A$54/4</f>
        <v>-9.5955730050000003</v>
      </c>
      <c r="FH54" s="103">
        <f>SUM(FD54:FG54)</f>
        <v>-38.844542955000001</v>
      </c>
      <c r="FJ54" s="444">
        <f>-(FJ51+FJ53)/$A$54/4</f>
        <v>-9.6072263294999996</v>
      </c>
      <c r="FK54" s="103">
        <f>-(FK51+FK53)/$A$54/4</f>
        <v>-9.6177143215500003</v>
      </c>
      <c r="FL54" s="103">
        <f>-(FL51+FL53)/$A$54/4</f>
        <v>-9.6271535143950011</v>
      </c>
      <c r="FM54" s="103">
        <f>-(FM51+FM53)/$A$54/4</f>
        <v>-9.6356487879554997</v>
      </c>
      <c r="FN54" s="103">
        <f>SUM(FJ54:FM54)</f>
        <v>-38.487742953400499</v>
      </c>
      <c r="FP54" s="444">
        <f>-(FP51+FP53)/$A$54/4</f>
        <v>-9.7258474372849513</v>
      </c>
      <c r="FQ54" s="103">
        <f>-(FQ51+FQ53)/$A$54/4</f>
        <v>-9.8070262216814559</v>
      </c>
      <c r="FR54" s="103">
        <f>-(FR51+FR53)/$A$54/4</f>
        <v>-9.8800871276383102</v>
      </c>
      <c r="FS54" s="103">
        <f>-(FS51+FS53)/$A$54/4</f>
        <v>-9.9458419429994791</v>
      </c>
      <c r="FT54" s="103">
        <f>SUM(FP54:FS54)</f>
        <v>-39.3588027296042</v>
      </c>
      <c r="FV54" s="444">
        <f>-(FV51+FV53)/$A$54/4</f>
        <v>-10.094591176715156</v>
      </c>
      <c r="FW54" s="103">
        <f>-(FW51+FW53)/$A$54/4</f>
        <v>-10.228465487059264</v>
      </c>
      <c r="FX54" s="103">
        <f>-(FX51+FX53)/$A$54/4</f>
        <v>-10.348952366368962</v>
      </c>
      <c r="FY54" s="103">
        <f>-(FY51+FY53)/$A$54/4</f>
        <v>-10.45739055774769</v>
      </c>
      <c r="FZ54" s="103">
        <f>SUM(FV54:FY54)</f>
        <v>-41.129399587891072</v>
      </c>
      <c r="GB54" s="444">
        <f>-(GB51+GB53)/($A$54-0.1)/4</f>
        <v>-11.096008616010288</v>
      </c>
      <c r="GC54" s="444">
        <f>-(GC51+GC53)/($A$54-0.1)/4</f>
        <v>-11.232379353297709</v>
      </c>
      <c r="GD54" s="444">
        <f>-(GD51+GD53)/($A$54-0.1)/4</f>
        <v>-11.354544805451024</v>
      </c>
      <c r="GE54" s="444">
        <f>-(GE51+GE53)/($A$54-0.1)/4</f>
        <v>-11.463984689671701</v>
      </c>
      <c r="GF54" s="103">
        <f>SUM(GB54:GE54)</f>
        <v>-45.146917464430729</v>
      </c>
      <c r="GH54" s="444">
        <f>-(GH51+GH53)/($A$54-0.1)/4</f>
        <v>-11.67186200824308</v>
      </c>
      <c r="GI54" s="444">
        <f>-(GI51+GI53)/($A$54-0.1)/4</f>
        <v>-11.858085439463274</v>
      </c>
      <c r="GJ54" s="444">
        <f>-(GJ51+GJ53)/($A$54-0.1)/4</f>
        <v>-12.024910596598032</v>
      </c>
      <c r="GK54" s="444">
        <f>-(GK51+GK53)/($A$54-0.1)/4</f>
        <v>-12.174358133197918</v>
      </c>
      <c r="GL54" s="103">
        <f>SUM(GH54:GK54)</f>
        <v>-47.729216177502309</v>
      </c>
      <c r="GN54" s="444">
        <f>-(GN51+GN53)/($A$54-0.2)/4</f>
        <v>-12.967734074351672</v>
      </c>
      <c r="GO54" s="444">
        <f>-(GO51+GO53)/($A$54-0.2)/4</f>
        <v>-13.145553581327933</v>
      </c>
      <c r="GP54" s="444">
        <f>-(GP51+GP53)/($A$54-0.2)/4</f>
        <v>-13.304044881024165</v>
      </c>
      <c r="GQ54" s="444">
        <f>-(GQ51+GQ53)/($A$54-0.2)/4</f>
        <v>-13.445308865536024</v>
      </c>
      <c r="GR54" s="103">
        <f>SUM(GN54:GQ54)</f>
        <v>-52.862641402239788</v>
      </c>
      <c r="GT54" s="444">
        <f>-(GT51+GT53)/($A$54-0.2)/4</f>
        <v>-13.706143313772175</v>
      </c>
      <c r="GU54" s="444">
        <f>-(GU51+GU53)/($A$54-0.2)/4</f>
        <v>-13.938626191547874</v>
      </c>
      <c r="GV54" s="444">
        <f>-(GV51+GV53)/($A$54-0.2)/4</f>
        <v>-14.145839191304477</v>
      </c>
      <c r="GW54" s="444">
        <f>-(GW51+GW53)/($A$54-0.2)/4</f>
        <v>-14.330529038913623</v>
      </c>
      <c r="GX54" s="103">
        <f>SUM(GT54:GW54)</f>
        <v>-56.121137735538149</v>
      </c>
      <c r="GZ54" s="444">
        <f>-(GZ51+GZ53)/($A$54-0.2)/4</f>
        <v>-14.64153779353169</v>
      </c>
      <c r="HA54" s="444">
        <f>-(HA51+HA53)/($A$54-0.2)/4</f>
        <v>-14.918741248734751</v>
      </c>
      <c r="HB54" s="444">
        <f>-(HB51+HB53)/($A$54-0.2)/4</f>
        <v>-15.165813893589654</v>
      </c>
      <c r="HC54" s="444">
        <f>-(HC51+HC53)/($A$54-0.2)/4</f>
        <v>-15.386030816177714</v>
      </c>
      <c r="HD54" s="103">
        <f>SUM(GZ54:HC54)</f>
        <v>-60.11212375203381</v>
      </c>
      <c r="HF54" s="444">
        <f>-(HF51+HF53)/($A$54-0.2)/4</f>
        <v>-15.741148487877835</v>
      </c>
      <c r="HG54" s="444">
        <f>-(HG51+HG53)/($A$54-0.2)/4</f>
        <v>-16.057666412654029</v>
      </c>
      <c r="HH54" s="444">
        <f>-(HH51+HH53)/($A$54-0.2)/4</f>
        <v>-16.339780215171942</v>
      </c>
      <c r="HI54" s="444">
        <f>-(HI51+HI53)/($A$54-0.2)/4</f>
        <v>-16.591229473937908</v>
      </c>
      <c r="HJ54" s="103">
        <f>SUM(HF54:HI54)</f>
        <v>-64.729824589641709</v>
      </c>
    </row>
    <row r="55" spans="1:218" s="103" customFormat="1">
      <c r="A55" s="58"/>
      <c r="B55" s="58" t="s">
        <v>120</v>
      </c>
      <c r="C55" s="58"/>
      <c r="H55" s="58"/>
      <c r="N55" s="58"/>
      <c r="S55" s="58"/>
      <c r="T55" s="58"/>
      <c r="V55" s="58"/>
      <c r="W55" s="58"/>
      <c r="X55" s="58"/>
      <c r="Y55" s="58"/>
      <c r="Z55" s="58"/>
      <c r="AB55" s="58"/>
      <c r="AC55" s="58"/>
      <c r="AD55" s="58"/>
      <c r="AE55" s="58"/>
      <c r="AF55" s="58"/>
      <c r="AH55" s="58"/>
      <c r="AI55" s="58"/>
      <c r="AJ55" s="58"/>
      <c r="AK55" s="58"/>
      <c r="AL55" s="58"/>
      <c r="AN55" s="58"/>
      <c r="AO55" s="58"/>
      <c r="AP55" s="58"/>
      <c r="AQ55" s="58"/>
      <c r="AR55" s="58"/>
      <c r="AT55" s="58"/>
      <c r="AU55" s="58"/>
      <c r="AV55" s="58"/>
      <c r="AW55" s="58"/>
      <c r="AX55" s="58"/>
      <c r="AZ55" s="58"/>
      <c r="BA55" s="58"/>
      <c r="BB55" s="58"/>
      <c r="BC55" s="58"/>
      <c r="BD55" s="58"/>
      <c r="BF55" s="58"/>
      <c r="BG55" s="58"/>
      <c r="BH55" s="58"/>
      <c r="BI55" s="58"/>
      <c r="BJ55" s="58"/>
      <c r="BL55" s="58"/>
      <c r="BM55" s="58"/>
      <c r="BN55" s="58"/>
      <c r="BO55" s="58"/>
      <c r="BP55" s="58"/>
      <c r="BR55" s="58"/>
      <c r="BS55" s="58"/>
      <c r="BT55" s="58"/>
      <c r="BU55" s="58"/>
      <c r="BV55" s="58"/>
      <c r="BX55" s="58"/>
      <c r="BY55" s="58"/>
      <c r="BZ55" s="58"/>
      <c r="CA55" s="58"/>
      <c r="CB55" s="58"/>
      <c r="CD55" s="58"/>
      <c r="CE55" s="58"/>
      <c r="CF55" s="58"/>
      <c r="CG55" s="58"/>
      <c r="CH55" s="58"/>
      <c r="CJ55" s="58"/>
      <c r="CK55" s="58"/>
      <c r="CL55" s="58"/>
      <c r="CM55" s="58"/>
      <c r="CN55" s="58"/>
      <c r="CP55" s="58"/>
      <c r="CQ55" s="58"/>
      <c r="CR55" s="58"/>
      <c r="CS55" s="58"/>
      <c r="CT55" s="58"/>
      <c r="CV55" s="58"/>
      <c r="CW55" s="58"/>
      <c r="CX55" s="58"/>
      <c r="CY55" s="58"/>
      <c r="CZ55" s="58"/>
      <c r="DB55" s="58"/>
      <c r="DC55" s="58"/>
      <c r="DD55" s="58"/>
      <c r="DE55" s="58"/>
      <c r="DF55" s="58"/>
      <c r="DH55" s="58">
        <f>BS!DH21</f>
        <v>40.411000000000001</v>
      </c>
      <c r="DI55" s="58">
        <f>BS!DI21</f>
        <v>42.872999999999998</v>
      </c>
      <c r="DJ55" s="58">
        <f>BS!DJ21</f>
        <v>41.003999999999998</v>
      </c>
      <c r="DK55" s="58">
        <f>BS!DK21</f>
        <v>60.887999999999998</v>
      </c>
      <c r="DL55" s="58">
        <f>BS!DL21</f>
        <v>60.887999999999998</v>
      </c>
      <c r="DN55" s="58">
        <f>BS!DN21</f>
        <v>60.695999999999998</v>
      </c>
      <c r="DO55" s="58">
        <f>BS!DO21</f>
        <v>59.334000000000003</v>
      </c>
      <c r="DP55" s="58">
        <f>BS!DP21</f>
        <v>62.488</v>
      </c>
      <c r="DQ55" s="58">
        <f>BS!DQ21</f>
        <v>64.188000000000002</v>
      </c>
      <c r="DR55" s="58">
        <f>BS!DR21</f>
        <v>64.188000000000002</v>
      </c>
      <c r="DT55" s="58">
        <f>BS!DT21</f>
        <v>83.391999999999996</v>
      </c>
      <c r="DU55" s="58">
        <f>BS!DU21</f>
        <v>83.968999999999994</v>
      </c>
      <c r="DV55" s="58">
        <f>BS!DV21</f>
        <v>85.448999999999998</v>
      </c>
      <c r="DW55" s="58">
        <f>BS!DW21</f>
        <v>85.873000000000005</v>
      </c>
      <c r="DX55" s="58">
        <f>BS!DX21</f>
        <v>85.873000000000005</v>
      </c>
      <c r="DZ55" s="58">
        <f>BS!DZ21</f>
        <v>94.314999999999998</v>
      </c>
      <c r="EA55" s="58">
        <f>BS!EA21</f>
        <v>112.208</v>
      </c>
      <c r="EB55" s="58">
        <f>BS!EB21</f>
        <v>107.172</v>
      </c>
      <c r="EC55" s="58">
        <f>BS!EC21</f>
        <v>109.465</v>
      </c>
      <c r="ED55" s="58">
        <f>BS!ED21</f>
        <v>109.465</v>
      </c>
      <c r="EF55" s="58">
        <f>BS!EF21</f>
        <v>108.94199999999999</v>
      </c>
      <c r="EG55" s="58">
        <f>BS!EG21</f>
        <v>111.105</v>
      </c>
      <c r="EH55" s="58">
        <f>BS!EH21</f>
        <v>106.818</v>
      </c>
      <c r="EI55" s="58">
        <f>BS!EI21</f>
        <v>102.499</v>
      </c>
      <c r="EJ55" s="58">
        <f>BS!EJ21</f>
        <v>102.499</v>
      </c>
      <c r="EL55" s="58">
        <f>BS!EL21</f>
        <v>102.845</v>
      </c>
      <c r="EM55" s="58">
        <f>BS!EM21</f>
        <v>100.11</v>
      </c>
      <c r="EN55" s="58">
        <f>BS!EN21</f>
        <v>94.516999999999996</v>
      </c>
      <c r="EO55" s="58">
        <f>BS!EO21</f>
        <v>92.012</v>
      </c>
      <c r="EP55" s="58">
        <f>BS!EP21</f>
        <v>92.012</v>
      </c>
      <c r="ER55" s="58">
        <f>BS!ER21</f>
        <v>87.864999999999995</v>
      </c>
      <c r="ES55" s="58">
        <f>BS!ES21</f>
        <v>92.158000000000001</v>
      </c>
      <c r="ET55" s="58">
        <f>BS!ET21</f>
        <v>93.037999999999997</v>
      </c>
      <c r="EU55" s="58">
        <f>BS!EU21</f>
        <v>94.102999999999994</v>
      </c>
      <c r="EV55" s="58">
        <f>BS!EV21</f>
        <v>94.102999999999994</v>
      </c>
      <c r="EX55" s="58">
        <f>BS!EX21</f>
        <v>89.602999999999994</v>
      </c>
      <c r="EY55" s="58">
        <f>BS!EY21</f>
        <v>85.462000000000003</v>
      </c>
      <c r="EZ55" s="58">
        <f>BS!EZ21</f>
        <v>85.47</v>
      </c>
      <c r="FA55" s="442">
        <f>SUM(FA51:FA54)</f>
        <v>89.399699999999996</v>
      </c>
      <c r="FB55" s="58">
        <f>SUM(FB51:FB54)</f>
        <v>89.860699999999994</v>
      </c>
      <c r="FD55" s="828">
        <f>SUM(FD51:FD54)</f>
        <v>88.515855000000002</v>
      </c>
      <c r="FE55" s="58">
        <f>SUM(FE51:FE54)</f>
        <v>87.720394499999998</v>
      </c>
      <c r="FF55" s="58">
        <f>SUM(FF51:FF54)</f>
        <v>87.004480049999998</v>
      </c>
      <c r="FG55" s="58">
        <f>SUM(FG51:FG54)</f>
        <v>86.360157044999994</v>
      </c>
      <c r="FH55" s="58">
        <f>SUM(FH51:FH54)</f>
        <v>86.360157044999994</v>
      </c>
      <c r="FJ55" s="441">
        <f>SUM(FJ51:FJ54)</f>
        <v>86.465036965500005</v>
      </c>
      <c r="FK55" s="58">
        <f>SUM(FK51:FK54)</f>
        <v>86.559428893950013</v>
      </c>
      <c r="FL55" s="58">
        <f>SUM(FL51:FL54)</f>
        <v>86.644381629555014</v>
      </c>
      <c r="FM55" s="58">
        <f>SUM(FM51:FM54)</f>
        <v>86.720839091599501</v>
      </c>
      <c r="FN55" s="58">
        <f>SUM(FN51:FN54)</f>
        <v>86.720839091599487</v>
      </c>
      <c r="FP55" s="441">
        <f>SUM(FP51:FP54)</f>
        <v>87.532626935564551</v>
      </c>
      <c r="FQ55" s="58">
        <f>SUM(FQ51:FQ54)</f>
        <v>88.263235995133101</v>
      </c>
      <c r="FR55" s="58">
        <f>SUM(FR51:FR54)</f>
        <v>88.920784148744801</v>
      </c>
      <c r="FS55" s="58">
        <f>SUM(FS51:FS54)</f>
        <v>89.512577486995312</v>
      </c>
      <c r="FT55" s="58">
        <f>SUM(FT51:FT54)</f>
        <v>89.512577486995298</v>
      </c>
      <c r="FV55" s="441">
        <f>SUM(FV51:FV54)</f>
        <v>90.851320590436401</v>
      </c>
      <c r="FW55" s="58">
        <f>SUM(FW51:FW54)</f>
        <v>92.056189383533379</v>
      </c>
      <c r="FX55" s="58">
        <f>SUM(FX51:FX54)</f>
        <v>93.140571297320662</v>
      </c>
      <c r="FY55" s="58">
        <f>SUM(FY51:FY54)</f>
        <v>94.116515019729221</v>
      </c>
      <c r="FZ55" s="58">
        <f>SUM(FZ51:FZ54)</f>
        <v>94.116515019729235</v>
      </c>
      <c r="GB55" s="441">
        <f>SUM(GB51:GB54)</f>
        <v>95.425674097688471</v>
      </c>
      <c r="GC55" s="58">
        <f>SUM(GC51:GC54)</f>
        <v>96.598462438360286</v>
      </c>
      <c r="GD55" s="58">
        <f>SUM(GD51:GD54)</f>
        <v>97.64908532687879</v>
      </c>
      <c r="GE55" s="58">
        <f>SUM(GE51:GE54)</f>
        <v>98.590268331176617</v>
      </c>
      <c r="GF55" s="58">
        <f>SUM(GF51:GF54)</f>
        <v>98.590268331176603</v>
      </c>
      <c r="GH55" s="441">
        <f>SUM(GH51:GH54)</f>
        <v>100.37801327089048</v>
      </c>
      <c r="GI55" s="58">
        <f>SUM(GI51:GI54)</f>
        <v>101.97953477938415</v>
      </c>
      <c r="GJ55" s="58">
        <f>SUM(GJ51:GJ54)</f>
        <v>103.41423113074306</v>
      </c>
      <c r="GK55" s="58">
        <f>SUM(GK51:GK54)</f>
        <v>104.69947994550209</v>
      </c>
      <c r="GL55" s="58">
        <f>SUM(GL51:GL54)</f>
        <v>104.69947994550208</v>
      </c>
      <c r="GN55" s="441">
        <f>SUM(GN51:GN54)</f>
        <v>106.33541940968369</v>
      </c>
      <c r="GO55" s="58">
        <f>SUM(GO51:GO54)</f>
        <v>107.79353936688904</v>
      </c>
      <c r="GP55" s="58">
        <f>SUM(GP51:GP54)</f>
        <v>109.09316802439814</v>
      </c>
      <c r="GQ55" s="58">
        <f>SUM(GQ51:GQ54)</f>
        <v>110.25153269739539</v>
      </c>
      <c r="GR55" s="58">
        <f>SUM(GR51:GR54)</f>
        <v>110.2515326973954</v>
      </c>
      <c r="GT55" s="441">
        <f>SUM(GT51:GT54)</f>
        <v>112.39037517293183</v>
      </c>
      <c r="GU55" s="58">
        <f>SUM(GU51:GU54)</f>
        <v>114.29673477069257</v>
      </c>
      <c r="GV55" s="58">
        <f>SUM(GV51:GV54)</f>
        <v>115.9958813686967</v>
      </c>
      <c r="GW55" s="58">
        <f>SUM(GW51:GW54)</f>
        <v>117.5103381190917</v>
      </c>
      <c r="GX55" s="58">
        <f>SUM(GX51:GX54)</f>
        <v>117.51033811909164</v>
      </c>
      <c r="GZ55" s="441">
        <f>SUM(GZ51:GZ54)</f>
        <v>120.06060990695985</v>
      </c>
      <c r="HA55" s="58">
        <f>SUM(HA51:HA54)</f>
        <v>122.33367823962494</v>
      </c>
      <c r="HB55" s="58">
        <f>SUM(HB51:HB54)</f>
        <v>124.35967392743514</v>
      </c>
      <c r="HC55" s="58">
        <f>SUM(HC51:HC54)</f>
        <v>126.16545269265725</v>
      </c>
      <c r="HD55" s="58">
        <f>SUM(HD51:HD54)</f>
        <v>126.16545269265724</v>
      </c>
      <c r="HF55" s="441">
        <f>SUM(HF51:HF54)</f>
        <v>129.07741760059824</v>
      </c>
      <c r="HG55" s="58">
        <f>SUM(HG51:HG54)</f>
        <v>131.67286458376304</v>
      </c>
      <c r="HH55" s="58">
        <f>SUM(HH51:HH54)</f>
        <v>133.98619776440992</v>
      </c>
      <c r="HI55" s="58">
        <f>SUM(HI51:HI54)</f>
        <v>136.04808168629083</v>
      </c>
      <c r="HJ55" s="58">
        <f>SUM(HJ51:HJ54)</f>
        <v>136.04808168629083</v>
      </c>
    </row>
    <row r="56" spans="1:218" s="462" customFormat="1">
      <c r="A56" s="352"/>
      <c r="B56" s="352"/>
      <c r="C56" s="352"/>
      <c r="H56" s="352"/>
      <c r="N56" s="352"/>
      <c r="T56" s="352"/>
      <c r="V56" s="352"/>
      <c r="Z56" s="352"/>
      <c r="AB56" s="352"/>
      <c r="AF56" s="352"/>
      <c r="AH56" s="352"/>
      <c r="AL56" s="352"/>
      <c r="AN56" s="352"/>
      <c r="AR56" s="352"/>
      <c r="AX56" s="352"/>
      <c r="BD56" s="352"/>
      <c r="BJ56" s="352"/>
      <c r="BP56" s="352"/>
      <c r="BV56" s="352"/>
      <c r="CB56" s="352"/>
      <c r="CH56" s="352"/>
      <c r="CN56" s="352"/>
      <c r="CT56" s="352"/>
      <c r="CZ56" s="352"/>
      <c r="DF56" s="352"/>
      <c r="DH56" s="360">
        <f>(DH51/-DH54)/4</f>
        <v>64.065510597302506</v>
      </c>
      <c r="DI56" s="360">
        <f>(DI51/-DI54)/4</f>
        <v>2.6509446339543428</v>
      </c>
      <c r="DJ56" s="360">
        <f>(DJ51/-DJ54)/4</f>
        <v>2.6576369947929579</v>
      </c>
      <c r="DK56" s="360">
        <f>(DK51/-DK54)/4</f>
        <v>2.3690778830598567</v>
      </c>
      <c r="DL56" s="360">
        <f>AVERAGE(DH51:DK51)/-DL54</f>
        <v>16.693368767400656</v>
      </c>
      <c r="DN56" s="360">
        <f>(DN51/-DN54)/4</f>
        <v>2.8878770631758681</v>
      </c>
      <c r="DO56" s="360">
        <f>(DO51/-DO54)/4</f>
        <v>2.9864199960637667</v>
      </c>
      <c r="DP56" s="360">
        <f>(DP51/-DP54)/4</f>
        <v>3.0597153465346545</v>
      </c>
      <c r="DQ56" s="360">
        <f>(DQ51/-DQ54)/4</f>
        <v>3.0357559269335401</v>
      </c>
      <c r="DR56" s="360">
        <f>DN51/-DR54</f>
        <v>2.9926275434974934</v>
      </c>
      <c r="DT56" s="360">
        <f>(DT51/-DT54)/4</f>
        <v>2.5716346153846152</v>
      </c>
      <c r="DU56" s="360">
        <f>(DU51/-DU54)/4</f>
        <v>3.5115378137106283</v>
      </c>
      <c r="DV56" s="360">
        <f>(DV51/-DV54)/4</f>
        <v>3.2157245710784319</v>
      </c>
      <c r="DW56" s="360">
        <f>(DW51/-DW54)/4</f>
        <v>2.9673913043478253</v>
      </c>
      <c r="DX56" s="360">
        <f>DT51/-DX54</f>
        <v>2.4779184681902411</v>
      </c>
      <c r="DY56" s="830"/>
      <c r="DZ56" s="360">
        <f>(DZ51/-DZ54)/4</f>
        <v>3.2138098802395212</v>
      </c>
      <c r="EA56" s="360">
        <f>(EA51/-EA54)/4</f>
        <v>3.3931141171391568</v>
      </c>
      <c r="EB56" s="360">
        <f>(EB51/-EB54)/4</f>
        <v>3.4301785277573984</v>
      </c>
      <c r="EC56" s="360">
        <f>(EC51/-EC54)/4</f>
        <v>3.1953488372093015</v>
      </c>
      <c r="ED56" s="360">
        <f>DZ51/-ED54</f>
        <v>2.8442302596714364</v>
      </c>
      <c r="EE56" s="830"/>
      <c r="EF56" s="360">
        <f>(EF51/-EF54)/4</f>
        <v>3.2598272781417514</v>
      </c>
      <c r="EG56" s="360">
        <f>(EG51/-EG54)/4</f>
        <v>3.1944053483462351</v>
      </c>
      <c r="EH56" s="360">
        <f>(EH51/-EH54)/4</f>
        <v>3.0955366098294888</v>
      </c>
      <c r="EI56" s="360">
        <f>(EI51/-EI54)/4</f>
        <v>2.8175247942603918</v>
      </c>
      <c r="EJ56" s="360">
        <f>EF51/-EJ54</f>
        <v>3.0946794074409136</v>
      </c>
      <c r="EL56" s="360">
        <f>(EL51/-EL54)/4</f>
        <v>2.8320899646330679</v>
      </c>
      <c r="EM56" s="360">
        <f>(EM51/-EM54)/4</f>
        <v>2.7135883905013194</v>
      </c>
      <c r="EN56" s="360">
        <f>(EN51/-EN54)/4</f>
        <v>2.6770242806717297</v>
      </c>
      <c r="EO56" s="360">
        <f>(EO51/-EO54)/4</f>
        <v>2.4670338275214023</v>
      </c>
      <c r="EP56" s="360">
        <f>EL51/-EP54</f>
        <v>2.7369559412550064</v>
      </c>
      <c r="EQ56" s="830"/>
      <c r="ER56" s="360">
        <f>(ER51/-ER54)/4</f>
        <v>2.3223624432104999</v>
      </c>
      <c r="ES56" s="360">
        <f>(ES51/-ES54)/4</f>
        <v>2.2538733839523903</v>
      </c>
      <c r="ET56" s="360">
        <f>(ET51/-ET54)/4</f>
        <v>2.3942117842668607</v>
      </c>
      <c r="EU56" s="360">
        <f>(EU51/-EU54)/4</f>
        <v>2.3668973237000102</v>
      </c>
      <c r="EV56" s="360">
        <f>ER51/-EV54</f>
        <v>2.3531878980077234</v>
      </c>
      <c r="EX56" s="709">
        <f>(EX51/-EX54)/4</f>
        <v>2.5118246850309629</v>
      </c>
      <c r="EY56" s="360">
        <f>(EY51/-EY54)/4</f>
        <v>2.4508479212253826</v>
      </c>
      <c r="EZ56" s="709">
        <f>(EZ51/-EZ54)/4</f>
        <v>2.4270703169374075</v>
      </c>
      <c r="FA56" s="834"/>
      <c r="FB56" s="463"/>
      <c r="FD56" s="909"/>
      <c r="FH56" s="463"/>
      <c r="FJ56" s="464"/>
      <c r="FN56" s="463"/>
      <c r="FP56" s="464"/>
      <c r="FT56" s="463"/>
      <c r="FV56" s="464"/>
      <c r="FZ56" s="463"/>
      <c r="GB56" s="464"/>
      <c r="GF56" s="463"/>
      <c r="GH56" s="464"/>
      <c r="GL56" s="463"/>
      <c r="GN56" s="464"/>
      <c r="GR56" s="463"/>
      <c r="GT56" s="464"/>
      <c r="GX56" s="463"/>
      <c r="GZ56" s="464"/>
      <c r="HD56" s="463"/>
      <c r="HF56" s="464"/>
      <c r="HJ56" s="463"/>
    </row>
    <row r="57" spans="1:218" s="103" customFormat="1">
      <c r="A57" s="440" t="s">
        <v>121</v>
      </c>
      <c r="B57" s="58"/>
      <c r="C57" s="58"/>
      <c r="H57" s="58"/>
      <c r="N57" s="58"/>
      <c r="T57" s="58"/>
      <c r="Z57" s="58"/>
      <c r="AF57" s="58"/>
      <c r="AL57" s="58"/>
      <c r="AR57" s="58"/>
      <c r="AX57" s="58"/>
      <c r="BD57" s="58"/>
      <c r="BJ57" s="58"/>
      <c r="BP57" s="58"/>
      <c r="BV57" s="58"/>
      <c r="CB57" s="58"/>
      <c r="CH57" s="58"/>
      <c r="CN57" s="58"/>
      <c r="CT57" s="58"/>
      <c r="CZ57" s="58"/>
      <c r="DF57" s="58"/>
      <c r="ED57" s="58"/>
      <c r="EJ57" s="58"/>
      <c r="EP57" s="58"/>
      <c r="EV57" s="58"/>
      <c r="FA57" s="641"/>
      <c r="FB57" s="58"/>
      <c r="FD57" s="908"/>
      <c r="FH57" s="58"/>
      <c r="FJ57" s="444"/>
      <c r="FN57" s="58"/>
      <c r="FP57" s="444"/>
      <c r="FT57" s="58"/>
      <c r="FV57" s="444"/>
      <c r="FZ57" s="58"/>
      <c r="GB57" s="444"/>
      <c r="GF57" s="58"/>
      <c r="GH57" s="444"/>
      <c r="GL57" s="58"/>
      <c r="GN57" s="444"/>
      <c r="GR57" s="58"/>
      <c r="GT57" s="444"/>
      <c r="GX57" s="58"/>
      <c r="GZ57" s="444"/>
      <c r="HD57" s="58"/>
      <c r="HF57" s="444"/>
      <c r="HJ57" s="58"/>
    </row>
    <row r="58" spans="1:218" s="103" customFormat="1">
      <c r="A58" s="58"/>
      <c r="B58" s="58" t="s">
        <v>116</v>
      </c>
      <c r="C58" s="58"/>
      <c r="H58" s="58"/>
      <c r="N58" s="58"/>
      <c r="P58" s="58"/>
      <c r="T58" s="58"/>
      <c r="V58" s="58"/>
      <c r="W58" s="58"/>
      <c r="X58" s="58"/>
      <c r="Y58" s="58"/>
      <c r="Z58" s="58"/>
      <c r="AB58" s="58"/>
      <c r="AC58" s="58"/>
      <c r="AD58" s="58"/>
      <c r="AE58" s="58"/>
      <c r="AF58" s="58"/>
      <c r="AH58" s="58"/>
      <c r="AI58" s="58"/>
      <c r="AJ58" s="58"/>
      <c r="AK58" s="58"/>
      <c r="AL58" s="58"/>
      <c r="AN58" s="58"/>
      <c r="AO58" s="58"/>
      <c r="AP58" s="58"/>
      <c r="AQ58" s="58"/>
      <c r="AR58" s="58"/>
      <c r="AT58" s="58"/>
      <c r="AU58" s="58"/>
      <c r="AV58" s="58"/>
      <c r="AW58" s="58"/>
      <c r="AX58" s="58"/>
      <c r="AZ58" s="58"/>
      <c r="BA58" s="58"/>
      <c r="BB58" s="58"/>
      <c r="BC58" s="58"/>
      <c r="BD58" s="58"/>
      <c r="BF58" s="58"/>
      <c r="BG58" s="58"/>
      <c r="BH58" s="58"/>
      <c r="BI58" s="58"/>
      <c r="BJ58" s="58"/>
      <c r="BL58" s="58"/>
      <c r="BM58" s="58"/>
      <c r="BN58" s="58"/>
      <c r="BO58" s="58"/>
      <c r="BP58" s="58"/>
      <c r="BR58" s="58"/>
      <c r="BS58" s="58"/>
      <c r="BT58" s="58"/>
      <c r="BU58" s="58"/>
      <c r="BV58" s="58"/>
      <c r="BX58" s="58"/>
      <c r="BY58" s="58"/>
      <c r="BZ58" s="58"/>
      <c r="CA58" s="58"/>
      <c r="CB58" s="58"/>
      <c r="CD58" s="58"/>
      <c r="CE58" s="58"/>
      <c r="CF58" s="58"/>
      <c r="CG58" s="58"/>
      <c r="CH58" s="58"/>
      <c r="CJ58" s="58"/>
      <c r="CK58" s="58"/>
      <c r="CL58" s="58"/>
      <c r="CM58" s="58"/>
      <c r="CN58" s="58"/>
      <c r="CP58" s="58"/>
      <c r="CQ58" s="58"/>
      <c r="CR58" s="58"/>
      <c r="CS58" s="58"/>
      <c r="CT58" s="58"/>
      <c r="CV58" s="58"/>
      <c r="CW58" s="58"/>
      <c r="CX58" s="58"/>
      <c r="CY58" s="58"/>
      <c r="CZ58" s="58"/>
      <c r="DB58" s="58"/>
      <c r="DC58" s="58"/>
      <c r="DD58" s="58"/>
      <c r="DE58" s="58"/>
      <c r="DF58" s="58"/>
      <c r="DH58" s="58">
        <v>175</v>
      </c>
      <c r="DI58" s="58">
        <f>DH62</f>
        <v>72.751000000000005</v>
      </c>
      <c r="DJ58" s="58">
        <f>DI62</f>
        <v>71.33</v>
      </c>
      <c r="DK58" s="58">
        <f>DJ62</f>
        <v>69.909000000000006</v>
      </c>
      <c r="DL58" s="58">
        <f>DH58</f>
        <v>175</v>
      </c>
      <c r="DN58" s="58">
        <f>DK62</f>
        <v>140.029</v>
      </c>
      <c r="DO58" s="58">
        <f>DN62</f>
        <v>137.84399999999999</v>
      </c>
      <c r="DP58" s="58">
        <f>DO62</f>
        <v>135.30099999999999</v>
      </c>
      <c r="DQ58" s="58">
        <f>DP62</f>
        <v>129.084</v>
      </c>
      <c r="DR58" s="58">
        <f>DN58</f>
        <v>140.029</v>
      </c>
      <c r="DT58" s="58">
        <f>DQ62</f>
        <v>126.64</v>
      </c>
      <c r="DU58" s="58">
        <f>DT62</f>
        <v>128.28899999999999</v>
      </c>
      <c r="DV58" s="58">
        <f>DU62</f>
        <v>125.821</v>
      </c>
      <c r="DW58" s="58">
        <f>DV62</f>
        <v>123.35299999999999</v>
      </c>
      <c r="DX58" s="58">
        <f>DT58</f>
        <v>126.64</v>
      </c>
      <c r="DZ58" s="58">
        <f>DW62</f>
        <v>120.65300000000001</v>
      </c>
      <c r="EA58" s="58">
        <f>DZ62</f>
        <v>118.19499999999999</v>
      </c>
      <c r="EB58" s="58">
        <f>EA62</f>
        <v>471.03800000000001</v>
      </c>
      <c r="EC58" s="58">
        <f>EB62</f>
        <v>450.80200000000002</v>
      </c>
      <c r="ED58" s="58">
        <f>DZ58</f>
        <v>120.65300000000001</v>
      </c>
      <c r="EF58" s="58">
        <f>EC62</f>
        <v>442.32499999999999</v>
      </c>
      <c r="EG58" s="58">
        <f>EF62</f>
        <v>433.83499999999998</v>
      </c>
      <c r="EH58" s="58">
        <f>EG62</f>
        <v>425.33800000000002</v>
      </c>
      <c r="EI58" s="58">
        <f>EH62</f>
        <v>416.84800000000001</v>
      </c>
      <c r="EJ58" s="58">
        <f>EF58</f>
        <v>442.32499999999999</v>
      </c>
      <c r="EL58" s="58">
        <f>EI62</f>
        <v>408.26</v>
      </c>
      <c r="EM58" s="58">
        <f>EL62</f>
        <v>399.47699999999998</v>
      </c>
      <c r="EN58" s="58">
        <f>EM62</f>
        <v>390.69299999999998</v>
      </c>
      <c r="EO58" s="58">
        <f>EN62</f>
        <v>381.91</v>
      </c>
      <c r="EP58" s="58">
        <f>EL58</f>
        <v>408.26</v>
      </c>
      <c r="ER58" s="58">
        <f>EO62</f>
        <v>373.12799999999999</v>
      </c>
      <c r="ES58" s="58">
        <f>ER62</f>
        <v>364.76400000000001</v>
      </c>
      <c r="ET58" s="58">
        <f>ES62</f>
        <v>356.404</v>
      </c>
      <c r="EU58" s="58">
        <f>ET62</f>
        <v>348.04199999999997</v>
      </c>
      <c r="EV58" s="58">
        <f>ER58</f>
        <v>373.12799999999999</v>
      </c>
      <c r="EX58" s="58">
        <f>EU62</f>
        <v>339.68099999999998</v>
      </c>
      <c r="EY58" s="58">
        <f>EX62</f>
        <v>331.31900000000002</v>
      </c>
      <c r="EZ58" s="58">
        <f>EY62</f>
        <v>301.79500000000002</v>
      </c>
      <c r="FA58" s="442">
        <f>EZ62</f>
        <v>294.16199999999998</v>
      </c>
      <c r="FB58" s="58">
        <f>EX58</f>
        <v>339.68099999999998</v>
      </c>
      <c r="FD58" s="828">
        <f>FA62</f>
        <v>294.16199999999998</v>
      </c>
      <c r="FE58" s="58">
        <f>FD62</f>
        <v>294.16199999999998</v>
      </c>
      <c r="FF58" s="58">
        <f>FE62</f>
        <v>294.16199999999998</v>
      </c>
      <c r="FG58" s="58">
        <f>FF62</f>
        <v>294.16199999999998</v>
      </c>
      <c r="FH58" s="58">
        <f>FD58</f>
        <v>294.16199999999998</v>
      </c>
      <c r="FJ58" s="441">
        <f>FG62</f>
        <v>294.16199999999998</v>
      </c>
      <c r="FK58" s="58">
        <f>FJ62</f>
        <v>294.16199999999998</v>
      </c>
      <c r="FL58" s="58">
        <f>FK62</f>
        <v>294.16199999999998</v>
      </c>
      <c r="FM58" s="58">
        <f>FL62</f>
        <v>294.16199999999998</v>
      </c>
      <c r="FN58" s="58">
        <f>FJ58</f>
        <v>294.16199999999998</v>
      </c>
      <c r="FP58" s="441">
        <f>FM62</f>
        <v>294.16199999999998</v>
      </c>
      <c r="FQ58" s="58">
        <f>FP62</f>
        <v>294.16199999999998</v>
      </c>
      <c r="FR58" s="58">
        <f>FQ62</f>
        <v>294.16199999999998</v>
      </c>
      <c r="FS58" s="58">
        <f>FR62</f>
        <v>294.16199999999998</v>
      </c>
      <c r="FT58" s="58">
        <f>FP58</f>
        <v>294.16199999999998</v>
      </c>
      <c r="FV58" s="441">
        <f>FS62</f>
        <v>294.16199999999998</v>
      </c>
      <c r="FW58" s="58">
        <f>FV62</f>
        <v>294.16199999999998</v>
      </c>
      <c r="FX58" s="58">
        <f>FW62</f>
        <v>294.16199999999998</v>
      </c>
      <c r="FY58" s="58">
        <f>FX62</f>
        <v>294.16199999999998</v>
      </c>
      <c r="FZ58" s="58">
        <f>FV58</f>
        <v>294.16199999999998</v>
      </c>
      <c r="GB58" s="441">
        <f>FY62</f>
        <v>294.16199999999998</v>
      </c>
      <c r="GC58" s="58">
        <f>GB62</f>
        <v>294.16199999999998</v>
      </c>
      <c r="GD58" s="58">
        <f>GC62</f>
        <v>294.16199999999998</v>
      </c>
      <c r="GE58" s="58">
        <f>GD62</f>
        <v>294.16199999999998</v>
      </c>
      <c r="GF58" s="58">
        <f>GB58</f>
        <v>294.16199999999998</v>
      </c>
      <c r="GH58" s="441">
        <f>GE62</f>
        <v>294.16199999999998</v>
      </c>
      <c r="GI58" s="58">
        <f>GH62</f>
        <v>294.16199999999998</v>
      </c>
      <c r="GJ58" s="58">
        <f>GI62</f>
        <v>294.16199999999998</v>
      </c>
      <c r="GK58" s="58">
        <f>GJ62</f>
        <v>294.16199999999998</v>
      </c>
      <c r="GL58" s="58">
        <f>GH58</f>
        <v>294.16199999999998</v>
      </c>
      <c r="GN58" s="441">
        <f>GK62</f>
        <v>294.16199999999998</v>
      </c>
      <c r="GO58" s="58">
        <f>GN62</f>
        <v>294.16199999999998</v>
      </c>
      <c r="GP58" s="58">
        <f>GO62</f>
        <v>294.16199999999998</v>
      </c>
      <c r="GQ58" s="58">
        <f>GP62</f>
        <v>294.16199999999998</v>
      </c>
      <c r="GR58" s="58">
        <f>GN58</f>
        <v>294.16199999999998</v>
      </c>
      <c r="GT58" s="441">
        <f>GQ62</f>
        <v>294.16199999999998</v>
      </c>
      <c r="GU58" s="58">
        <f>GT62</f>
        <v>294.16199999999998</v>
      </c>
      <c r="GV58" s="58">
        <f>GU62</f>
        <v>294.16199999999998</v>
      </c>
      <c r="GW58" s="58">
        <f>GV62</f>
        <v>294.16199999999998</v>
      </c>
      <c r="GX58" s="58">
        <f>GT58</f>
        <v>294.16199999999998</v>
      </c>
      <c r="GZ58" s="441">
        <f>GW62</f>
        <v>294.16199999999998</v>
      </c>
      <c r="HA58" s="58">
        <f>GZ62</f>
        <v>294.16199999999998</v>
      </c>
      <c r="HB58" s="58">
        <f>HA62</f>
        <v>294.16199999999998</v>
      </c>
      <c r="HC58" s="58">
        <f>HB62</f>
        <v>294.16199999999998</v>
      </c>
      <c r="HD58" s="58">
        <f>GZ58</f>
        <v>294.16199999999998</v>
      </c>
      <c r="HF58" s="441">
        <f>HC62</f>
        <v>294.16199999999998</v>
      </c>
      <c r="HG58" s="58">
        <f>HF62</f>
        <v>294.16199999999998</v>
      </c>
      <c r="HH58" s="58">
        <f>HG62</f>
        <v>294.16199999999998</v>
      </c>
      <c r="HI58" s="58">
        <f>HH62</f>
        <v>294.16199999999998</v>
      </c>
      <c r="HJ58" s="58">
        <f>HF58</f>
        <v>294.16199999999998</v>
      </c>
    </row>
    <row r="59" spans="1:218" s="103" customFormat="1">
      <c r="A59" s="58"/>
      <c r="B59" s="58"/>
      <c r="C59" s="58" t="s">
        <v>117</v>
      </c>
      <c r="H59" s="58"/>
      <c r="N59" s="58"/>
      <c r="P59" s="58"/>
      <c r="T59" s="58"/>
      <c r="V59" s="58"/>
      <c r="W59" s="58"/>
      <c r="X59" s="58"/>
      <c r="Y59" s="58"/>
      <c r="Z59" s="58"/>
      <c r="AB59" s="58"/>
      <c r="AC59" s="58"/>
      <c r="AD59" s="58"/>
      <c r="AE59" s="58"/>
      <c r="AF59" s="58"/>
      <c r="AH59" s="58"/>
      <c r="AI59" s="58"/>
      <c r="AJ59" s="58"/>
      <c r="AK59" s="58"/>
      <c r="AL59" s="58"/>
      <c r="AN59" s="58"/>
      <c r="AO59" s="58"/>
      <c r="AP59" s="58"/>
      <c r="AQ59" s="58"/>
      <c r="AR59" s="58"/>
      <c r="AT59" s="58"/>
      <c r="AU59" s="58"/>
      <c r="AV59" s="58"/>
      <c r="AW59" s="58"/>
      <c r="AX59" s="58"/>
      <c r="AZ59" s="58"/>
      <c r="BA59" s="58"/>
      <c r="BB59" s="58"/>
      <c r="BC59" s="58"/>
      <c r="BD59" s="58"/>
      <c r="BF59" s="58"/>
      <c r="BG59" s="58"/>
      <c r="BH59" s="58"/>
      <c r="BI59" s="58"/>
      <c r="BJ59" s="58"/>
      <c r="BL59" s="58"/>
      <c r="BM59" s="58"/>
      <c r="BN59" s="58"/>
      <c r="BO59" s="58"/>
      <c r="BP59" s="58"/>
      <c r="BR59" s="58"/>
      <c r="BS59" s="58"/>
      <c r="BT59" s="58"/>
      <c r="BU59" s="58"/>
      <c r="BV59" s="58"/>
      <c r="BX59" s="58"/>
      <c r="BY59" s="58"/>
      <c r="BZ59" s="58"/>
      <c r="CA59" s="58"/>
      <c r="CB59" s="58"/>
      <c r="CD59" s="58"/>
      <c r="CE59" s="58"/>
      <c r="CF59" s="58"/>
      <c r="CG59" s="58"/>
      <c r="CH59" s="58"/>
      <c r="CJ59" s="58"/>
      <c r="CK59" s="58"/>
      <c r="CL59" s="58"/>
      <c r="CM59" s="58"/>
      <c r="CN59" s="58"/>
      <c r="CP59" s="58"/>
      <c r="CQ59" s="58"/>
      <c r="CR59" s="58"/>
      <c r="CS59" s="58"/>
      <c r="CT59" s="58"/>
      <c r="CV59" s="58"/>
      <c r="CW59" s="58"/>
      <c r="CX59" s="58"/>
      <c r="CY59" s="58"/>
      <c r="CZ59" s="58"/>
      <c r="DB59" s="58"/>
      <c r="DC59" s="58"/>
      <c r="DD59" s="58"/>
      <c r="DE59" s="58"/>
      <c r="DF59" s="58"/>
      <c r="DH59" s="58">
        <f>DH62-DH58-DH60-DH61</f>
        <v>-100.836</v>
      </c>
      <c r="DI59" s="58">
        <f>DI62-DI58-DI60-DI61</f>
        <v>-6.4392935428259079E-15</v>
      </c>
      <c r="DJ59" s="58">
        <f>DJ62-DJ58-DJ60-DJ61</f>
        <v>7.5495165674510645E-15</v>
      </c>
      <c r="DK59" s="58">
        <f>DK62-DK58-DK60-DK61</f>
        <v>71.792999999999992</v>
      </c>
      <c r="DL59" s="58">
        <f>DL62-DL58-DL60-DL61</f>
        <v>-29.043000000000003</v>
      </c>
      <c r="DN59" s="58">
        <f>DN62-DN58-DN60-DN61</f>
        <v>0.37399999999999789</v>
      </c>
      <c r="DO59" s="58">
        <f>DO62-DO58-DO60-DO61</f>
        <v>0.3989999999999938</v>
      </c>
      <c r="DP59" s="58">
        <f>DP62-DP58-DP60-DP61</f>
        <v>-3.8369999999999846</v>
      </c>
      <c r="DQ59" s="58">
        <f>DQ62-DQ58-DQ60-DQ61</f>
        <v>-1.0000000000021103E-3</v>
      </c>
      <c r="DR59" s="58">
        <f>DR62-DR58-DR60-DR61</f>
        <v>-3.0649999999999942</v>
      </c>
      <c r="DT59" s="58">
        <f>DT62-DT58-DT60-DT61</f>
        <v>4.1009999999999867</v>
      </c>
      <c r="DU59" s="58">
        <f>DU62-DU58-DU60-DU61</f>
        <v>-9.9999999998967581E-4</v>
      </c>
      <c r="DV59" s="58">
        <f>DV62-DV58-DV60-DV61</f>
        <v>-3.5527136788005009E-15</v>
      </c>
      <c r="DW59" s="58">
        <f>DW62-DW58-DW60-DW61</f>
        <v>-0.26999999999998803</v>
      </c>
      <c r="DX59" s="58">
        <f>DX62-DX58-DX60-DX61</f>
        <v>3.8300000000000054</v>
      </c>
      <c r="DZ59" s="58">
        <f>DZ62-DZ58-DZ60-DZ61</f>
        <v>-1.2434497875801753E-14</v>
      </c>
      <c r="EA59" s="58">
        <f>EA62-EA58-EA60-EA61</f>
        <v>356.59399999999999</v>
      </c>
      <c r="EB59" s="58">
        <f>EB62-EB58-EB60-EB61</f>
        <v>-11.76199999999999</v>
      </c>
      <c r="EC59" s="58">
        <f>EC62-EC58-EC60-EC61</f>
        <v>-3.1974423109204508E-14</v>
      </c>
      <c r="ED59" s="58">
        <f>ED62-ED58-ED60-ED61</f>
        <v>344.83199999999999</v>
      </c>
      <c r="EF59" s="58">
        <f>EF62-EF58-EF60-EF61</f>
        <v>0</v>
      </c>
      <c r="EG59" s="58">
        <f>EG62-EG58-EG60-EG61</f>
        <v>-7.9999999999582627E-3</v>
      </c>
      <c r="EH59" s="58">
        <f>EH62-EH58-EH60-EH61</f>
        <v>9.9999999999056399E-4</v>
      </c>
      <c r="EI59" s="58">
        <f>EI62-EI58-EI60-EI61</f>
        <v>-2.1316282072803006E-14</v>
      </c>
      <c r="EJ59" s="58">
        <f>EJ62-EJ58-EJ60-EJ61</f>
        <v>-6.9999999999978968E-3</v>
      </c>
      <c r="EL59" s="58">
        <f>EL62-EL58-EL60-EL61</f>
        <v>-1.5987211554602254E-14</v>
      </c>
      <c r="EM59" s="58">
        <f>EM62-EM58-EM60-EM61</f>
        <v>-9.9999999999234035E-4</v>
      </c>
      <c r="EN59" s="58">
        <f>EN62-EN58-EN60-EN61</f>
        <v>1.0000000000438547E-3</v>
      </c>
      <c r="EO59" s="58">
        <f>EO62-EO58-EO60-EO61</f>
        <v>9.9999999996214228E-4</v>
      </c>
      <c r="EP59" s="58">
        <f>EP62-EP58-EP60-EP61</f>
        <v>9.9999999999766942E-4</v>
      </c>
      <c r="ER59" s="58">
        <f>ER62-ER58-ER60-ER61</f>
        <v>-1.9999999999757989E-3</v>
      </c>
      <c r="ES59" s="58">
        <f>ES62-ES58-ES60-ES61</f>
        <v>9.9999999998523492E-4</v>
      </c>
      <c r="ET59" s="58">
        <f>ET62-ET58-ET60-ET61</f>
        <v>-1.9539925233402755E-14</v>
      </c>
      <c r="EU59" s="58">
        <f>EU62-EU58-EU60-EU61</f>
        <v>0</v>
      </c>
      <c r="EV59" s="58">
        <f>EV62-EV58-EV60-EV61</f>
        <v>-1.0000000000047748E-3</v>
      </c>
      <c r="EX59" s="58">
        <f>EX62-EX58-EX60-EX61</f>
        <v>3.3750779948604759E-14</v>
      </c>
      <c r="EY59" s="58">
        <f>EY62-EY58-EY60-EY61</f>
        <v>-21.4</v>
      </c>
      <c r="EZ59" s="58">
        <f>EZ62-EZ58-EZ60-EZ61</f>
        <v>9.9999999996214228E-4</v>
      </c>
      <c r="FA59" s="442"/>
      <c r="FB59" s="58"/>
      <c r="FD59" s="828"/>
      <c r="FE59" s="58"/>
      <c r="FF59" s="58"/>
      <c r="FG59" s="58"/>
      <c r="FH59" s="58"/>
      <c r="FJ59" s="441"/>
      <c r="FK59" s="58"/>
      <c r="FL59" s="58"/>
      <c r="FM59" s="58"/>
      <c r="FN59" s="58"/>
      <c r="FP59" s="441"/>
      <c r="FQ59" s="58"/>
      <c r="FR59" s="58"/>
      <c r="FS59" s="58"/>
      <c r="FT59" s="58"/>
      <c r="FV59" s="441"/>
      <c r="FW59" s="58"/>
      <c r="FX59" s="58"/>
      <c r="FY59" s="58"/>
      <c r="FZ59" s="58"/>
      <c r="GB59" s="441"/>
      <c r="GC59" s="58"/>
      <c r="GD59" s="58"/>
      <c r="GE59" s="58"/>
      <c r="GF59" s="58"/>
      <c r="GH59" s="441"/>
      <c r="GI59" s="58"/>
      <c r="GJ59" s="58"/>
      <c r="GK59" s="58"/>
      <c r="GL59" s="58"/>
      <c r="GN59" s="441"/>
      <c r="GO59" s="58"/>
      <c r="GP59" s="58"/>
      <c r="GQ59" s="58"/>
      <c r="GR59" s="58"/>
      <c r="GT59" s="441"/>
      <c r="GU59" s="58"/>
      <c r="GV59" s="58"/>
      <c r="GW59" s="58"/>
      <c r="GX59" s="58"/>
      <c r="GZ59" s="441"/>
      <c r="HA59" s="58"/>
      <c r="HB59" s="58"/>
      <c r="HC59" s="58"/>
      <c r="HD59" s="58"/>
      <c r="HF59" s="441"/>
      <c r="HG59" s="58"/>
      <c r="HH59" s="58"/>
      <c r="HI59" s="58"/>
      <c r="HJ59" s="58"/>
    </row>
    <row r="60" spans="1:218" s="103" customFormat="1">
      <c r="A60" s="58"/>
      <c r="B60" s="58"/>
      <c r="C60" s="58" t="s">
        <v>122</v>
      </c>
      <c r="H60" s="58"/>
      <c r="N60" s="58"/>
      <c r="P60" s="58"/>
      <c r="Q60" s="58"/>
      <c r="R60" s="58"/>
      <c r="S60" s="58"/>
      <c r="T60" s="58"/>
      <c r="V60" s="58"/>
      <c r="W60" s="58"/>
      <c r="X60" s="58"/>
      <c r="Y60" s="58"/>
      <c r="Z60" s="58"/>
      <c r="AB60" s="58"/>
      <c r="AC60" s="58"/>
      <c r="AD60" s="58"/>
      <c r="AE60" s="58"/>
      <c r="AF60" s="58"/>
      <c r="AH60" s="58"/>
      <c r="AI60" s="58"/>
      <c r="AJ60" s="58"/>
      <c r="AK60" s="58"/>
      <c r="AL60" s="58"/>
      <c r="AN60" s="58"/>
      <c r="AO60" s="58"/>
      <c r="AP60" s="58"/>
      <c r="AQ60" s="58"/>
      <c r="AR60" s="58"/>
      <c r="AT60" s="58"/>
      <c r="AU60" s="58"/>
      <c r="AV60" s="58"/>
      <c r="AW60" s="58"/>
      <c r="AX60" s="58"/>
      <c r="AZ60" s="58"/>
      <c r="BA60" s="58"/>
      <c r="BB60" s="58"/>
      <c r="BC60" s="58"/>
      <c r="BD60" s="58"/>
      <c r="BF60" s="58"/>
      <c r="BG60" s="58"/>
      <c r="BH60" s="58"/>
      <c r="BI60" s="58"/>
      <c r="BJ60" s="58"/>
      <c r="BL60" s="58"/>
      <c r="BM60" s="58"/>
      <c r="BN60" s="58"/>
      <c r="BO60" s="58"/>
      <c r="BP60" s="58"/>
      <c r="BR60" s="58"/>
      <c r="BS60" s="58"/>
      <c r="BT60" s="58"/>
      <c r="BU60" s="58"/>
      <c r="BV60" s="58"/>
      <c r="BX60" s="58"/>
      <c r="BY60" s="58"/>
      <c r="BZ60" s="58"/>
      <c r="CA60" s="58"/>
      <c r="CB60" s="58"/>
      <c r="CD60" s="58"/>
      <c r="CE60" s="58"/>
      <c r="CF60" s="58"/>
      <c r="CG60" s="58"/>
      <c r="CH60" s="58"/>
      <c r="CJ60" s="58"/>
      <c r="CK60" s="58"/>
      <c r="CL60" s="58"/>
      <c r="CM60" s="58"/>
      <c r="CN60" s="58"/>
      <c r="CP60" s="58"/>
      <c r="CQ60" s="58"/>
      <c r="CR60" s="58"/>
      <c r="CS60" s="58"/>
      <c r="CT60" s="58"/>
      <c r="CV60" s="58"/>
      <c r="CW60" s="58"/>
      <c r="CX60" s="58"/>
      <c r="CY60" s="58"/>
      <c r="CZ60" s="58"/>
      <c r="DB60" s="58"/>
      <c r="DC60" s="58"/>
      <c r="DD60" s="58"/>
      <c r="DE60" s="58"/>
      <c r="DF60" s="58"/>
      <c r="DH60" s="58">
        <f>-CF!DH45</f>
        <v>0</v>
      </c>
      <c r="DI60" s="58">
        <f>-CF!DI45</f>
        <v>0</v>
      </c>
      <c r="DJ60" s="58">
        <f>-CF!DJ45</f>
        <v>0</v>
      </c>
      <c r="DK60" s="58">
        <f>-CF!DK45</f>
        <v>0</v>
      </c>
      <c r="DL60" s="58">
        <f>SUM(DH60:DK60)</f>
        <v>0</v>
      </c>
      <c r="DN60" s="58">
        <f>-CF!DN45</f>
        <v>0</v>
      </c>
      <c r="DO60" s="58">
        <f>-CF!DO45</f>
        <v>-0.39900000000000002</v>
      </c>
      <c r="DP60" s="58">
        <f>-CF!DP45</f>
        <v>0</v>
      </c>
      <c r="DQ60" s="58">
        <f>-CF!DQ45</f>
        <v>0</v>
      </c>
      <c r="DR60" s="58">
        <f>SUM(DN60:DQ60)</f>
        <v>-0.39900000000000002</v>
      </c>
      <c r="DT60" s="58">
        <f>-CF!DT45</f>
        <v>0</v>
      </c>
      <c r="DU60" s="58">
        <f>-CF!DU45</f>
        <v>0</v>
      </c>
      <c r="DV60" s="58">
        <f>-CF!DV45</f>
        <v>0</v>
      </c>
      <c r="DW60" s="58">
        <f>-CF!DW45</f>
        <v>0</v>
      </c>
      <c r="DX60" s="58">
        <f>SUM(DT60:DW60)</f>
        <v>0</v>
      </c>
      <c r="DZ60" s="58">
        <f>-CF!DZ45</f>
        <v>0</v>
      </c>
      <c r="EA60" s="58">
        <f>-CF!EA45</f>
        <v>0</v>
      </c>
      <c r="EB60" s="58">
        <f>-CF!EB45</f>
        <v>0</v>
      </c>
      <c r="EC60" s="58">
        <f>-CF!EC45</f>
        <v>0</v>
      </c>
      <c r="ED60" s="58">
        <f>SUM(DZ60:EC60)</f>
        <v>0</v>
      </c>
      <c r="EF60" s="58">
        <f>-CF!EF45</f>
        <v>0</v>
      </c>
      <c r="EG60" s="58">
        <f>-CF!EG45</f>
        <v>0</v>
      </c>
      <c r="EH60" s="58">
        <f>-CF!EH45</f>
        <v>0</v>
      </c>
      <c r="EI60" s="58">
        <f>-CF!EI45</f>
        <v>0</v>
      </c>
      <c r="EJ60" s="58">
        <f>SUM(EF60:EI60)</f>
        <v>0</v>
      </c>
      <c r="EL60" s="58">
        <f>-CF!EL45</f>
        <v>0</v>
      </c>
      <c r="EM60" s="58">
        <f>-CF!EM45</f>
        <v>0</v>
      </c>
      <c r="EN60" s="58">
        <f>-CF!EN45</f>
        <v>0</v>
      </c>
      <c r="EO60" s="58">
        <f>-CF!EO45</f>
        <v>0</v>
      </c>
      <c r="EP60" s="58">
        <f>SUM(EL60:EO60)</f>
        <v>0</v>
      </c>
      <c r="ER60" s="58">
        <f>-CF!ER45</f>
        <v>0</v>
      </c>
      <c r="ES60" s="58">
        <f>-CF!ES45</f>
        <v>0</v>
      </c>
      <c r="ET60" s="58">
        <f>-CF!ET45</f>
        <v>0</v>
      </c>
      <c r="EU60" s="58">
        <f>-CF!EU45</f>
        <v>0</v>
      </c>
      <c r="EV60" s="58">
        <f>SUM(ER60:EU60)</f>
        <v>0</v>
      </c>
      <c r="EX60" s="58">
        <f>-CF!EX45</f>
        <v>0</v>
      </c>
      <c r="EY60" s="58">
        <f>-CF!EY45</f>
        <v>0</v>
      </c>
      <c r="EZ60" s="58">
        <f>-CF!EZ45</f>
        <v>0</v>
      </c>
      <c r="FA60" s="442">
        <v>0</v>
      </c>
      <c r="FB60" s="58">
        <f>SUM(EX60:FA60)</f>
        <v>0</v>
      </c>
      <c r="FD60" s="442">
        <v>0</v>
      </c>
      <c r="FE60" s="58">
        <v>0</v>
      </c>
      <c r="FF60" s="58">
        <v>0</v>
      </c>
      <c r="FG60" s="58">
        <v>0</v>
      </c>
      <c r="FH60" s="58">
        <f>SUM(FD60:FG60)</f>
        <v>0</v>
      </c>
      <c r="FJ60" s="58">
        <v>0</v>
      </c>
      <c r="FK60" s="58">
        <v>0</v>
      </c>
      <c r="FL60" s="58">
        <v>0</v>
      </c>
      <c r="FM60" s="58">
        <v>0</v>
      </c>
      <c r="FN60" s="58">
        <f>SUM(FJ60:FM60)</f>
        <v>0</v>
      </c>
      <c r="FP60" s="58">
        <v>0</v>
      </c>
      <c r="FQ60" s="58">
        <v>0</v>
      </c>
      <c r="FR60" s="58">
        <v>0</v>
      </c>
      <c r="FS60" s="58">
        <v>0</v>
      </c>
      <c r="FT60" s="58">
        <f>SUM(FP60:FS60)</f>
        <v>0</v>
      </c>
      <c r="FV60" s="58">
        <v>0</v>
      </c>
      <c r="FW60" s="58">
        <v>0</v>
      </c>
      <c r="FX60" s="58">
        <v>0</v>
      </c>
      <c r="FY60" s="58">
        <v>0</v>
      </c>
      <c r="FZ60" s="58">
        <f>SUM(FV60:FY60)</f>
        <v>0</v>
      </c>
      <c r="GB60" s="58">
        <v>0</v>
      </c>
      <c r="GC60" s="58">
        <v>0</v>
      </c>
      <c r="GD60" s="58">
        <v>0</v>
      </c>
      <c r="GE60" s="58">
        <v>0</v>
      </c>
      <c r="GF60" s="58">
        <f>SUM(GB60:GE60)</f>
        <v>0</v>
      </c>
      <c r="GH60" s="58">
        <v>0</v>
      </c>
      <c r="GI60" s="58">
        <v>0</v>
      </c>
      <c r="GJ60" s="58">
        <v>0</v>
      </c>
      <c r="GK60" s="58">
        <v>0</v>
      </c>
      <c r="GL60" s="58">
        <f>SUM(GH60:GK60)</f>
        <v>0</v>
      </c>
      <c r="GN60" s="58">
        <v>0</v>
      </c>
      <c r="GO60" s="58">
        <v>0</v>
      </c>
      <c r="GP60" s="58">
        <v>0</v>
      </c>
      <c r="GQ60" s="58">
        <v>0</v>
      </c>
      <c r="GR60" s="58">
        <f>SUM(GN60:GQ60)</f>
        <v>0</v>
      </c>
      <c r="GT60" s="58">
        <v>0</v>
      </c>
      <c r="GU60" s="58">
        <v>0</v>
      </c>
      <c r="GV60" s="58">
        <v>0</v>
      </c>
      <c r="GW60" s="58">
        <v>0</v>
      </c>
      <c r="GX60" s="58">
        <f>SUM(GT60:GW60)</f>
        <v>0</v>
      </c>
      <c r="GZ60" s="58">
        <v>0</v>
      </c>
      <c r="HA60" s="58">
        <v>0</v>
      </c>
      <c r="HB60" s="58">
        <v>0</v>
      </c>
      <c r="HC60" s="58">
        <v>0</v>
      </c>
      <c r="HD60" s="58">
        <f>SUM(GZ60:HC60)</f>
        <v>0</v>
      </c>
      <c r="HF60" s="58">
        <v>0</v>
      </c>
      <c r="HG60" s="58">
        <v>0</v>
      </c>
      <c r="HH60" s="58">
        <v>0</v>
      </c>
      <c r="HI60" s="58">
        <v>0</v>
      </c>
      <c r="HJ60" s="58">
        <f>SUM(HF60:HI60)</f>
        <v>0</v>
      </c>
    </row>
    <row r="61" spans="1:218" s="103" customFormat="1">
      <c r="A61" s="643">
        <v>12.5</v>
      </c>
      <c r="B61" s="58"/>
      <c r="C61" s="58" t="s">
        <v>123</v>
      </c>
      <c r="H61" s="58"/>
      <c r="N61" s="58"/>
      <c r="DH61" s="103">
        <f>-CF!DH12</f>
        <v>-1.413</v>
      </c>
      <c r="DI61" s="103">
        <f>-CF!DI12</f>
        <v>-1.421</v>
      </c>
      <c r="DJ61" s="103">
        <f>-CF!DJ12</f>
        <v>-1.4209999999999998</v>
      </c>
      <c r="DK61" s="103">
        <f>-CF!DK12</f>
        <v>-1.673</v>
      </c>
      <c r="DL61" s="58">
        <f>SUM(DH61:DK61)</f>
        <v>-5.9279999999999999</v>
      </c>
      <c r="DN61" s="103">
        <f>-CF!DN12</f>
        <v>-2.5590000000000002</v>
      </c>
      <c r="DO61" s="103">
        <f>-CF!DO12</f>
        <v>-2.5430000000000001</v>
      </c>
      <c r="DP61" s="103">
        <f>-CF!DP12</f>
        <v>-2.38</v>
      </c>
      <c r="DQ61" s="103">
        <f>-CF!DQ12</f>
        <v>-2.4430000000000005</v>
      </c>
      <c r="DR61" s="58">
        <f>SUM(DN61:DQ61)</f>
        <v>-9.9250000000000007</v>
      </c>
      <c r="DT61" s="103">
        <f>-CF!DT12</f>
        <v>-2.452</v>
      </c>
      <c r="DU61" s="103">
        <f>-CF!DU12</f>
        <v>-2.4669999999999996</v>
      </c>
      <c r="DV61" s="103">
        <f>-CF!DV12</f>
        <v>-2.468</v>
      </c>
      <c r="DW61" s="103">
        <f>-CF!DW12</f>
        <v>-2.4300000000000006</v>
      </c>
      <c r="DX61" s="58">
        <f>SUM(DT61:DW61)</f>
        <v>-9.8170000000000002</v>
      </c>
      <c r="DZ61" s="103">
        <f>-CF!DZ12</f>
        <v>-2.4580000000000002</v>
      </c>
      <c r="EA61" s="103">
        <f>-CF!EA12</f>
        <v>-3.7509999999999994</v>
      </c>
      <c r="EB61" s="103">
        <f>-CF!EB12</f>
        <v>-8.4740000000000002</v>
      </c>
      <c r="EC61" s="103">
        <f>-CF!EC12</f>
        <v>-8.4770000000000003</v>
      </c>
      <c r="ED61" s="58">
        <f>SUM(DZ61:EC61)</f>
        <v>-23.16</v>
      </c>
      <c r="EF61" s="103">
        <f>-CF!EF12</f>
        <v>-8.49</v>
      </c>
      <c r="EG61" s="103">
        <f>-CF!EG12</f>
        <v>-8.488999999999999</v>
      </c>
      <c r="EH61" s="103">
        <f>-CF!EH12</f>
        <v>-8.4909999999999997</v>
      </c>
      <c r="EI61" s="103">
        <f>-CF!EI12</f>
        <v>-8.588000000000001</v>
      </c>
      <c r="EJ61" s="58">
        <f>SUM(EF61:EI61)</f>
        <v>-34.058</v>
      </c>
      <c r="EL61" s="103">
        <f>-CF!EL12</f>
        <v>-8.7829999999999995</v>
      </c>
      <c r="EM61" s="103">
        <f>-CF!EM12</f>
        <v>-8.7829999999999995</v>
      </c>
      <c r="EN61" s="103">
        <f>-CF!EN12</f>
        <v>-8.7840000000000025</v>
      </c>
      <c r="EO61" s="103">
        <f>-CF!EO12</f>
        <v>-8.7830000000000013</v>
      </c>
      <c r="EP61" s="58">
        <f>SUM(EL61:EO61)</f>
        <v>-35.133000000000003</v>
      </c>
      <c r="ER61" s="103">
        <f>-CF!ER12</f>
        <v>-8.3620000000000001</v>
      </c>
      <c r="ES61" s="103">
        <f>-CF!ES12</f>
        <v>-8.3609999999999989</v>
      </c>
      <c r="ET61" s="103">
        <f>-CF!ET12</f>
        <v>-8.3620000000000037</v>
      </c>
      <c r="EU61" s="103">
        <f>-CF!EU12</f>
        <v>-8.3609999999999953</v>
      </c>
      <c r="EV61" s="58">
        <f>SUM(ER61:EU61)</f>
        <v>-33.445999999999998</v>
      </c>
      <c r="EX61" s="103">
        <f>-CF!EX12</f>
        <v>-8.3620000000000001</v>
      </c>
      <c r="EY61" s="103">
        <f>-CF!EY12</f>
        <v>-8.1240000000000006</v>
      </c>
      <c r="EZ61" s="103">
        <f>-CF!EZ12</f>
        <v>-7.6340000000000003</v>
      </c>
      <c r="FA61" s="641">
        <f>IF(-EZ62&lt;FB61/4,FB61/4,-EZ62)</f>
        <v>0</v>
      </c>
      <c r="FB61" s="447">
        <v>0</v>
      </c>
      <c r="FD61" s="641">
        <f>IF(-FA62&lt;FH61/4,FH61/4,-FA62)</f>
        <v>0</v>
      </c>
      <c r="FE61" s="103">
        <f>IF(-FD62&lt;FH61/4,FH61/4,-FD62)</f>
        <v>0</v>
      </c>
      <c r="FF61" s="103">
        <f>IF(-FE62&lt;FH61/4,FH61/4,-FE62)</f>
        <v>0</v>
      </c>
      <c r="FG61" s="103">
        <f>IF(-FF62&lt;FH61/4,FH61/4,-FF62)</f>
        <v>0</v>
      </c>
      <c r="FH61" s="447">
        <f>FB61</f>
        <v>0</v>
      </c>
      <c r="FJ61" s="103">
        <f>IF(-FG62&lt;FN61/4,FN61/4,-FG62)</f>
        <v>0</v>
      </c>
      <c r="FK61" s="103">
        <f>IF(-FJ62&lt;FN61/4,FN61/4,-FJ62)</f>
        <v>0</v>
      </c>
      <c r="FL61" s="103">
        <f>IF(-FK62&lt;FN61/4,FN61/4,-FK62)</f>
        <v>0</v>
      </c>
      <c r="FM61" s="103">
        <f>IF(-FL62&lt;FN61/4,FN61/4,-FL62)</f>
        <v>0</v>
      </c>
      <c r="FN61" s="447">
        <f>FH61</f>
        <v>0</v>
      </c>
      <c r="FP61" s="103">
        <f>IF(-FM62&lt;FT61/4,FT61/4,-FM62)</f>
        <v>0</v>
      </c>
      <c r="FQ61" s="103">
        <f>IF(-FP62&lt;FT61/4,FT61/4,-FP62)</f>
        <v>0</v>
      </c>
      <c r="FR61" s="103">
        <f>IF(-FQ62&lt;FT61/4,FT61/4,-FQ62)</f>
        <v>0</v>
      </c>
      <c r="FS61" s="103">
        <f>IF(-FR62&lt;FT61/4,FT61/4,-FR62)</f>
        <v>0</v>
      </c>
      <c r="FT61" s="447">
        <f>FN61</f>
        <v>0</v>
      </c>
      <c r="FV61" s="103">
        <f>IF(-FS62&lt;FZ61/4,FZ61/4,-FS62)</f>
        <v>0</v>
      </c>
      <c r="FW61" s="103">
        <f>IF(-FV62&lt;FZ61/4,FZ61/4,-FV62)</f>
        <v>0</v>
      </c>
      <c r="FX61" s="103">
        <f>IF(-FW62&lt;FZ61/4,FZ61/4,-FW62)</f>
        <v>0</v>
      </c>
      <c r="FY61" s="103">
        <f>IF(-FX62&lt;FZ61/4,FZ61/4,-FX62)</f>
        <v>0</v>
      </c>
      <c r="FZ61" s="447">
        <f>FT61</f>
        <v>0</v>
      </c>
      <c r="GB61" s="103">
        <f>IF(-FY62&lt;GF61/4,GF61/4,-FY62)</f>
        <v>0</v>
      </c>
      <c r="GC61" s="103">
        <f>IF(-GB62&lt;GF61/4,GF61/4,-GB62)</f>
        <v>0</v>
      </c>
      <c r="GD61" s="103">
        <f>IF(-GC62&lt;GF61/4,GF61/4,-GC62)</f>
        <v>0</v>
      </c>
      <c r="GE61" s="103">
        <f>IF(-GD62&lt;GF61/4,GF61/4,-GD62)</f>
        <v>0</v>
      </c>
      <c r="GF61" s="447">
        <f>FZ61</f>
        <v>0</v>
      </c>
      <c r="GH61" s="103">
        <f>IF(-GE62&lt;GL61/4,GL61/4,-GE62)</f>
        <v>0</v>
      </c>
      <c r="GI61" s="103">
        <f>IF(-GH62&lt;GL61/4,GL61/4,-GH62)</f>
        <v>0</v>
      </c>
      <c r="GJ61" s="103">
        <f>IF(-GI62&lt;GL61/4,GL61/4,-GI62)</f>
        <v>0</v>
      </c>
      <c r="GK61" s="103">
        <f>IF(-GJ62&lt;GL61/4,GL61/4,-GJ62)</f>
        <v>0</v>
      </c>
      <c r="GL61" s="447">
        <f>GF61</f>
        <v>0</v>
      </c>
      <c r="GN61" s="103">
        <f>IF(-GK62&lt;GR61/4,GR61/4,-GK62)</f>
        <v>0</v>
      </c>
      <c r="GO61" s="103">
        <f>IF(-GN62&lt;GR61/4,GR61/4,-GN62)</f>
        <v>0</v>
      </c>
      <c r="GP61" s="103">
        <f>IF(-GO62&lt;GR61/4,GR61/4,-GO62)</f>
        <v>0</v>
      </c>
      <c r="GQ61" s="103">
        <f>IF(-GP62&lt;GR61/4,GR61/4,-GP62)</f>
        <v>0</v>
      </c>
      <c r="GR61" s="447">
        <f>GL61</f>
        <v>0</v>
      </c>
      <c r="GT61" s="103">
        <f>IF(-GQ62&lt;GX61/4,GX61/4,-GQ62)</f>
        <v>0</v>
      </c>
      <c r="GU61" s="103">
        <f>IF(-GT62&lt;GX61/4,GX61/4,-GT62)</f>
        <v>0</v>
      </c>
      <c r="GV61" s="103">
        <f>IF(-GU62&lt;GX61/4,GX61/4,-GU62)</f>
        <v>0</v>
      </c>
      <c r="GW61" s="103">
        <f>IF(-GV62&lt;GX61/4,GX61/4,-GV62)</f>
        <v>0</v>
      </c>
      <c r="GX61" s="447">
        <f>GR61</f>
        <v>0</v>
      </c>
      <c r="GZ61" s="103">
        <f>IF(-GW62&lt;HD61/4,HD61/4,-GW62)</f>
        <v>0</v>
      </c>
      <c r="HA61" s="103">
        <f>IF(-GZ62&lt;HD61/4,HD61/4,-GZ62)</f>
        <v>0</v>
      </c>
      <c r="HB61" s="103">
        <f>IF(-HA62&lt;HD61/4,HD61/4,-HA62)</f>
        <v>0</v>
      </c>
      <c r="HC61" s="103">
        <f>IF(-HB62&lt;HD61/4,HD61/4,-HB62)</f>
        <v>0</v>
      </c>
      <c r="HD61" s="447">
        <f>GX61</f>
        <v>0</v>
      </c>
      <c r="HF61" s="103">
        <f>IF(-HC62&lt;HJ61/4,HJ61/4,-HC62)</f>
        <v>0</v>
      </c>
      <c r="HG61" s="103">
        <f>IF(-HF62&lt;HJ61/4,HJ61/4,-HF62)</f>
        <v>0</v>
      </c>
      <c r="HH61" s="103">
        <f>IF(-HG62&lt;HJ61/4,HJ61/4,-HG62)</f>
        <v>0</v>
      </c>
      <c r="HI61" s="103">
        <f>IF(-HH62&lt;HJ61/4,HJ61/4,-HH62)</f>
        <v>0</v>
      </c>
      <c r="HJ61" s="447">
        <f>HD61</f>
        <v>0</v>
      </c>
    </row>
    <row r="62" spans="1:218" s="103" customFormat="1">
      <c r="A62" s="58"/>
      <c r="B62" s="58" t="s">
        <v>120</v>
      </c>
      <c r="C62" s="58"/>
      <c r="H62" s="58"/>
      <c r="N62" s="58"/>
      <c r="S62" s="58"/>
      <c r="T62" s="58"/>
      <c r="V62" s="58"/>
      <c r="W62" s="58"/>
      <c r="X62" s="58"/>
      <c r="Y62" s="58"/>
      <c r="Z62" s="58"/>
      <c r="AB62" s="58"/>
      <c r="AC62" s="58"/>
      <c r="AD62" s="58"/>
      <c r="AE62" s="58"/>
      <c r="AF62" s="58"/>
      <c r="AH62" s="58"/>
      <c r="AI62" s="58"/>
      <c r="AJ62" s="58"/>
      <c r="AK62" s="58"/>
      <c r="AL62" s="58"/>
      <c r="AN62" s="58"/>
      <c r="AO62" s="58"/>
      <c r="AP62" s="58"/>
      <c r="AQ62" s="58"/>
      <c r="AR62" s="58"/>
      <c r="AT62" s="58"/>
      <c r="AU62" s="58"/>
      <c r="AV62" s="58"/>
      <c r="AW62" s="58"/>
      <c r="AX62" s="58"/>
      <c r="AZ62" s="58"/>
      <c r="BA62" s="58"/>
      <c r="BB62" s="58"/>
      <c r="BC62" s="58"/>
      <c r="BD62" s="58"/>
      <c r="BF62" s="58"/>
      <c r="BG62" s="58"/>
      <c r="BH62" s="58"/>
      <c r="BI62" s="58"/>
      <c r="BJ62" s="58"/>
      <c r="BL62" s="58"/>
      <c r="BM62" s="58"/>
      <c r="BN62" s="58"/>
      <c r="BO62" s="58"/>
      <c r="BP62" s="58"/>
      <c r="BR62" s="58"/>
      <c r="BS62" s="58"/>
      <c r="BT62" s="58"/>
      <c r="BU62" s="58"/>
      <c r="BV62" s="58"/>
      <c r="BX62" s="58"/>
      <c r="BY62" s="58"/>
      <c r="BZ62" s="58"/>
      <c r="CA62" s="58"/>
      <c r="CB62" s="58"/>
      <c r="CD62" s="58"/>
      <c r="CE62" s="58"/>
      <c r="CF62" s="58"/>
      <c r="CG62" s="58"/>
      <c r="CH62" s="58"/>
      <c r="CJ62" s="58"/>
      <c r="CK62" s="58"/>
      <c r="CL62" s="58"/>
      <c r="CM62" s="58"/>
      <c r="CN62" s="58"/>
      <c r="CP62" s="58"/>
      <c r="CQ62" s="58"/>
      <c r="CR62" s="58"/>
      <c r="CS62" s="58"/>
      <c r="CT62" s="58"/>
      <c r="CV62" s="58"/>
      <c r="CW62" s="58"/>
      <c r="CX62" s="58"/>
      <c r="CY62" s="58"/>
      <c r="CZ62" s="58"/>
      <c r="DB62" s="58"/>
      <c r="DC62" s="58"/>
      <c r="DD62" s="58"/>
      <c r="DE62" s="58"/>
      <c r="DF62" s="58"/>
      <c r="DH62" s="58">
        <f>BS!DH24</f>
        <v>72.751000000000005</v>
      </c>
      <c r="DI62" s="58">
        <f>BS!DI24</f>
        <v>71.33</v>
      </c>
      <c r="DJ62" s="58">
        <f>BS!DJ24</f>
        <v>69.909000000000006</v>
      </c>
      <c r="DK62" s="58">
        <f>BS!DK24</f>
        <v>140.029</v>
      </c>
      <c r="DL62" s="58">
        <f>BS!DL24</f>
        <v>140.029</v>
      </c>
      <c r="DN62" s="58">
        <f>BS!DN24</f>
        <v>137.84399999999999</v>
      </c>
      <c r="DO62" s="58">
        <f>BS!DO24</f>
        <v>135.30099999999999</v>
      </c>
      <c r="DP62" s="58">
        <f>BS!DP24</f>
        <v>129.084</v>
      </c>
      <c r="DQ62" s="58">
        <f>BS!DQ24</f>
        <v>126.64</v>
      </c>
      <c r="DR62" s="58">
        <f>BS!DR24</f>
        <v>126.64</v>
      </c>
      <c r="DT62" s="58">
        <f>BS!DT24</f>
        <v>128.28899999999999</v>
      </c>
      <c r="DU62" s="58">
        <f>BS!DU24</f>
        <v>125.821</v>
      </c>
      <c r="DV62" s="58">
        <f>BS!DV24</f>
        <v>123.35299999999999</v>
      </c>
      <c r="DW62" s="58">
        <f>BS!DW24</f>
        <v>120.65300000000001</v>
      </c>
      <c r="DX62" s="58">
        <f>BS!DX24</f>
        <v>120.65300000000001</v>
      </c>
      <c r="DZ62" s="58">
        <f>BS!DZ24</f>
        <v>118.19499999999999</v>
      </c>
      <c r="EA62" s="58">
        <f>BS!EA24</f>
        <v>471.03800000000001</v>
      </c>
      <c r="EB62" s="58">
        <f>BS!EB24</f>
        <v>450.80200000000002</v>
      </c>
      <c r="EC62" s="58">
        <f>BS!EC24</f>
        <v>442.32499999999999</v>
      </c>
      <c r="ED62" s="58">
        <f>BS!ED24</f>
        <v>442.32499999999999</v>
      </c>
      <c r="EF62" s="58">
        <f>BS!EF24</f>
        <v>433.83499999999998</v>
      </c>
      <c r="EG62" s="58">
        <f>BS!EG24</f>
        <v>425.33800000000002</v>
      </c>
      <c r="EH62" s="58">
        <f>BS!EH24</f>
        <v>416.84800000000001</v>
      </c>
      <c r="EI62" s="58">
        <f>BS!EI24</f>
        <v>408.26</v>
      </c>
      <c r="EJ62" s="58">
        <f>BS!EJ24</f>
        <v>408.26</v>
      </c>
      <c r="EL62" s="58">
        <f>BS!EL24</f>
        <v>399.47699999999998</v>
      </c>
      <c r="EM62" s="58">
        <f>BS!EM24</f>
        <v>390.69299999999998</v>
      </c>
      <c r="EN62" s="58">
        <f>BS!EN24</f>
        <v>381.91</v>
      </c>
      <c r="EO62" s="58">
        <f>BS!EO24</f>
        <v>373.12799999999999</v>
      </c>
      <c r="EP62" s="58">
        <f>BS!EP24</f>
        <v>373.12799999999999</v>
      </c>
      <c r="ER62" s="58">
        <f>BS!ER24</f>
        <v>364.76400000000001</v>
      </c>
      <c r="ES62" s="58">
        <f>BS!ES24</f>
        <v>356.404</v>
      </c>
      <c r="ET62" s="58">
        <f>BS!ET24</f>
        <v>348.04199999999997</v>
      </c>
      <c r="EU62" s="58">
        <f>BS!EU24</f>
        <v>339.68099999999998</v>
      </c>
      <c r="EV62" s="58">
        <f>BS!EV24</f>
        <v>339.68099999999998</v>
      </c>
      <c r="EX62" s="58">
        <f>BS!EX24</f>
        <v>331.31900000000002</v>
      </c>
      <c r="EY62" s="58">
        <f>BS!EY24</f>
        <v>301.79500000000002</v>
      </c>
      <c r="EZ62" s="58">
        <f>BS!EZ24</f>
        <v>294.16199999999998</v>
      </c>
      <c r="FA62" s="442">
        <f>SUM(FA58:FA61)</f>
        <v>294.16199999999998</v>
      </c>
      <c r="FB62" s="58">
        <f>SUM(FB58:FB61)</f>
        <v>339.68099999999998</v>
      </c>
      <c r="FD62" s="828">
        <f>SUM(FD58:FD61)</f>
        <v>294.16199999999998</v>
      </c>
      <c r="FE62" s="58">
        <f>SUM(FE58:FE61)</f>
        <v>294.16199999999998</v>
      </c>
      <c r="FF62" s="58">
        <f>SUM(FF58:FF61)</f>
        <v>294.16199999999998</v>
      </c>
      <c r="FG62" s="58">
        <f>SUM(FG58:FG61)</f>
        <v>294.16199999999998</v>
      </c>
      <c r="FH62" s="58">
        <f>SUM(FH58:FH61)</f>
        <v>294.16199999999998</v>
      </c>
      <c r="FJ62" s="441">
        <f>SUM(FJ58:FJ61)</f>
        <v>294.16199999999998</v>
      </c>
      <c r="FK62" s="58">
        <f>SUM(FK58:FK61)</f>
        <v>294.16199999999998</v>
      </c>
      <c r="FL62" s="58">
        <f>SUM(FL58:FL61)</f>
        <v>294.16199999999998</v>
      </c>
      <c r="FM62" s="58">
        <f>SUM(FM58:FM61)</f>
        <v>294.16199999999998</v>
      </c>
      <c r="FN62" s="58">
        <f>SUM(FN58:FN61)</f>
        <v>294.16199999999998</v>
      </c>
      <c r="FP62" s="441">
        <f>SUM(FP58:FP61)</f>
        <v>294.16199999999998</v>
      </c>
      <c r="FQ62" s="58">
        <f>SUM(FQ58:FQ61)</f>
        <v>294.16199999999998</v>
      </c>
      <c r="FR62" s="58">
        <f>SUM(FR58:FR61)</f>
        <v>294.16199999999998</v>
      </c>
      <c r="FS62" s="58">
        <f>SUM(FS58:FS61)</f>
        <v>294.16199999999998</v>
      </c>
      <c r="FT62" s="58">
        <f>SUM(FT58:FT61)</f>
        <v>294.16199999999998</v>
      </c>
      <c r="FV62" s="441">
        <f>SUM(FV58:FV61)</f>
        <v>294.16199999999998</v>
      </c>
      <c r="FW62" s="58">
        <f>SUM(FW58:FW61)</f>
        <v>294.16199999999998</v>
      </c>
      <c r="FX62" s="58">
        <f>SUM(FX58:FX61)</f>
        <v>294.16199999999998</v>
      </c>
      <c r="FY62" s="58">
        <f>SUM(FY58:FY61)</f>
        <v>294.16199999999998</v>
      </c>
      <c r="FZ62" s="58">
        <f>SUM(FZ58:FZ61)</f>
        <v>294.16199999999998</v>
      </c>
      <c r="GB62" s="441">
        <f>SUM(GB58:GB61)</f>
        <v>294.16199999999998</v>
      </c>
      <c r="GC62" s="58">
        <f>SUM(GC58:GC61)</f>
        <v>294.16199999999998</v>
      </c>
      <c r="GD62" s="58">
        <f>SUM(GD58:GD61)</f>
        <v>294.16199999999998</v>
      </c>
      <c r="GE62" s="58">
        <f>SUM(GE58:GE61)</f>
        <v>294.16199999999998</v>
      </c>
      <c r="GF62" s="58">
        <f>SUM(GF58:GF61)</f>
        <v>294.16199999999998</v>
      </c>
      <c r="GH62" s="441">
        <f>SUM(GH58:GH61)</f>
        <v>294.16199999999998</v>
      </c>
      <c r="GI62" s="58">
        <f>SUM(GI58:GI61)</f>
        <v>294.16199999999998</v>
      </c>
      <c r="GJ62" s="58">
        <f>SUM(GJ58:GJ61)</f>
        <v>294.16199999999998</v>
      </c>
      <c r="GK62" s="58">
        <f>SUM(GK58:GK61)</f>
        <v>294.16199999999998</v>
      </c>
      <c r="GL62" s="58">
        <f>SUM(GL58:GL61)</f>
        <v>294.16199999999998</v>
      </c>
      <c r="GN62" s="441">
        <f>SUM(GN58:GN61)</f>
        <v>294.16199999999998</v>
      </c>
      <c r="GO62" s="58">
        <f>SUM(GO58:GO61)</f>
        <v>294.16199999999998</v>
      </c>
      <c r="GP62" s="58">
        <f>SUM(GP58:GP61)</f>
        <v>294.16199999999998</v>
      </c>
      <c r="GQ62" s="58">
        <f>SUM(GQ58:GQ61)</f>
        <v>294.16199999999998</v>
      </c>
      <c r="GR62" s="58">
        <f>SUM(GR58:GR61)</f>
        <v>294.16199999999998</v>
      </c>
      <c r="GT62" s="441">
        <f>SUM(GT58:GT61)</f>
        <v>294.16199999999998</v>
      </c>
      <c r="GU62" s="58">
        <f>SUM(GU58:GU61)</f>
        <v>294.16199999999998</v>
      </c>
      <c r="GV62" s="58">
        <f>SUM(GV58:GV61)</f>
        <v>294.16199999999998</v>
      </c>
      <c r="GW62" s="58">
        <f>SUM(GW58:GW61)</f>
        <v>294.16199999999998</v>
      </c>
      <c r="GX62" s="58">
        <f>SUM(GX58:GX61)</f>
        <v>294.16199999999998</v>
      </c>
      <c r="GZ62" s="441">
        <f>SUM(GZ58:GZ61)</f>
        <v>294.16199999999998</v>
      </c>
      <c r="HA62" s="58">
        <f>SUM(HA58:HA61)</f>
        <v>294.16199999999998</v>
      </c>
      <c r="HB62" s="58">
        <f>SUM(HB58:HB61)</f>
        <v>294.16199999999998</v>
      </c>
      <c r="HC62" s="58">
        <f>SUM(HC58:HC61)</f>
        <v>294.16199999999998</v>
      </c>
      <c r="HD62" s="58">
        <f>SUM(HD58:HD61)</f>
        <v>294.16199999999998</v>
      </c>
      <c r="HF62" s="441">
        <f>SUM(HF58:HF61)</f>
        <v>294.16199999999998</v>
      </c>
      <c r="HG62" s="58">
        <f>SUM(HG58:HG61)</f>
        <v>294.16199999999998</v>
      </c>
      <c r="HH62" s="58">
        <f>SUM(HH58:HH61)</f>
        <v>294.16199999999998</v>
      </c>
      <c r="HI62" s="58">
        <f>SUM(HI58:HI61)</f>
        <v>294.16199999999998</v>
      </c>
      <c r="HJ62" s="58">
        <f>SUM(HJ58:HJ61)</f>
        <v>294.16199999999998</v>
      </c>
    </row>
    <row r="63" spans="1:218" s="103" customFormat="1">
      <c r="A63" s="58"/>
      <c r="B63" s="58"/>
      <c r="C63" s="58"/>
      <c r="H63" s="58"/>
      <c r="N63" s="58"/>
      <c r="T63" s="58"/>
      <c r="Z63" s="58"/>
      <c r="AF63" s="58"/>
      <c r="AL63" s="58"/>
      <c r="AR63" s="58"/>
      <c r="AX63" s="58"/>
      <c r="BD63" s="58"/>
      <c r="BJ63" s="58"/>
      <c r="BP63" s="58"/>
      <c r="BV63" s="58"/>
      <c r="CB63" s="58"/>
      <c r="CH63" s="58"/>
      <c r="CN63" s="58"/>
      <c r="CT63" s="58"/>
      <c r="CZ63" s="58"/>
      <c r="DF63" s="58"/>
      <c r="DH63" s="360">
        <f>(DH58/-DH61)/4</f>
        <v>30.962491153573957</v>
      </c>
      <c r="DI63" s="360">
        <f>(DI58/-DI61)/4</f>
        <v>12.799261083743843</v>
      </c>
      <c r="DJ63" s="360">
        <f>(DJ58/-DJ61)/4</f>
        <v>12.549261083743843</v>
      </c>
      <c r="DK63" s="360">
        <f>(DK58/-DK61)/4</f>
        <v>10.446652719665273</v>
      </c>
      <c r="DL63" s="360">
        <f>AVERAGE(DH58:DK58)/-DL61</f>
        <v>16.40477395411606</v>
      </c>
      <c r="DM63" s="462"/>
      <c r="DN63" s="360">
        <f>(DN58/-DN61)/4</f>
        <v>13.680050801094175</v>
      </c>
      <c r="DO63" s="360">
        <f>(DO58/-DO61)/4</f>
        <v>13.551317341722374</v>
      </c>
      <c r="DP63" s="360">
        <f>(DP58/-DP61)/4</f>
        <v>14.212289915966386</v>
      </c>
      <c r="DQ63" s="360">
        <f>(DQ58/-DQ61)/4</f>
        <v>13.209578387228815</v>
      </c>
      <c r="DR63" s="360">
        <f>DN58/-DR61</f>
        <v>14.108715365239293</v>
      </c>
      <c r="DS63" s="462"/>
      <c r="DT63" s="360">
        <f>(DT58/-DT61)/4</f>
        <v>12.911908646003264</v>
      </c>
      <c r="DU63" s="360">
        <f>(DU58/-DU61)/4</f>
        <v>13.000506688285368</v>
      </c>
      <c r="DV63" s="360">
        <f>(DV58/-DV61)/4</f>
        <v>12.745239059967584</v>
      </c>
      <c r="DW63" s="360">
        <f>(DW58/-DW61)/4</f>
        <v>12.690637860082301</v>
      </c>
      <c r="DX63" s="360">
        <f>DT58/-DX61</f>
        <v>12.90007130487929</v>
      </c>
      <c r="DY63" s="830"/>
      <c r="DZ63" s="360">
        <f>(DZ58/-DZ61)/4</f>
        <v>12.271460537021969</v>
      </c>
      <c r="EA63" s="360">
        <f>(EA58/-EA61)/4</f>
        <v>7.8775659824046924</v>
      </c>
      <c r="EB63" s="360">
        <f>(EB58/-EB61)/4</f>
        <v>13.896565966485721</v>
      </c>
      <c r="EC63" s="360">
        <f>(EC58/-EC61)/4</f>
        <v>13.294856670992097</v>
      </c>
      <c r="ED63" s="360">
        <f>DZ58/-ED61</f>
        <v>5.209542314335061</v>
      </c>
      <c r="EE63" s="830"/>
      <c r="EF63" s="360">
        <f>(EF58/-EF61)/4</f>
        <v>13.024882214369846</v>
      </c>
      <c r="EG63" s="360">
        <f>(EG58/-EG61)/4</f>
        <v>12.776387089174227</v>
      </c>
      <c r="EH63" s="360">
        <f>(EH58/-EH61)/4</f>
        <v>12.523201036391475</v>
      </c>
      <c r="EI63" s="360">
        <f>(EI58/-EI61)/4</f>
        <v>12.134606427573358</v>
      </c>
      <c r="EJ63" s="360">
        <f>EF58/-EJ61</f>
        <v>12.987403840507369</v>
      </c>
      <c r="EK63" s="462"/>
      <c r="EL63" s="360">
        <f>(EL58/-EL61)/4</f>
        <v>11.620744620289196</v>
      </c>
      <c r="EM63" s="360">
        <f>(EM58/-EM61)/4</f>
        <v>11.370744620289194</v>
      </c>
      <c r="EN63" s="360">
        <f>(EN58/-EN61)/4</f>
        <v>11.119450136612018</v>
      </c>
      <c r="EO63" s="360">
        <f>(EO58/-EO61)/4</f>
        <v>10.870716156210861</v>
      </c>
      <c r="EP63" s="360">
        <f>EL58/-EP61</f>
        <v>11.620413855918935</v>
      </c>
      <c r="ER63" s="360">
        <f>(ER58/-ER61)/4</f>
        <v>11.155465199712987</v>
      </c>
      <c r="ES63" s="360">
        <f>(ES58/-ES61)/4</f>
        <v>10.90670972371726</v>
      </c>
      <c r="ET63" s="360">
        <f>(ET58/-ET61)/4</f>
        <v>10.655465199712983</v>
      </c>
      <c r="EU63" s="360">
        <f>(EU58/-EU61)/4</f>
        <v>10.406709723717263</v>
      </c>
      <c r="EV63" s="360">
        <f>ER58/-EV61</f>
        <v>11.156132272917539</v>
      </c>
      <c r="EX63" s="709">
        <f>(EX58/-EX61)/4</f>
        <v>10.155495096866778</v>
      </c>
      <c r="EY63" s="360">
        <f>(EY58/-EY61)/4</f>
        <v>10.195685622845888</v>
      </c>
      <c r="EZ63" s="709">
        <f>(EZ58/-EZ61)/4</f>
        <v>9.8832525543620644</v>
      </c>
      <c r="FA63" s="641"/>
      <c r="FB63" s="58"/>
      <c r="FD63" s="908"/>
      <c r="FH63" s="58"/>
      <c r="FJ63" s="444"/>
      <c r="FN63" s="58"/>
      <c r="FP63" s="444"/>
      <c r="FT63" s="58"/>
      <c r="FV63" s="444"/>
      <c r="FZ63" s="58"/>
      <c r="GB63" s="444"/>
      <c r="GF63" s="58"/>
      <c r="GH63" s="444"/>
      <c r="GL63" s="58"/>
      <c r="GN63" s="444"/>
      <c r="GR63" s="58"/>
      <c r="GT63" s="444"/>
      <c r="GX63" s="58"/>
      <c r="GZ63" s="444"/>
      <c r="HD63" s="58"/>
      <c r="HF63" s="444"/>
      <c r="HJ63" s="58"/>
    </row>
    <row r="64" spans="1:218" s="103" customFormat="1">
      <c r="A64" s="440" t="s">
        <v>47</v>
      </c>
      <c r="B64" s="58"/>
      <c r="C64" s="58"/>
      <c r="H64" s="58"/>
      <c r="N64" s="58"/>
      <c r="T64" s="58"/>
      <c r="Z64" s="58"/>
      <c r="AF64" s="58"/>
      <c r="AL64" s="58"/>
      <c r="AR64" s="58"/>
      <c r="AX64" s="58"/>
      <c r="BD64" s="58"/>
      <c r="BJ64" s="58"/>
      <c r="BP64" s="58"/>
      <c r="BV64" s="58"/>
      <c r="CB64" s="58"/>
      <c r="CH64" s="58"/>
      <c r="CN64" s="58"/>
      <c r="CT64" s="58"/>
      <c r="CZ64" s="58"/>
      <c r="DF64" s="58"/>
      <c r="DX64" s="58"/>
      <c r="ED64" s="58"/>
      <c r="EJ64" s="58"/>
      <c r="EP64" s="58"/>
      <c r="EV64" s="58"/>
      <c r="FA64" s="641"/>
      <c r="FB64" s="58"/>
      <c r="FD64" s="908"/>
      <c r="FH64" s="58"/>
      <c r="FJ64" s="444"/>
      <c r="FN64" s="58"/>
      <c r="FP64" s="444"/>
      <c r="FT64" s="58"/>
      <c r="FV64" s="444"/>
      <c r="FZ64" s="58"/>
      <c r="GB64" s="444"/>
      <c r="GF64" s="58"/>
      <c r="GH64" s="444"/>
      <c r="GL64" s="58"/>
      <c r="GN64" s="444"/>
      <c r="GR64" s="58"/>
      <c r="GT64" s="444"/>
      <c r="GX64" s="58"/>
      <c r="GZ64" s="444"/>
      <c r="HD64" s="58"/>
      <c r="HF64" s="444"/>
      <c r="HJ64" s="58"/>
    </row>
    <row r="65" spans="1:218" s="103" customFormat="1">
      <c r="A65" s="58"/>
      <c r="B65" s="58" t="s">
        <v>116</v>
      </c>
      <c r="C65" s="58"/>
      <c r="H65" s="58"/>
      <c r="N65" s="58"/>
      <c r="P65" s="58"/>
      <c r="T65" s="58"/>
      <c r="V65" s="58"/>
      <c r="W65" s="58"/>
      <c r="X65" s="58"/>
      <c r="Y65" s="58"/>
      <c r="Z65" s="58"/>
      <c r="AB65" s="58"/>
      <c r="AC65" s="58"/>
      <c r="AD65" s="58"/>
      <c r="AE65" s="58"/>
      <c r="AF65" s="58"/>
      <c r="AH65" s="58"/>
      <c r="AI65" s="58"/>
      <c r="AJ65" s="58"/>
      <c r="AK65" s="58"/>
      <c r="AL65" s="58"/>
      <c r="AN65" s="58"/>
      <c r="AO65" s="58"/>
      <c r="AP65" s="58"/>
      <c r="AQ65" s="58"/>
      <c r="AR65" s="58"/>
      <c r="AT65" s="58"/>
      <c r="AU65" s="58"/>
      <c r="AV65" s="58"/>
      <c r="AW65" s="58"/>
      <c r="AX65" s="58"/>
      <c r="AZ65" s="58"/>
      <c r="BA65" s="58"/>
      <c r="BB65" s="58"/>
      <c r="BC65" s="58"/>
      <c r="BD65" s="58"/>
      <c r="BF65" s="58"/>
      <c r="BG65" s="58"/>
      <c r="BH65" s="58"/>
      <c r="BI65" s="58"/>
      <c r="BJ65" s="58"/>
      <c r="BL65" s="58"/>
      <c r="BM65" s="58"/>
      <c r="BN65" s="58"/>
      <c r="BO65" s="58"/>
      <c r="BP65" s="58"/>
      <c r="BR65" s="58"/>
      <c r="BS65" s="58"/>
      <c r="BT65" s="58"/>
      <c r="BU65" s="58"/>
      <c r="BV65" s="58"/>
      <c r="BX65" s="58"/>
      <c r="BY65" s="58"/>
      <c r="BZ65" s="58"/>
      <c r="CA65" s="58"/>
      <c r="CB65" s="58"/>
      <c r="CD65" s="58"/>
      <c r="CE65" s="58"/>
      <c r="CF65" s="58"/>
      <c r="CG65" s="58"/>
      <c r="CH65" s="58"/>
      <c r="CJ65" s="58"/>
      <c r="CK65" s="58"/>
      <c r="CL65" s="58"/>
      <c r="CM65" s="58"/>
      <c r="CN65" s="58"/>
      <c r="CP65" s="58"/>
      <c r="CQ65" s="58"/>
      <c r="CR65" s="58"/>
      <c r="CS65" s="58"/>
      <c r="CT65" s="58"/>
      <c r="CV65" s="58"/>
      <c r="CW65" s="58"/>
      <c r="CX65" s="58"/>
      <c r="CY65" s="58"/>
      <c r="CZ65" s="58"/>
      <c r="DB65" s="58"/>
      <c r="DC65" s="58"/>
      <c r="DD65" s="58"/>
      <c r="DE65" s="58"/>
      <c r="DF65" s="58"/>
      <c r="DH65" s="58">
        <v>771</v>
      </c>
      <c r="DI65" s="58">
        <f>DH68</f>
        <v>147.01900000000001</v>
      </c>
      <c r="DJ65" s="58">
        <f>DI68</f>
        <v>147.01900000000001</v>
      </c>
      <c r="DK65" s="58">
        <f>DJ68</f>
        <v>147.01900000000001</v>
      </c>
      <c r="DL65" s="58">
        <f>DH65</f>
        <v>771</v>
      </c>
      <c r="DN65" s="58">
        <f>DK68</f>
        <v>197.892</v>
      </c>
      <c r="DO65" s="58">
        <f>DN68</f>
        <v>196.298</v>
      </c>
      <c r="DP65" s="58">
        <f>DO68</f>
        <v>196.298</v>
      </c>
      <c r="DQ65" s="58">
        <f>DP68</f>
        <v>198.571</v>
      </c>
      <c r="DR65" s="58">
        <f>DN65</f>
        <v>197.892</v>
      </c>
      <c r="DT65" s="58">
        <f>DQ68</f>
        <v>198.601</v>
      </c>
      <c r="DU65" s="58">
        <f>DT68</f>
        <v>210.833</v>
      </c>
      <c r="DV65" s="58">
        <f>DU68</f>
        <v>210.833</v>
      </c>
      <c r="DW65" s="58">
        <f>DV68</f>
        <v>210.833</v>
      </c>
      <c r="DX65" s="58">
        <f>DT65</f>
        <v>198.601</v>
      </c>
      <c r="DZ65" s="58">
        <f>DW68</f>
        <v>211.083</v>
      </c>
      <c r="EA65" s="58">
        <f>DZ68</f>
        <v>211.083</v>
      </c>
      <c r="EB65" s="58">
        <f>EA68</f>
        <v>499.97699999999998</v>
      </c>
      <c r="EC65" s="58">
        <f>EB68</f>
        <v>525.80200000000002</v>
      </c>
      <c r="ED65" s="58">
        <f>DZ65</f>
        <v>211.083</v>
      </c>
      <c r="EF65" s="58">
        <f>EC68</f>
        <v>527.11500000000001</v>
      </c>
      <c r="EG65" s="58">
        <f>EF68</f>
        <v>527.11500000000001</v>
      </c>
      <c r="EH65" s="58">
        <f>EG68</f>
        <v>527.11500000000001</v>
      </c>
      <c r="EI65" s="58">
        <f>EH68</f>
        <v>522.76599999999996</v>
      </c>
      <c r="EJ65" s="58">
        <f>EF65</f>
        <v>527.11500000000001</v>
      </c>
      <c r="EL65" s="58">
        <f>EI68</f>
        <v>522.76599999999996</v>
      </c>
      <c r="EM65" s="58">
        <f>EL68</f>
        <v>522.76599999999996</v>
      </c>
      <c r="EN65" s="58">
        <f>EM68</f>
        <v>522.76599999999996</v>
      </c>
      <c r="EO65" s="58">
        <f>EN68</f>
        <v>522.76599999999996</v>
      </c>
      <c r="EP65" s="58">
        <f>EL65</f>
        <v>522.76599999999996</v>
      </c>
      <c r="ER65" s="58">
        <f>EO68</f>
        <v>522.76599999999996</v>
      </c>
      <c r="ES65" s="58">
        <f>ER68</f>
        <v>522.76599999999996</v>
      </c>
      <c r="ET65" s="58">
        <f>ES68</f>
        <v>522.76599999999996</v>
      </c>
      <c r="EU65" s="58">
        <f>ET68</f>
        <v>522.76599999999996</v>
      </c>
      <c r="EV65" s="58">
        <f>ER65</f>
        <v>522.76599999999996</v>
      </c>
      <c r="EX65" s="58">
        <f>EU68</f>
        <v>522.76599999999996</v>
      </c>
      <c r="EY65" s="58">
        <f>EX68</f>
        <v>522.76599999999996</v>
      </c>
      <c r="EZ65" s="58">
        <f>EY68</f>
        <v>524.14300000000003</v>
      </c>
      <c r="FA65" s="442">
        <f>EZ68</f>
        <v>524.34400000000005</v>
      </c>
      <c r="FB65" s="58">
        <f>EX65</f>
        <v>522.76599999999996</v>
      </c>
      <c r="FD65" s="828">
        <f>FA68</f>
        <v>524.34400000000005</v>
      </c>
      <c r="FE65" s="58">
        <f>FD68</f>
        <v>524.34400000000005</v>
      </c>
      <c r="FF65" s="58">
        <f>FE68</f>
        <v>524.34400000000005</v>
      </c>
      <c r="FG65" s="58">
        <f>FF68</f>
        <v>524.34400000000005</v>
      </c>
      <c r="FH65" s="58">
        <f>FD65</f>
        <v>524.34400000000005</v>
      </c>
      <c r="FJ65" s="441">
        <f>FG68</f>
        <v>524.34400000000005</v>
      </c>
      <c r="FK65" s="58">
        <f>FJ68</f>
        <v>524.34400000000005</v>
      </c>
      <c r="FL65" s="58">
        <f>FK68</f>
        <v>524.34400000000005</v>
      </c>
      <c r="FM65" s="58">
        <f>FL68</f>
        <v>524.34400000000005</v>
      </c>
      <c r="FN65" s="58">
        <f>FJ65</f>
        <v>524.34400000000005</v>
      </c>
      <c r="FP65" s="441">
        <f>FM68</f>
        <v>524.34400000000005</v>
      </c>
      <c r="FQ65" s="58">
        <f>FP68</f>
        <v>524.34400000000005</v>
      </c>
      <c r="FR65" s="58">
        <f>FQ68</f>
        <v>524.34400000000005</v>
      </c>
      <c r="FS65" s="58">
        <f>FR68</f>
        <v>524.34400000000005</v>
      </c>
      <c r="FT65" s="58">
        <f>FP65</f>
        <v>524.34400000000005</v>
      </c>
      <c r="FV65" s="441">
        <f>FS68</f>
        <v>524.34400000000005</v>
      </c>
      <c r="FW65" s="58">
        <f>FV68</f>
        <v>524.34400000000005</v>
      </c>
      <c r="FX65" s="58">
        <f>FW68</f>
        <v>524.34400000000005</v>
      </c>
      <c r="FY65" s="58">
        <f>FX68</f>
        <v>524.34400000000005</v>
      </c>
      <c r="FZ65" s="58">
        <f>FV65</f>
        <v>524.34400000000005</v>
      </c>
      <c r="GB65" s="441">
        <f>FY68</f>
        <v>524.34400000000005</v>
      </c>
      <c r="GC65" s="58">
        <f>GB68</f>
        <v>524.34400000000005</v>
      </c>
      <c r="GD65" s="58">
        <f>GC68</f>
        <v>524.34400000000005</v>
      </c>
      <c r="GE65" s="58">
        <f>GD68</f>
        <v>524.34400000000005</v>
      </c>
      <c r="GF65" s="58">
        <f>GB65</f>
        <v>524.34400000000005</v>
      </c>
      <c r="GH65" s="441">
        <f>GE68</f>
        <v>524.34400000000005</v>
      </c>
      <c r="GI65" s="58">
        <f>GH68</f>
        <v>524.34400000000005</v>
      </c>
      <c r="GJ65" s="58">
        <f>GI68</f>
        <v>524.34400000000005</v>
      </c>
      <c r="GK65" s="58">
        <f>GJ68</f>
        <v>524.34400000000005</v>
      </c>
      <c r="GL65" s="58">
        <f>GH65</f>
        <v>524.34400000000005</v>
      </c>
      <c r="GN65" s="441">
        <f>GK68</f>
        <v>524.34400000000005</v>
      </c>
      <c r="GO65" s="58">
        <f>GN68</f>
        <v>524.34400000000005</v>
      </c>
      <c r="GP65" s="58">
        <f>GO68</f>
        <v>524.34400000000005</v>
      </c>
      <c r="GQ65" s="58">
        <f>GP68</f>
        <v>524.34400000000005</v>
      </c>
      <c r="GR65" s="58">
        <f>GN65</f>
        <v>524.34400000000005</v>
      </c>
      <c r="GT65" s="441">
        <f>GQ68</f>
        <v>524.34400000000005</v>
      </c>
      <c r="GU65" s="58">
        <f>GT68</f>
        <v>524.34400000000005</v>
      </c>
      <c r="GV65" s="58">
        <f>GU68</f>
        <v>524.34400000000005</v>
      </c>
      <c r="GW65" s="58">
        <f>GV68</f>
        <v>524.34400000000005</v>
      </c>
      <c r="GX65" s="58">
        <f>GT65</f>
        <v>524.34400000000005</v>
      </c>
      <c r="GZ65" s="441">
        <f>GW68</f>
        <v>524.34400000000005</v>
      </c>
      <c r="HA65" s="58">
        <f>GZ68</f>
        <v>524.34400000000005</v>
      </c>
      <c r="HB65" s="58">
        <f>HA68</f>
        <v>524.34400000000005</v>
      </c>
      <c r="HC65" s="58">
        <f>HB68</f>
        <v>524.34400000000005</v>
      </c>
      <c r="HD65" s="58">
        <f>GZ65</f>
        <v>524.34400000000005</v>
      </c>
      <c r="HF65" s="441">
        <f>HC68</f>
        <v>524.34400000000005</v>
      </c>
      <c r="HG65" s="58">
        <f>HF68</f>
        <v>524.34400000000005</v>
      </c>
      <c r="HH65" s="58">
        <f>HG68</f>
        <v>524.34400000000005</v>
      </c>
      <c r="HI65" s="58">
        <f>HH68</f>
        <v>524.34400000000005</v>
      </c>
      <c r="HJ65" s="58">
        <f>HF65</f>
        <v>524.34400000000005</v>
      </c>
    </row>
    <row r="66" spans="1:218" s="103" customFormat="1">
      <c r="A66" s="58"/>
      <c r="B66" s="58"/>
      <c r="C66" s="58" t="s">
        <v>122</v>
      </c>
      <c r="H66" s="58"/>
      <c r="N66" s="58"/>
      <c r="P66" s="58"/>
      <c r="Q66" s="58"/>
      <c r="R66" s="58"/>
      <c r="S66" s="58"/>
      <c r="T66" s="58"/>
      <c r="V66" s="58"/>
      <c r="W66" s="58"/>
      <c r="X66" s="58"/>
      <c r="Y66" s="58"/>
      <c r="Z66" s="445"/>
      <c r="AB66" s="58"/>
      <c r="AC66" s="58"/>
      <c r="AD66" s="58"/>
      <c r="AE66" s="58"/>
      <c r="AF66" s="445"/>
      <c r="AH66" s="58"/>
      <c r="AI66" s="58"/>
      <c r="AJ66" s="58"/>
      <c r="AK66" s="58"/>
      <c r="AL66" s="58"/>
      <c r="AN66" s="58"/>
      <c r="AO66" s="58"/>
      <c r="AP66" s="58"/>
      <c r="AQ66" s="58"/>
      <c r="AR66" s="58"/>
      <c r="AT66" s="58"/>
      <c r="AU66" s="58"/>
      <c r="AV66" s="58"/>
      <c r="AW66" s="58"/>
      <c r="AX66" s="58"/>
      <c r="AZ66" s="58"/>
      <c r="BA66" s="58"/>
      <c r="BB66" s="58"/>
      <c r="BC66" s="58"/>
      <c r="BD66" s="58"/>
      <c r="BF66" s="58"/>
      <c r="BG66" s="58"/>
      <c r="BH66" s="58"/>
      <c r="BI66" s="58"/>
      <c r="BJ66" s="58"/>
      <c r="BL66" s="58"/>
      <c r="BM66" s="58"/>
      <c r="BN66" s="58"/>
      <c r="BO66" s="58"/>
      <c r="BP66" s="58"/>
      <c r="BR66" s="58"/>
      <c r="BS66" s="58"/>
      <c r="BT66" s="58"/>
      <c r="BU66" s="58"/>
      <c r="BV66" s="58"/>
      <c r="BX66" s="58"/>
      <c r="BY66" s="58"/>
      <c r="BZ66" s="58"/>
      <c r="CA66" s="58"/>
      <c r="CB66" s="58"/>
      <c r="CD66" s="58"/>
      <c r="CE66" s="58"/>
      <c r="CF66" s="58"/>
      <c r="CG66" s="58"/>
      <c r="CH66" s="58"/>
      <c r="CJ66" s="58"/>
      <c r="CK66" s="58"/>
      <c r="CL66" s="58"/>
      <c r="CM66" s="58"/>
      <c r="CN66" s="58"/>
      <c r="CP66" s="58"/>
      <c r="CQ66" s="58"/>
      <c r="CR66" s="58"/>
      <c r="CS66" s="58"/>
      <c r="CT66" s="58"/>
      <c r="CV66" s="58"/>
      <c r="CW66" s="58"/>
      <c r="CX66" s="58"/>
      <c r="CY66" s="58"/>
      <c r="CZ66" s="58"/>
      <c r="DB66" s="58"/>
      <c r="DC66" s="58"/>
      <c r="DD66" s="58"/>
      <c r="DE66" s="58"/>
      <c r="DF66" s="58"/>
      <c r="DH66" s="437"/>
      <c r="DI66" s="58">
        <f>DI65-DI67-DI68</f>
        <v>0</v>
      </c>
      <c r="DJ66" s="58">
        <f>DJ65-DJ67-DJ68</f>
        <v>0</v>
      </c>
      <c r="DK66" s="58">
        <f>DK68-DK67-DK65</f>
        <v>50.87299999999999</v>
      </c>
      <c r="DL66" s="58">
        <f>SUM(DH66:DK66)</f>
        <v>50.87299999999999</v>
      </c>
      <c r="DN66" s="58">
        <f>DN68-DN67-DN65</f>
        <v>0.40600000000000591</v>
      </c>
      <c r="DO66" s="58">
        <f>DO68-DO67-DO65</f>
        <v>0</v>
      </c>
      <c r="DP66" s="58">
        <f>DP68-DP67-DP65</f>
        <v>2.2729999999999961</v>
      </c>
      <c r="DQ66" s="58">
        <f>DQ68-DQ67-DQ65</f>
        <v>3.0000000000001137E-2</v>
      </c>
      <c r="DR66" s="58">
        <f>SUM(DN66:DQ66)</f>
        <v>2.7090000000000032</v>
      </c>
      <c r="DT66" s="58">
        <f>DT68-DT67-DT65</f>
        <v>12.231999999999999</v>
      </c>
      <c r="DU66" s="58">
        <f>DU68-DU67-DU65</f>
        <v>0</v>
      </c>
      <c r="DV66" s="58">
        <f>DV68-DV67-DV65</f>
        <v>0</v>
      </c>
      <c r="DW66" s="58">
        <f>DW68-DW67-DW65</f>
        <v>0.25</v>
      </c>
      <c r="DX66" s="58">
        <f>SUM(DT66:DW66)</f>
        <v>12.481999999999999</v>
      </c>
      <c r="DZ66" s="58">
        <f>DZ68-DZ67-DZ65</f>
        <v>0</v>
      </c>
      <c r="EA66" s="58">
        <f>EA68-EA67-EA65</f>
        <v>288.89400000000001</v>
      </c>
      <c r="EB66" s="58">
        <f>EB68-EB67-EB65</f>
        <v>25.825000000000045</v>
      </c>
      <c r="EC66" s="58">
        <f>EC68-EC67-EC65</f>
        <v>1.3129999999999882</v>
      </c>
      <c r="ED66" s="58">
        <f>SUM(DZ66:EC66)</f>
        <v>316.03200000000004</v>
      </c>
      <c r="EF66" s="58">
        <f>EF68-EF67-EF65</f>
        <v>0</v>
      </c>
      <c r="EG66" s="58">
        <f>EG68-EG67-EG65</f>
        <v>0</v>
      </c>
      <c r="EH66" s="58">
        <f>EH68-EH67-EH65</f>
        <v>-0.34900000000004638</v>
      </c>
      <c r="EI66" s="58">
        <f>EI68-EI67-EI65</f>
        <v>0</v>
      </c>
      <c r="EJ66" s="58">
        <f>SUM(EF66:EI66)</f>
        <v>-0.34900000000004638</v>
      </c>
      <c r="EL66" s="58">
        <f>EL68-EL67-EL65</f>
        <v>0</v>
      </c>
      <c r="EM66" s="58">
        <f>EM68-EM67-EM65</f>
        <v>0</v>
      </c>
      <c r="EN66" s="58">
        <f>EN68-EN67-EN65</f>
        <v>0</v>
      </c>
      <c r="EO66" s="58">
        <f>EO68-EO67-EO65</f>
        <v>0</v>
      </c>
      <c r="EP66" s="58">
        <f>SUM(EL66:EO66)</f>
        <v>0</v>
      </c>
      <c r="ER66" s="58">
        <f>ER68-ER67-ER65</f>
        <v>0</v>
      </c>
      <c r="ES66" s="58">
        <f>ES68-ES67-ES65</f>
        <v>0</v>
      </c>
      <c r="ET66" s="58">
        <f>ET68-ET67-ET65</f>
        <v>0</v>
      </c>
      <c r="EU66" s="58">
        <f>EU68-EU67-EU65</f>
        <v>0</v>
      </c>
      <c r="EV66" s="58">
        <f>SUM(ER66:EU66)</f>
        <v>0</v>
      </c>
      <c r="EX66" s="58">
        <f>EX68-EX67-EX65</f>
        <v>0</v>
      </c>
      <c r="EY66" s="58">
        <f>EY68-EY67-EY65</f>
        <v>4.8400000000000318</v>
      </c>
      <c r="EZ66" s="58">
        <f>EZ68-EZ67-EZ65</f>
        <v>0.20100000000002183</v>
      </c>
      <c r="FA66" s="442">
        <f>-CF!FA40</f>
        <v>0</v>
      </c>
      <c r="FB66" s="58">
        <f>SUM(EX66:FA66)</f>
        <v>5.0410000000000537</v>
      </c>
      <c r="FD66" s="442">
        <f>-CF!FD40</f>
        <v>0</v>
      </c>
      <c r="FE66" s="58">
        <f>-CF!FE40</f>
        <v>0</v>
      </c>
      <c r="FF66" s="58">
        <f>-CF!FF40</f>
        <v>0</v>
      </c>
      <c r="FG66" s="58">
        <f>-CF!FG40</f>
        <v>0</v>
      </c>
      <c r="FH66" s="58">
        <f>SUM(FD66:FG66)</f>
        <v>0</v>
      </c>
      <c r="FJ66" s="58">
        <f>-CF!FJ40</f>
        <v>0</v>
      </c>
      <c r="FK66" s="58">
        <f>-CF!FK40</f>
        <v>0</v>
      </c>
      <c r="FL66" s="58">
        <f>-CF!FL40</f>
        <v>0</v>
      </c>
      <c r="FM66" s="58">
        <f>-CF!FM40</f>
        <v>0</v>
      </c>
      <c r="FN66" s="58">
        <f>SUM(FJ66:FM66)</f>
        <v>0</v>
      </c>
      <c r="FP66" s="58">
        <f>-CF!FP40</f>
        <v>0</v>
      </c>
      <c r="FQ66" s="58">
        <f>-CF!FQ40</f>
        <v>0</v>
      </c>
      <c r="FR66" s="58">
        <f>-CF!FR40</f>
        <v>0</v>
      </c>
      <c r="FS66" s="58">
        <f>-CF!FS40</f>
        <v>0</v>
      </c>
      <c r="FT66" s="58">
        <f>SUM(FP66:FS66)</f>
        <v>0</v>
      </c>
      <c r="FV66" s="58">
        <f>-CF!FV40</f>
        <v>0</v>
      </c>
      <c r="FW66" s="58">
        <f>-CF!FW40</f>
        <v>0</v>
      </c>
      <c r="FX66" s="58">
        <f>-CF!FX40</f>
        <v>0</v>
      </c>
      <c r="FY66" s="58">
        <f>-CF!FY40</f>
        <v>0</v>
      </c>
      <c r="FZ66" s="58">
        <f>SUM(FV66:FY66)</f>
        <v>0</v>
      </c>
      <c r="GB66" s="58">
        <f>-CF!GB40</f>
        <v>0</v>
      </c>
      <c r="GC66" s="58">
        <f>-CF!GC40</f>
        <v>0</v>
      </c>
      <c r="GD66" s="58">
        <f>-CF!GD40</f>
        <v>0</v>
      </c>
      <c r="GE66" s="58">
        <f>-CF!GE40</f>
        <v>0</v>
      </c>
      <c r="GF66" s="58">
        <f>SUM(GB66:GE66)</f>
        <v>0</v>
      </c>
      <c r="GH66" s="58">
        <f>-CF!GH40</f>
        <v>0</v>
      </c>
      <c r="GI66" s="58">
        <f>-CF!GI40</f>
        <v>0</v>
      </c>
      <c r="GJ66" s="58">
        <f>-CF!GJ40</f>
        <v>0</v>
      </c>
      <c r="GK66" s="58">
        <f>-CF!GK40</f>
        <v>0</v>
      </c>
      <c r="GL66" s="58">
        <f>SUM(GH66:GK66)</f>
        <v>0</v>
      </c>
      <c r="GN66" s="58">
        <f>-CF!GN40</f>
        <v>0</v>
      </c>
      <c r="GO66" s="58">
        <f>-CF!GO40</f>
        <v>0</v>
      </c>
      <c r="GP66" s="58">
        <f>-CF!GP40</f>
        <v>0</v>
      </c>
      <c r="GQ66" s="58">
        <f>-CF!GQ40</f>
        <v>0</v>
      </c>
      <c r="GR66" s="58">
        <f>SUM(GN66:GQ66)</f>
        <v>0</v>
      </c>
      <c r="GT66" s="58">
        <f>-CF!GT40</f>
        <v>0</v>
      </c>
      <c r="GU66" s="58">
        <f>-CF!GU40</f>
        <v>0</v>
      </c>
      <c r="GV66" s="58">
        <f>-CF!GV40</f>
        <v>0</v>
      </c>
      <c r="GW66" s="58">
        <f>-CF!GW40</f>
        <v>0</v>
      </c>
      <c r="GX66" s="58">
        <f>SUM(GT66:GW66)</f>
        <v>0</v>
      </c>
      <c r="GZ66" s="58">
        <f>-CF!GZ40</f>
        <v>0</v>
      </c>
      <c r="HA66" s="58">
        <f>-CF!HA40</f>
        <v>0</v>
      </c>
      <c r="HB66" s="58">
        <f>-CF!HB40</f>
        <v>0</v>
      </c>
      <c r="HC66" s="58">
        <f>-CF!HC40</f>
        <v>0</v>
      </c>
      <c r="HD66" s="58">
        <f>SUM(GZ66:HC66)</f>
        <v>0</v>
      </c>
      <c r="HF66" s="58">
        <f>-CF!HF40</f>
        <v>0</v>
      </c>
      <c r="HG66" s="58">
        <f>-CF!HG40</f>
        <v>0</v>
      </c>
      <c r="HH66" s="58">
        <f>-CF!HH40</f>
        <v>0</v>
      </c>
      <c r="HI66" s="58">
        <f>-CF!HI40</f>
        <v>0</v>
      </c>
      <c r="HJ66" s="58">
        <f>SUM(HF66:HI66)</f>
        <v>0</v>
      </c>
    </row>
    <row r="67" spans="1:218" s="103" customFormat="1">
      <c r="A67" s="116"/>
      <c r="B67" s="58"/>
      <c r="C67" s="58" t="s">
        <v>124</v>
      </c>
      <c r="H67" s="58"/>
      <c r="N67" s="58"/>
      <c r="P67" s="446"/>
      <c r="Q67" s="446"/>
      <c r="R67" s="446"/>
      <c r="S67" s="446"/>
      <c r="DH67" s="447"/>
      <c r="DI67" s="447">
        <v>0</v>
      </c>
      <c r="DJ67" s="447">
        <v>0</v>
      </c>
      <c r="DK67" s="447">
        <v>0</v>
      </c>
      <c r="DL67" s="103">
        <f>SUM(DH67:DK67)</f>
        <v>0</v>
      </c>
      <c r="DN67" s="447">
        <v>-2</v>
      </c>
      <c r="DO67" s="447">
        <v>0</v>
      </c>
      <c r="DP67" s="447">
        <v>0</v>
      </c>
      <c r="DQ67" s="447">
        <v>0</v>
      </c>
      <c r="DR67" s="103">
        <f>SUM(DN67:DQ67)</f>
        <v>-2</v>
      </c>
      <c r="DT67" s="447">
        <v>0</v>
      </c>
      <c r="DU67" s="447">
        <v>0</v>
      </c>
      <c r="DV67" s="447">
        <v>0</v>
      </c>
      <c r="DW67" s="447">
        <v>0</v>
      </c>
      <c r="DX67" s="103">
        <f>SUM(DT67:DW67)</f>
        <v>0</v>
      </c>
      <c r="DZ67" s="447">
        <v>0</v>
      </c>
      <c r="EA67" s="447">
        <v>0</v>
      </c>
      <c r="EB67" s="447">
        <v>0</v>
      </c>
      <c r="EC67" s="447">
        <v>0</v>
      </c>
      <c r="ED67" s="103">
        <f>SUM(DZ67:EC67)</f>
        <v>0</v>
      </c>
      <c r="EF67" s="447">
        <v>0</v>
      </c>
      <c r="EG67" s="447">
        <v>0</v>
      </c>
      <c r="EH67" s="447">
        <v>-4</v>
      </c>
      <c r="EI67" s="447">
        <v>0</v>
      </c>
      <c r="EJ67" s="103">
        <f>SUM(EF67:EI67)</f>
        <v>-4</v>
      </c>
      <c r="EL67" s="447">
        <v>0</v>
      </c>
      <c r="EM67" s="447">
        <v>0</v>
      </c>
      <c r="EN67" s="447">
        <v>0</v>
      </c>
      <c r="EO67" s="447">
        <v>0</v>
      </c>
      <c r="EP67" s="103">
        <f>SUM(EL67:EO67)</f>
        <v>0</v>
      </c>
      <c r="ER67" s="447">
        <v>0</v>
      </c>
      <c r="ES67" s="447">
        <v>0</v>
      </c>
      <c r="ET67" s="447">
        <v>0</v>
      </c>
      <c r="EU67" s="447">
        <v>0</v>
      </c>
      <c r="EV67" s="103">
        <f>SUM(ER67:EU67)</f>
        <v>0</v>
      </c>
      <c r="EX67" s="447">
        <v>0</v>
      </c>
      <c r="EY67" s="447">
        <v>-3.4630000000000001</v>
      </c>
      <c r="EZ67" s="103">
        <v>0</v>
      </c>
      <c r="FA67" s="641">
        <v>0</v>
      </c>
      <c r="FB67" s="103">
        <f>SUM(EX67:FA67)</f>
        <v>-3.4630000000000001</v>
      </c>
      <c r="FD67" s="908">
        <v>0</v>
      </c>
      <c r="FE67" s="103">
        <v>0</v>
      </c>
      <c r="FF67" s="103">
        <v>0</v>
      </c>
      <c r="FG67" s="103">
        <v>0</v>
      </c>
      <c r="FH67" s="103">
        <f>SUM(FD67:FG67)</f>
        <v>0</v>
      </c>
      <c r="FJ67" s="444">
        <v>0</v>
      </c>
      <c r="FK67" s="103">
        <v>0</v>
      </c>
      <c r="FL67" s="103">
        <v>0</v>
      </c>
      <c r="FM67" s="103">
        <v>0</v>
      </c>
      <c r="FN67" s="103">
        <f>SUM(FJ67:FM67)</f>
        <v>0</v>
      </c>
      <c r="FP67" s="444">
        <v>0</v>
      </c>
      <c r="FQ67" s="103">
        <v>0</v>
      </c>
      <c r="FR67" s="103">
        <v>0</v>
      </c>
      <c r="FS67" s="103">
        <v>0</v>
      </c>
      <c r="FT67" s="103">
        <f>SUM(FP67:FS67)</f>
        <v>0</v>
      </c>
      <c r="FV67" s="444">
        <v>0</v>
      </c>
      <c r="FW67" s="103">
        <v>0</v>
      </c>
      <c r="FX67" s="103">
        <v>0</v>
      </c>
      <c r="FY67" s="103">
        <v>0</v>
      </c>
      <c r="FZ67" s="103">
        <f>SUM(FV67:FY67)</f>
        <v>0</v>
      </c>
      <c r="GB67" s="444">
        <v>0</v>
      </c>
      <c r="GC67" s="103">
        <v>0</v>
      </c>
      <c r="GD67" s="103">
        <v>0</v>
      </c>
      <c r="GE67" s="103">
        <v>0</v>
      </c>
      <c r="GF67" s="103">
        <f>SUM(GB67:GE67)</f>
        <v>0</v>
      </c>
      <c r="GH67" s="444">
        <v>0</v>
      </c>
      <c r="GI67" s="103">
        <v>0</v>
      </c>
      <c r="GJ67" s="103">
        <v>0</v>
      </c>
      <c r="GK67" s="103">
        <v>0</v>
      </c>
      <c r="GL67" s="103">
        <f>SUM(GH67:GK67)</f>
        <v>0</v>
      </c>
      <c r="GN67" s="444">
        <v>0</v>
      </c>
      <c r="GO67" s="103">
        <v>0</v>
      </c>
      <c r="GP67" s="103">
        <v>0</v>
      </c>
      <c r="GQ67" s="103">
        <v>0</v>
      </c>
      <c r="GR67" s="103">
        <f>SUM(GN67:GQ67)</f>
        <v>0</v>
      </c>
      <c r="GT67" s="444">
        <v>0</v>
      </c>
      <c r="GU67" s="103">
        <v>0</v>
      </c>
      <c r="GV67" s="103">
        <v>0</v>
      </c>
      <c r="GW67" s="103">
        <v>0</v>
      </c>
      <c r="GX67" s="103">
        <f>SUM(GT67:GW67)</f>
        <v>0</v>
      </c>
      <c r="GZ67" s="444">
        <v>0</v>
      </c>
      <c r="HA67" s="103">
        <v>0</v>
      </c>
      <c r="HB67" s="103">
        <v>0</v>
      </c>
      <c r="HC67" s="103">
        <v>0</v>
      </c>
      <c r="HD67" s="103">
        <f>SUM(GZ67:HC67)</f>
        <v>0</v>
      </c>
      <c r="HF67" s="444">
        <v>0</v>
      </c>
      <c r="HG67" s="103">
        <v>0</v>
      </c>
      <c r="HH67" s="103">
        <v>0</v>
      </c>
      <c r="HI67" s="103">
        <v>0</v>
      </c>
      <c r="HJ67" s="103">
        <f>SUM(HF67:HI67)</f>
        <v>0</v>
      </c>
    </row>
    <row r="68" spans="1:218" s="103" customFormat="1">
      <c r="A68" s="58"/>
      <c r="B68" s="58" t="s">
        <v>120</v>
      </c>
      <c r="C68" s="58"/>
      <c r="H68" s="58"/>
      <c r="N68" s="58"/>
      <c r="S68" s="58"/>
      <c r="T68" s="58"/>
      <c r="U68" s="58"/>
      <c r="V68" s="58"/>
      <c r="W68" s="58"/>
      <c r="X68" s="58"/>
      <c r="Y68" s="58"/>
      <c r="Z68" s="58"/>
      <c r="AB68" s="58"/>
      <c r="AC68" s="58"/>
      <c r="AD68" s="58"/>
      <c r="AE68" s="58"/>
      <c r="AF68" s="58"/>
      <c r="AH68" s="58"/>
      <c r="AI68" s="58"/>
      <c r="AJ68" s="58"/>
      <c r="AK68" s="58"/>
      <c r="AL68" s="58"/>
      <c r="AN68" s="58"/>
      <c r="AO68" s="58"/>
      <c r="AP68" s="58"/>
      <c r="AQ68" s="58"/>
      <c r="AR68" s="58"/>
      <c r="AT68" s="58"/>
      <c r="AU68" s="58"/>
      <c r="AV68" s="58"/>
      <c r="AW68" s="58"/>
      <c r="AX68" s="58"/>
      <c r="AZ68" s="58"/>
      <c r="BA68" s="58"/>
      <c r="BB68" s="58"/>
      <c r="BC68" s="58"/>
      <c r="BD68" s="58"/>
      <c r="BF68" s="58"/>
      <c r="BG68" s="58"/>
      <c r="BH68" s="58"/>
      <c r="BI68" s="58"/>
      <c r="BJ68" s="58"/>
      <c r="BL68" s="58"/>
      <c r="BM68" s="58"/>
      <c r="BN68" s="58"/>
      <c r="BO68" s="58"/>
      <c r="BP68" s="58"/>
      <c r="BR68" s="58"/>
      <c r="BS68" s="58"/>
      <c r="BT68" s="58"/>
      <c r="BU68" s="58"/>
      <c r="BV68" s="58"/>
      <c r="BX68" s="58"/>
      <c r="BY68" s="58"/>
      <c r="BZ68" s="58"/>
      <c r="CA68" s="58"/>
      <c r="CB68" s="58"/>
      <c r="CD68" s="58"/>
      <c r="CE68" s="58"/>
      <c r="CF68" s="58"/>
      <c r="CG68" s="58"/>
      <c r="CH68" s="58"/>
      <c r="CJ68" s="58"/>
      <c r="CK68" s="58"/>
      <c r="CL68" s="58"/>
      <c r="CM68" s="58"/>
      <c r="CN68" s="58"/>
      <c r="CP68" s="58"/>
      <c r="CQ68" s="58"/>
      <c r="CR68" s="58"/>
      <c r="CS68" s="58"/>
      <c r="CT68" s="58"/>
      <c r="CV68" s="58"/>
      <c r="CW68" s="58"/>
      <c r="CX68" s="58"/>
      <c r="CY68" s="58"/>
      <c r="CZ68" s="58"/>
      <c r="DB68" s="58"/>
      <c r="DC68" s="58"/>
      <c r="DD68" s="58"/>
      <c r="DE68" s="58"/>
      <c r="DF68" s="58"/>
      <c r="DH68" s="58">
        <f>BS!DH23</f>
        <v>147.01900000000001</v>
      </c>
      <c r="DI68" s="58">
        <f>BS!DI23</f>
        <v>147.01900000000001</v>
      </c>
      <c r="DJ68" s="58">
        <f>BS!DJ23</f>
        <v>147.01900000000001</v>
      </c>
      <c r="DK68" s="58">
        <f>BS!DK23</f>
        <v>197.892</v>
      </c>
      <c r="DL68" s="58">
        <f>SUM(DL65:DL67)</f>
        <v>821.87300000000005</v>
      </c>
      <c r="DN68" s="58">
        <f>BS!DN23</f>
        <v>196.298</v>
      </c>
      <c r="DO68" s="58">
        <f>BS!DO23</f>
        <v>196.298</v>
      </c>
      <c r="DP68" s="58">
        <f>BS!DP23</f>
        <v>198.571</v>
      </c>
      <c r="DQ68" s="58">
        <f>BS!DQ23</f>
        <v>198.601</v>
      </c>
      <c r="DR68" s="58">
        <f>SUM(DR65:DR67)</f>
        <v>198.601</v>
      </c>
      <c r="DT68" s="58">
        <f>BS!DT23</f>
        <v>210.833</v>
      </c>
      <c r="DU68" s="58">
        <f>BS!DU23</f>
        <v>210.833</v>
      </c>
      <c r="DV68" s="58">
        <f>BS!DV23</f>
        <v>210.833</v>
      </c>
      <c r="DW68" s="58">
        <f>BS!DW23</f>
        <v>211.083</v>
      </c>
      <c r="DX68" s="58">
        <f>SUM(DX65:DX67)</f>
        <v>211.083</v>
      </c>
      <c r="DZ68" s="58">
        <f>BS!DZ23</f>
        <v>211.083</v>
      </c>
      <c r="EA68" s="58">
        <f>BS!EA23</f>
        <v>499.97699999999998</v>
      </c>
      <c r="EB68" s="58">
        <f>BS!EB23</f>
        <v>525.80200000000002</v>
      </c>
      <c r="EC68" s="58">
        <f>BS!EC23</f>
        <v>527.11500000000001</v>
      </c>
      <c r="ED68" s="58">
        <f>SUM(ED65:ED67)</f>
        <v>527.11500000000001</v>
      </c>
      <c r="EF68" s="58">
        <f>BS!EF23</f>
        <v>527.11500000000001</v>
      </c>
      <c r="EG68" s="58">
        <f>BS!EG23</f>
        <v>527.11500000000001</v>
      </c>
      <c r="EH68" s="58">
        <f>BS!EH23</f>
        <v>522.76599999999996</v>
      </c>
      <c r="EI68" s="58">
        <f>BS!EI23</f>
        <v>522.76599999999996</v>
      </c>
      <c r="EJ68" s="58">
        <f>SUM(EJ65:EJ67)</f>
        <v>522.76599999999996</v>
      </c>
      <c r="EL68" s="58">
        <f>BS!EL23</f>
        <v>522.76599999999996</v>
      </c>
      <c r="EM68" s="58">
        <f>BS!EM23</f>
        <v>522.76599999999996</v>
      </c>
      <c r="EN68" s="58">
        <f>BS!EN23</f>
        <v>522.76599999999996</v>
      </c>
      <c r="EO68" s="58">
        <f>BS!EO23</f>
        <v>522.76599999999996</v>
      </c>
      <c r="EP68" s="58">
        <f>SUM(EP65:EP67)</f>
        <v>522.76599999999996</v>
      </c>
      <c r="ER68" s="58">
        <f>BS!ER23</f>
        <v>522.76599999999996</v>
      </c>
      <c r="ES68" s="58">
        <f>BS!ES23</f>
        <v>522.76599999999996</v>
      </c>
      <c r="ET68" s="58">
        <f>BS!ET23</f>
        <v>522.76599999999996</v>
      </c>
      <c r="EU68" s="58">
        <f>BS!EU23</f>
        <v>522.76599999999996</v>
      </c>
      <c r="EV68" s="58">
        <f>SUM(EV65:EV67)</f>
        <v>522.76599999999996</v>
      </c>
      <c r="EX68" s="58">
        <f>BS!EX23</f>
        <v>522.76599999999996</v>
      </c>
      <c r="EY68" s="58">
        <f>BS!EY23</f>
        <v>524.14300000000003</v>
      </c>
      <c r="EZ68" s="58">
        <f>BS!EZ23</f>
        <v>524.34400000000005</v>
      </c>
      <c r="FA68" s="442">
        <f>SUM(FA65:FA67)</f>
        <v>524.34400000000005</v>
      </c>
      <c r="FB68" s="58">
        <f>SUM(FB65:FB67)</f>
        <v>524.34400000000005</v>
      </c>
      <c r="FD68" s="828">
        <f>SUM(FD65:FD67)</f>
        <v>524.34400000000005</v>
      </c>
      <c r="FE68" s="58">
        <f>SUM(FE65:FE67)</f>
        <v>524.34400000000005</v>
      </c>
      <c r="FF68" s="58">
        <f>SUM(FF65:FF67)</f>
        <v>524.34400000000005</v>
      </c>
      <c r="FG68" s="58">
        <f>SUM(FG65:FG67)</f>
        <v>524.34400000000005</v>
      </c>
      <c r="FH68" s="58">
        <f>SUM(FH65:FH67)</f>
        <v>524.34400000000005</v>
      </c>
      <c r="FJ68" s="441">
        <f>SUM(FJ65:FJ67)</f>
        <v>524.34400000000005</v>
      </c>
      <c r="FK68" s="58">
        <f>SUM(FK65:FK67)</f>
        <v>524.34400000000005</v>
      </c>
      <c r="FL68" s="58">
        <f>SUM(FL65:FL67)</f>
        <v>524.34400000000005</v>
      </c>
      <c r="FM68" s="58">
        <f>SUM(FM65:FM67)</f>
        <v>524.34400000000005</v>
      </c>
      <c r="FN68" s="58">
        <f>SUM(FN65:FN67)</f>
        <v>524.34400000000005</v>
      </c>
      <c r="FP68" s="441">
        <f>SUM(FP65:FP67)</f>
        <v>524.34400000000005</v>
      </c>
      <c r="FQ68" s="58">
        <f>SUM(FQ65:FQ67)</f>
        <v>524.34400000000005</v>
      </c>
      <c r="FR68" s="58">
        <f>SUM(FR65:FR67)</f>
        <v>524.34400000000005</v>
      </c>
      <c r="FS68" s="58">
        <f>SUM(FS65:FS67)</f>
        <v>524.34400000000005</v>
      </c>
      <c r="FT68" s="58">
        <f>SUM(FT65:FT67)</f>
        <v>524.34400000000005</v>
      </c>
      <c r="FV68" s="441">
        <f>SUM(FV65:FV67)</f>
        <v>524.34400000000005</v>
      </c>
      <c r="FW68" s="58">
        <f>SUM(FW65:FW67)</f>
        <v>524.34400000000005</v>
      </c>
      <c r="FX68" s="58">
        <f>SUM(FX65:FX67)</f>
        <v>524.34400000000005</v>
      </c>
      <c r="FY68" s="58">
        <f>SUM(FY65:FY67)</f>
        <v>524.34400000000005</v>
      </c>
      <c r="FZ68" s="58">
        <f>SUM(FZ65:FZ67)</f>
        <v>524.34400000000005</v>
      </c>
      <c r="GB68" s="441">
        <f>SUM(GB65:GB67)</f>
        <v>524.34400000000005</v>
      </c>
      <c r="GC68" s="58">
        <f>SUM(GC65:GC67)</f>
        <v>524.34400000000005</v>
      </c>
      <c r="GD68" s="58">
        <f>SUM(GD65:GD67)</f>
        <v>524.34400000000005</v>
      </c>
      <c r="GE68" s="58">
        <f>SUM(GE65:GE67)</f>
        <v>524.34400000000005</v>
      </c>
      <c r="GF68" s="58">
        <f>SUM(GF65:GF67)</f>
        <v>524.34400000000005</v>
      </c>
      <c r="GH68" s="441">
        <f>SUM(GH65:GH67)</f>
        <v>524.34400000000005</v>
      </c>
      <c r="GI68" s="58">
        <f>SUM(GI65:GI67)</f>
        <v>524.34400000000005</v>
      </c>
      <c r="GJ68" s="58">
        <f>SUM(GJ65:GJ67)</f>
        <v>524.34400000000005</v>
      </c>
      <c r="GK68" s="58">
        <f>SUM(GK65:GK67)</f>
        <v>524.34400000000005</v>
      </c>
      <c r="GL68" s="58">
        <f>SUM(GL65:GL67)</f>
        <v>524.34400000000005</v>
      </c>
      <c r="GN68" s="441">
        <f>SUM(GN65:GN67)</f>
        <v>524.34400000000005</v>
      </c>
      <c r="GO68" s="58">
        <f>SUM(GO65:GO67)</f>
        <v>524.34400000000005</v>
      </c>
      <c r="GP68" s="58">
        <f>SUM(GP65:GP67)</f>
        <v>524.34400000000005</v>
      </c>
      <c r="GQ68" s="58">
        <f>SUM(GQ65:GQ67)</f>
        <v>524.34400000000005</v>
      </c>
      <c r="GR68" s="58">
        <f>SUM(GR65:GR67)</f>
        <v>524.34400000000005</v>
      </c>
      <c r="GT68" s="441">
        <f>SUM(GT65:GT67)</f>
        <v>524.34400000000005</v>
      </c>
      <c r="GU68" s="58">
        <f>SUM(GU65:GU67)</f>
        <v>524.34400000000005</v>
      </c>
      <c r="GV68" s="58">
        <f>SUM(GV65:GV67)</f>
        <v>524.34400000000005</v>
      </c>
      <c r="GW68" s="58">
        <f>SUM(GW65:GW67)</f>
        <v>524.34400000000005</v>
      </c>
      <c r="GX68" s="58">
        <f>SUM(GX65:GX67)</f>
        <v>524.34400000000005</v>
      </c>
      <c r="GZ68" s="441">
        <f>SUM(GZ65:GZ67)</f>
        <v>524.34400000000005</v>
      </c>
      <c r="HA68" s="58">
        <f>SUM(HA65:HA67)</f>
        <v>524.34400000000005</v>
      </c>
      <c r="HB68" s="58">
        <f>SUM(HB65:HB67)</f>
        <v>524.34400000000005</v>
      </c>
      <c r="HC68" s="58">
        <f>SUM(HC65:HC67)</f>
        <v>524.34400000000005</v>
      </c>
      <c r="HD68" s="58">
        <f>SUM(HD65:HD67)</f>
        <v>524.34400000000005</v>
      </c>
      <c r="HF68" s="441">
        <f>SUM(HF65:HF67)</f>
        <v>524.34400000000005</v>
      </c>
      <c r="HG68" s="58">
        <f>SUM(HG65:HG67)</f>
        <v>524.34400000000005</v>
      </c>
      <c r="HH68" s="58">
        <f>SUM(HH65:HH67)</f>
        <v>524.34400000000005</v>
      </c>
      <c r="HI68" s="58">
        <f>SUM(HI65:HI67)</f>
        <v>524.34400000000005</v>
      </c>
      <c r="HJ68" s="58">
        <f>SUM(HJ65:HJ67)</f>
        <v>524.34400000000005</v>
      </c>
    </row>
    <row r="69" spans="1:218" s="52" customFormat="1">
      <c r="A69" s="55"/>
      <c r="B69" s="55"/>
      <c r="C69" s="55"/>
      <c r="H69" s="55"/>
      <c r="N69" s="55"/>
      <c r="T69" s="55"/>
      <c r="Z69" s="55"/>
      <c r="AF69" s="55"/>
      <c r="AL69" s="55"/>
      <c r="AR69" s="55"/>
      <c r="AX69" s="55"/>
      <c r="BD69" s="55"/>
      <c r="BJ69" s="55"/>
      <c r="BP69" s="55"/>
      <c r="BV69" s="55"/>
      <c r="CB69" s="55"/>
      <c r="CH69" s="55"/>
      <c r="CN69" s="55"/>
      <c r="CT69" s="55"/>
      <c r="CZ69" s="55"/>
      <c r="DF69" s="55"/>
      <c r="DL69" s="55"/>
      <c r="DR69" s="55"/>
      <c r="DX69" s="55"/>
      <c r="DZ69" s="55"/>
      <c r="ED69" s="55"/>
      <c r="EJ69" s="55"/>
      <c r="EP69" s="55"/>
      <c r="EV69" s="55"/>
      <c r="FB69" s="55"/>
      <c r="FH69" s="55"/>
      <c r="FN69" s="55"/>
      <c r="FT69" s="55"/>
      <c r="FZ69" s="55"/>
      <c r="GF69" s="55"/>
      <c r="GL69" s="55"/>
      <c r="GR69" s="55"/>
      <c r="GX69" s="55"/>
      <c r="HD69" s="55"/>
    </row>
    <row r="70" spans="1:218" s="30" customFormat="1"/>
    <row r="71" spans="1:218" s="30" customFormat="1"/>
    <row r="72" spans="1:218" s="30" customFormat="1"/>
    <row r="73" spans="1:218" s="30" customFormat="1"/>
    <row r="74" spans="1:218" s="30" customFormat="1"/>
    <row r="75" spans="1:218" s="30" customFormat="1"/>
    <row r="76" spans="1:218" s="30" customFormat="1"/>
    <row r="77" spans="1:218" s="36" customFormat="1">
      <c r="A77" s="30"/>
      <c r="B77" s="30"/>
      <c r="C77" s="30"/>
      <c r="H77" s="30"/>
      <c r="N77" s="30"/>
      <c r="T77" s="30"/>
      <c r="Z77" s="30"/>
      <c r="AF77" s="30"/>
      <c r="AL77" s="30"/>
      <c r="AR77" s="30"/>
      <c r="AX77" s="30"/>
      <c r="BD77" s="30"/>
      <c r="BJ77" s="30"/>
      <c r="BP77" s="30"/>
      <c r="BV77" s="30"/>
      <c r="CB77" s="30"/>
      <c r="CH77" s="30"/>
      <c r="CN77" s="30"/>
      <c r="CT77" s="30"/>
      <c r="CZ77" s="30"/>
    </row>
    <row r="78" spans="1:218" s="30" customFormat="1"/>
    <row r="79" spans="1:218" s="30" customFormat="1"/>
    <row r="80" spans="1:218" s="30" customFormat="1"/>
    <row r="81" s="30" customFormat="1"/>
  </sheetData>
  <mergeCells count="20">
    <mergeCell ref="EL6:EP6"/>
    <mergeCell ref="ER6:EV6"/>
    <mergeCell ref="EX6:FB6"/>
    <mergeCell ref="FD6:FH6"/>
    <mergeCell ref="FJ6:FN6"/>
    <mergeCell ref="DH6:DL6"/>
    <mergeCell ref="DN6:DR6"/>
    <mergeCell ref="DT6:DX6"/>
    <mergeCell ref="DZ6:ED6"/>
    <mergeCell ref="EF6:EJ6"/>
    <mergeCell ref="GN6:GR6"/>
    <mergeCell ref="GT6:GX6"/>
    <mergeCell ref="ER5:EV5"/>
    <mergeCell ref="EX5:FB5"/>
    <mergeCell ref="HF6:HJ6"/>
    <mergeCell ref="GZ6:HD6"/>
    <mergeCell ref="FP6:FT6"/>
    <mergeCell ref="FV6:FZ6"/>
    <mergeCell ref="GB6:GF6"/>
    <mergeCell ref="GH6:GL6"/>
  </mergeCells>
  <printOptions horizontalCentered="1" verticalCentered="1"/>
  <pageMargins left="0.5" right="0.5" top="0.5" bottom="0.5" header="0.5" footer="0.5"/>
  <pageSetup scale="88" orientation="landscape" r:id="rId1"/>
  <headerFooter alignWithMargins="0">
    <oddFooter>&amp;L_x000D_&amp;1#&amp;"Calibri"&amp;10&amp;K000000 Sensitivity: Public</oddFooter>
  </headerFooter>
  <ignoredErrors>
    <ignoredError sqref="DX29" formula="1"/>
    <ignoredError sqref="ER41:EU41 EL41:EO41 EX41:EZ41" formulaRange="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R66"/>
  <sheetViews>
    <sheetView topLeftCell="A5" zoomScaleNormal="100" workbookViewId="0">
      <pane xSplit="3" ySplit="4" topLeftCell="X9" activePane="bottomRight" state="frozen"/>
      <selection activeCell="A5" sqref="A5"/>
      <selection pane="topRight" activeCell="D5" sqref="D5"/>
      <selection pane="bottomLeft" activeCell="A9" sqref="A9"/>
      <selection pane="bottomRight" activeCell="AE45" sqref="AE45"/>
    </sheetView>
  </sheetViews>
  <sheetFormatPr defaultColWidth="8" defaultRowHeight="12.75" outlineLevelRow="1" outlineLevelCol="2"/>
  <cols>
    <col min="1" max="2" width="1.69140625" style="46" customWidth="1"/>
    <col min="3" max="3" width="26.3046875" style="46" customWidth="1"/>
    <col min="4" max="7" width="9.69140625" style="46" hidden="1" customWidth="1" outlineLevel="2"/>
    <col min="8" max="19" width="8.15234375" style="46" hidden="1" customWidth="1" outlineLevel="2"/>
    <col min="20" max="23" width="8" style="46" hidden="1" customWidth="1" outlineLevel="2"/>
    <col min="24" max="24" width="8.69140625" style="46" customWidth="1" collapsed="1"/>
    <col min="25" max="29" width="8.69140625" style="46" customWidth="1"/>
    <col min="30" max="30" width="3.53515625" style="46" customWidth="1"/>
    <col min="31" max="32" width="8" style="46" customWidth="1"/>
    <col min="33" max="34" width="8" style="46"/>
    <col min="35" max="35" width="9.3046875" style="46" bestFit="1" customWidth="1"/>
    <col min="36" max="16384" width="8" style="46"/>
  </cols>
  <sheetData>
    <row r="1" spans="1:44" ht="12.75" customHeight="1">
      <c r="A1" s="43"/>
      <c r="B1" s="44" t="str">
        <f>Intro!C5</f>
        <v>NeoGenomics</v>
      </c>
      <c r="C1" s="45"/>
      <c r="D1" s="45"/>
      <c r="E1" s="45"/>
      <c r="F1" s="45"/>
      <c r="G1" s="45"/>
      <c r="H1" s="45"/>
      <c r="I1" s="45"/>
      <c r="J1" s="45"/>
      <c r="K1" s="45"/>
      <c r="L1" s="45"/>
      <c r="M1" s="45"/>
      <c r="N1" s="45"/>
      <c r="O1" s="45"/>
      <c r="P1" s="45"/>
      <c r="Q1" s="45"/>
      <c r="R1" s="45"/>
      <c r="S1" s="45"/>
      <c r="T1" s="45"/>
      <c r="U1" s="45"/>
      <c r="V1" s="45"/>
      <c r="W1" s="45"/>
      <c r="X1" s="45"/>
      <c r="Y1" s="45"/>
      <c r="Z1" s="45"/>
      <c r="AA1" s="45"/>
      <c r="AB1" s="45"/>
    </row>
    <row r="2" spans="1:44">
      <c r="A2" s="43"/>
      <c r="B2" s="44" t="s">
        <v>142</v>
      </c>
      <c r="C2" s="45"/>
      <c r="D2" s="45"/>
      <c r="E2" s="45"/>
      <c r="F2" s="45"/>
      <c r="G2" s="45"/>
      <c r="H2" s="45"/>
      <c r="I2" s="45"/>
      <c r="J2" s="45"/>
      <c r="K2" s="45"/>
      <c r="L2" s="45"/>
      <c r="M2" s="45"/>
      <c r="N2" s="45"/>
      <c r="O2" s="45"/>
      <c r="P2" s="45"/>
      <c r="Q2" s="45"/>
      <c r="R2" s="45"/>
      <c r="S2" s="45"/>
      <c r="T2" s="45"/>
      <c r="U2" s="45"/>
      <c r="V2" s="45"/>
      <c r="W2" s="45"/>
      <c r="X2" s="45"/>
      <c r="Y2" s="45"/>
      <c r="Z2" s="45"/>
      <c r="AA2" s="45"/>
      <c r="AB2" s="45"/>
    </row>
    <row r="3" spans="1:44">
      <c r="A3" s="43"/>
      <c r="B3" s="10" t="str">
        <f>IS!EY4</f>
        <v>Dollars in millions, except per share amounts</v>
      </c>
      <c r="C3" s="45"/>
      <c r="D3" s="45"/>
      <c r="E3" s="45"/>
      <c r="F3" s="45"/>
      <c r="G3" s="45"/>
      <c r="H3" s="45"/>
      <c r="I3" s="45"/>
      <c r="J3" s="45"/>
      <c r="K3" s="45"/>
      <c r="L3" s="45"/>
      <c r="M3" s="45"/>
      <c r="N3" s="45"/>
      <c r="O3" s="45"/>
      <c r="P3" s="45"/>
      <c r="Q3" s="45"/>
      <c r="R3" s="45"/>
      <c r="S3" s="45"/>
      <c r="T3" s="45"/>
      <c r="U3" s="45"/>
      <c r="V3" s="45"/>
      <c r="W3" s="45"/>
      <c r="X3" s="45"/>
      <c r="Y3" s="45"/>
      <c r="Z3" s="45"/>
      <c r="AA3" s="45"/>
      <c r="AB3" s="45"/>
    </row>
    <row r="4" spans="1:44">
      <c r="A4" s="43"/>
    </row>
    <row r="5" spans="1:44">
      <c r="A5" s="43"/>
      <c r="D5" s="47"/>
      <c r="E5" s="47"/>
      <c r="F5" s="47"/>
      <c r="G5" s="47"/>
      <c r="H5" s="47"/>
      <c r="I5" s="47"/>
      <c r="J5" s="47"/>
      <c r="K5" s="47"/>
      <c r="L5" s="47"/>
      <c r="M5" s="47"/>
      <c r="N5" s="47"/>
      <c r="O5" s="47"/>
      <c r="P5" s="47"/>
      <c r="Q5" s="47"/>
      <c r="R5" s="47"/>
      <c r="S5" s="47"/>
      <c r="T5" s="47"/>
      <c r="U5" s="47"/>
      <c r="V5" s="47"/>
      <c r="W5" s="47"/>
      <c r="X5" s="47" t="s">
        <v>143</v>
      </c>
      <c r="Y5" s="47"/>
      <c r="Z5" s="47"/>
      <c r="AA5" s="47"/>
      <c r="AB5" s="47"/>
      <c r="AC5" s="47"/>
      <c r="AE5" s="47" t="s">
        <v>15</v>
      </c>
      <c r="AF5" s="47"/>
    </row>
    <row r="6" spans="1:44" s="48" customFormat="1">
      <c r="A6" s="13"/>
      <c r="D6" s="49">
        <v>2000</v>
      </c>
      <c r="E6" s="49">
        <v>2001</v>
      </c>
      <c r="F6" s="49">
        <v>2002</v>
      </c>
      <c r="G6" s="49">
        <v>2003</v>
      </c>
      <c r="H6" s="49">
        <v>2004</v>
      </c>
      <c r="I6" s="49">
        <v>2005</v>
      </c>
      <c r="J6" s="49">
        <v>2006</v>
      </c>
      <c r="K6" s="49">
        <v>2007</v>
      </c>
      <c r="L6" s="49">
        <v>2008</v>
      </c>
      <c r="M6" s="49">
        <v>2009</v>
      </c>
      <c r="N6" s="49">
        <v>2010</v>
      </c>
      <c r="O6" s="49">
        <v>2011</v>
      </c>
      <c r="P6" s="49">
        <v>2012</v>
      </c>
      <c r="Q6" s="49">
        <v>2013</v>
      </c>
      <c r="R6" s="49">
        <v>2014</v>
      </c>
      <c r="S6" s="49">
        <v>2015</v>
      </c>
      <c r="T6" s="49">
        <v>2016</v>
      </c>
      <c r="U6" s="49">
        <v>2017</v>
      </c>
      <c r="V6" s="49">
        <v>2018</v>
      </c>
      <c r="W6" s="49">
        <v>2019</v>
      </c>
      <c r="X6" s="49">
        <v>2020</v>
      </c>
      <c r="Y6" s="49">
        <v>2021</v>
      </c>
      <c r="Z6" s="49">
        <v>2022</v>
      </c>
      <c r="AA6" s="49">
        <v>2023</v>
      </c>
      <c r="AB6" s="49">
        <v>2024</v>
      </c>
      <c r="AC6" s="49">
        <v>2025</v>
      </c>
      <c r="AD6" s="49"/>
      <c r="AE6" s="49">
        <v>2026</v>
      </c>
      <c r="AF6" s="49">
        <v>2027</v>
      </c>
      <c r="AG6" s="49"/>
    </row>
    <row r="7" spans="1:44" s="42" customFormat="1" ht="8.85" customHeight="1">
      <c r="B7" s="46"/>
      <c r="C7" s="46"/>
      <c r="D7" s="30"/>
      <c r="E7" s="30"/>
      <c r="F7" s="30"/>
      <c r="G7" s="30"/>
      <c r="H7" s="30"/>
      <c r="I7" s="30"/>
      <c r="J7" s="30"/>
      <c r="K7" s="30"/>
      <c r="L7" s="30"/>
      <c r="M7" s="30"/>
      <c r="N7" s="30"/>
      <c r="O7" s="30"/>
      <c r="P7" s="30"/>
      <c r="Q7" s="30"/>
      <c r="R7" s="30"/>
      <c r="S7" s="30"/>
      <c r="T7" s="30"/>
      <c r="U7" s="30"/>
      <c r="V7" s="30"/>
      <c r="W7" s="30"/>
    </row>
    <row r="8" spans="1:44" s="42" customFormat="1">
      <c r="C8" s="42" t="s">
        <v>144</v>
      </c>
      <c r="Y8" s="42">
        <v>34.119999999999997</v>
      </c>
      <c r="Z8" s="42">
        <v>9.24</v>
      </c>
      <c r="AA8" s="42">
        <v>16.18</v>
      </c>
      <c r="AB8" s="42">
        <v>16.48</v>
      </c>
      <c r="AC8" s="42">
        <v>10</v>
      </c>
      <c r="AD8" s="349"/>
      <c r="AE8" s="349">
        <v>11</v>
      </c>
      <c r="AF8" s="42">
        <f>AE8</f>
        <v>11</v>
      </c>
      <c r="AI8" s="349"/>
      <c r="AJ8" s="20"/>
    </row>
    <row r="9" spans="1:44" s="42" customFormat="1" ht="8.85" customHeight="1">
      <c r="B9" s="46"/>
      <c r="C9" s="46"/>
      <c r="D9" s="30"/>
      <c r="E9" s="30"/>
      <c r="F9" s="30"/>
      <c r="G9" s="30"/>
      <c r="H9" s="30"/>
      <c r="I9" s="30"/>
      <c r="J9" s="30"/>
      <c r="K9" s="30"/>
      <c r="L9" s="30"/>
      <c r="M9" s="30"/>
      <c r="N9" s="30"/>
      <c r="O9" s="30"/>
      <c r="P9" s="30"/>
      <c r="Q9" s="30"/>
      <c r="R9" s="30"/>
      <c r="S9" s="30"/>
      <c r="T9" s="30"/>
      <c r="U9" s="30"/>
      <c r="V9" s="30"/>
      <c r="W9" s="30"/>
    </row>
    <row r="10" spans="1:44">
      <c r="A10" s="50" t="s">
        <v>145</v>
      </c>
    </row>
    <row r="11" spans="1:44" s="51" customFormat="1">
      <c r="C11" s="51" t="s">
        <v>127</v>
      </c>
      <c r="D11" s="52"/>
      <c r="E11" s="52"/>
      <c r="F11" s="52"/>
      <c r="G11" s="52"/>
      <c r="H11" s="52"/>
      <c r="I11" s="52"/>
      <c r="J11" s="52"/>
      <c r="K11" s="52"/>
      <c r="L11" s="52"/>
      <c r="M11" s="52"/>
      <c r="N11" s="52"/>
      <c r="O11" s="52"/>
      <c r="P11" s="52"/>
      <c r="Q11" s="52"/>
      <c r="R11" s="52"/>
      <c r="S11" s="52"/>
      <c r="T11" s="52"/>
      <c r="U11" s="52"/>
      <c r="V11" s="103"/>
      <c r="W11" s="103"/>
      <c r="X11" s="52"/>
      <c r="Y11" s="52">
        <f>IS!ED49</f>
        <v>484.32899999999995</v>
      </c>
      <c r="Z11" s="52">
        <f>IS!EJ49</f>
        <v>509.72800000000007</v>
      </c>
      <c r="AA11" s="103">
        <f>IS!EP49</f>
        <v>591.64300000000003</v>
      </c>
      <c r="AB11" s="103">
        <f>IS!EV49</f>
        <v>660.56600000000003</v>
      </c>
      <c r="AC11" s="103">
        <f>IS!FB49</f>
        <v>727.33199999999999</v>
      </c>
      <c r="AD11" s="103"/>
      <c r="AE11" s="103">
        <f>IS!FH49</f>
        <v>797.36310775014999</v>
      </c>
      <c r="AF11" s="103">
        <f>IS!FN49</f>
        <v>875.32547255822544</v>
      </c>
      <c r="AG11" s="103"/>
      <c r="AQ11" s="58"/>
      <c r="AR11" s="346"/>
    </row>
    <row r="12" spans="1:44" s="53" customFormat="1">
      <c r="B12" s="53" t="s">
        <v>146</v>
      </c>
      <c r="D12" s="54"/>
      <c r="E12" s="54"/>
      <c r="F12" s="54"/>
      <c r="G12" s="54"/>
      <c r="H12" s="54"/>
      <c r="I12" s="54"/>
      <c r="J12" s="54"/>
      <c r="K12" s="54"/>
      <c r="L12" s="123"/>
      <c r="M12" s="146"/>
      <c r="N12" s="146"/>
      <c r="O12" s="146"/>
      <c r="P12" s="146"/>
      <c r="Q12" s="146"/>
      <c r="R12" s="146"/>
      <c r="S12" s="54"/>
      <c r="T12" s="54"/>
      <c r="U12" s="54"/>
      <c r="V12" s="54"/>
      <c r="W12" s="54"/>
      <c r="X12" s="54"/>
      <c r="Y12" s="54">
        <f>(Y8*Y27)/Y11</f>
        <v>8.4510806497236395</v>
      </c>
      <c r="Z12" s="54">
        <f>(Z8*Z27)/Z11</f>
        <v>2.2517206824031639</v>
      </c>
      <c r="AA12" s="54">
        <f>(AA8*AA27)/AA11</f>
        <v>3.3970334475350845</v>
      </c>
      <c r="AB12" s="54">
        <f>(AB8*AB27)/AB11</f>
        <v>3.1535901030328533</v>
      </c>
      <c r="AC12" s="54">
        <f>(AC8*AC27)/AC11</f>
        <v>1.7655623566679315</v>
      </c>
      <c r="AD12" s="54"/>
      <c r="AE12" s="54">
        <f>(AE8*AE27)/AE11</f>
        <v>1.7779741578465738</v>
      </c>
      <c r="AF12" s="54">
        <f>(AF8*AF27)/AF11</f>
        <v>1.6373538128752025</v>
      </c>
      <c r="AG12" s="54"/>
      <c r="AH12" s="55"/>
      <c r="AK12" s="55"/>
      <c r="AQ12" s="58"/>
      <c r="AR12" s="346"/>
    </row>
    <row r="13" spans="1:44" s="53" customFormat="1">
      <c r="B13" s="53" t="s">
        <v>147</v>
      </c>
      <c r="D13" s="54"/>
      <c r="E13" s="54"/>
      <c r="F13" s="54"/>
      <c r="G13" s="54"/>
      <c r="H13" s="54"/>
      <c r="I13" s="54"/>
      <c r="J13" s="54"/>
      <c r="K13" s="54"/>
      <c r="L13" s="123"/>
      <c r="M13" s="146"/>
      <c r="N13" s="146"/>
      <c r="O13" s="146"/>
      <c r="P13" s="146"/>
      <c r="Q13" s="146"/>
      <c r="R13" s="146"/>
      <c r="S13" s="54"/>
      <c r="T13" s="54"/>
      <c r="U13" s="54"/>
      <c r="V13" s="54"/>
      <c r="W13" s="54"/>
      <c r="X13" s="54"/>
      <c r="Y13" s="54">
        <f>Y29/Y11</f>
        <v>8.896494820669421</v>
      </c>
      <c r="Z13" s="54">
        <f>Z29/Z11</f>
        <v>2.7856171919141186</v>
      </c>
      <c r="AA13" s="54">
        <f>AA29/AA11</f>
        <v>3.7278241439516733</v>
      </c>
      <c r="AB13" s="54">
        <f>AB29/AB11</f>
        <v>3.4149387040810453</v>
      </c>
      <c r="AC13" s="54">
        <f>AC29/AC11</f>
        <v>2.0007919999780048</v>
      </c>
      <c r="AD13" s="54"/>
      <c r="AE13" s="54">
        <f>AE29/AE11</f>
        <v>2.0072375865444583</v>
      </c>
      <c r="AF13" s="54">
        <f>AF29/AF11</f>
        <v>1.7812113172162667</v>
      </c>
      <c r="AG13" s="54"/>
      <c r="AQ13" s="58"/>
      <c r="AR13" s="346"/>
    </row>
    <row r="14" spans="1:44" s="42" customFormat="1" ht="8.85" customHeight="1">
      <c r="B14" s="46"/>
      <c r="C14" s="46"/>
      <c r="D14" s="30"/>
      <c r="E14" s="30"/>
      <c r="F14" s="30"/>
      <c r="G14" s="30"/>
      <c r="H14" s="30"/>
      <c r="I14" s="30"/>
      <c r="J14" s="30"/>
      <c r="K14" s="30"/>
      <c r="L14" s="30"/>
      <c r="M14" s="30"/>
      <c r="N14" s="30"/>
      <c r="O14" s="30"/>
      <c r="P14" s="30"/>
      <c r="Q14" s="30"/>
      <c r="R14" s="30"/>
      <c r="S14" s="30"/>
      <c r="T14" s="30"/>
      <c r="U14" s="30"/>
      <c r="V14" s="30"/>
      <c r="W14" s="30"/>
    </row>
    <row r="15" spans="1:44" s="55" customFormat="1">
      <c r="C15" s="55" t="s">
        <v>83</v>
      </c>
      <c r="V15" s="58"/>
      <c r="W15" s="58"/>
      <c r="Y15" s="55">
        <f>IS!ED62</f>
        <v>-32.708000000000034</v>
      </c>
      <c r="Z15" s="55">
        <f>IS!EJ62</f>
        <v>-69.796000000000006</v>
      </c>
      <c r="AA15" s="58">
        <f>IS!EP62</f>
        <v>-14.840000000000085</v>
      </c>
      <c r="AB15" s="58">
        <f>IS!EV62</f>
        <v>14.267000000000078</v>
      </c>
      <c r="AC15" s="58">
        <f>IS!FB62</f>
        <v>14.844999999999979</v>
      </c>
      <c r="AD15" s="58"/>
      <c r="AE15" s="58">
        <f>IS!FH62</f>
        <v>19.935045828021657</v>
      </c>
      <c r="AF15" s="58">
        <f>IS!FN62</f>
        <v>38.093422971950289</v>
      </c>
      <c r="AG15" s="58"/>
    </row>
    <row r="16" spans="1:44" s="51" customFormat="1">
      <c r="C16" s="51" t="s">
        <v>148</v>
      </c>
      <c r="D16" s="56"/>
      <c r="E16" s="56"/>
      <c r="F16" s="56"/>
      <c r="G16" s="56"/>
      <c r="H16" s="56"/>
      <c r="I16" s="56"/>
      <c r="J16" s="56"/>
      <c r="K16" s="56"/>
      <c r="L16" s="56"/>
      <c r="M16" s="56"/>
      <c r="N16" s="56"/>
      <c r="O16" s="56"/>
      <c r="P16" s="56"/>
      <c r="Q16" s="56"/>
      <c r="R16" s="56"/>
      <c r="S16" s="56"/>
      <c r="T16" s="56"/>
      <c r="U16" s="56"/>
      <c r="V16" s="56"/>
      <c r="W16" s="56"/>
      <c r="X16" s="56"/>
      <c r="Y16" s="56">
        <f>Y15/IS!ED25</f>
        <v>-0.27265300678548232</v>
      </c>
      <c r="Z16" s="56">
        <f>Z15/IS!EJ25</f>
        <v>-0.56188766432935922</v>
      </c>
      <c r="AA16" s="56">
        <f>AA15/IS!EP25</f>
        <v>-0.11946834974278951</v>
      </c>
      <c r="AB16" s="56">
        <f>IS!EV68</f>
        <v>0.11264258461319883</v>
      </c>
      <c r="AC16" s="56">
        <f>IS!FB68</f>
        <v>0.1158360660214855</v>
      </c>
      <c r="AD16" s="56"/>
      <c r="AE16" s="56">
        <f>IS!FH68</f>
        <v>0.15362635745998199</v>
      </c>
      <c r="AF16" s="56">
        <f>IS!FN68</f>
        <v>0.29067923547662267</v>
      </c>
      <c r="AG16" s="56"/>
      <c r="AH16" s="335"/>
      <c r="AI16" s="55"/>
      <c r="AK16" s="335"/>
      <c r="AL16" s="55"/>
    </row>
    <row r="17" spans="1:38" s="53" customFormat="1">
      <c r="B17" s="53" t="s">
        <v>149</v>
      </c>
      <c r="D17" s="54"/>
      <c r="E17" s="54"/>
      <c r="F17" s="54"/>
      <c r="G17" s="54"/>
      <c r="H17" s="54"/>
      <c r="I17" s="54"/>
      <c r="J17" s="123"/>
      <c r="K17" s="123"/>
      <c r="L17" s="123"/>
      <c r="M17" s="123"/>
      <c r="N17" s="123"/>
      <c r="O17" s="123"/>
      <c r="P17" s="123"/>
      <c r="Q17" s="123"/>
      <c r="R17" s="123"/>
      <c r="S17" s="123"/>
      <c r="T17" s="123"/>
      <c r="U17" s="123"/>
      <c r="V17" s="123"/>
      <c r="W17" s="123"/>
      <c r="X17" s="123"/>
      <c r="Y17" s="123">
        <f>Y8/Y16</f>
        <v>-125.14074354897872</v>
      </c>
      <c r="Z17" s="123">
        <f>Z8/Z16</f>
        <v>-16.444568170095703</v>
      </c>
      <c r="AA17" s="123">
        <f>AA8/AA16</f>
        <v>-135.43335983827416</v>
      </c>
      <c r="AB17" s="123">
        <f>AB8/AB16</f>
        <v>146.30346113408487</v>
      </c>
      <c r="AC17" s="123">
        <f>AC8/AC16</f>
        <v>86.328898619063779</v>
      </c>
      <c r="AD17" s="123"/>
      <c r="AE17" s="123">
        <f>AE8/AE16</f>
        <v>71.602296519107284</v>
      </c>
      <c r="AF17" s="123">
        <f>AF8/AF16</f>
        <v>37.842400341955816</v>
      </c>
      <c r="AG17" s="123"/>
      <c r="AH17" s="336"/>
      <c r="AI17" s="51"/>
      <c r="AK17" s="336"/>
      <c r="AL17" s="51"/>
    </row>
    <row r="18" spans="1:38" s="42" customFormat="1" ht="8.85" customHeight="1">
      <c r="B18" s="46"/>
      <c r="C18" s="46"/>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row>
    <row r="19" spans="1:38" s="55" customFormat="1">
      <c r="C19" s="55" t="s">
        <v>150</v>
      </c>
      <c r="Y19" s="55">
        <f>CF!ED36</f>
        <v>-26.723000000000017</v>
      </c>
      <c r="Z19" s="55">
        <f>CF!EJ36</f>
        <v>-65.992999999999995</v>
      </c>
      <c r="AA19" s="55">
        <f>CF!EP36</f>
        <v>-1.9530000000000065</v>
      </c>
      <c r="AB19" s="55">
        <f>CF!EV36</f>
        <v>7.022999999999989</v>
      </c>
      <c r="AC19" s="55">
        <f>CF!FB36</f>
        <v>23.980953071997874</v>
      </c>
      <c r="AE19" s="55">
        <f>CF!FH36</f>
        <v>48.980221513119318</v>
      </c>
      <c r="AF19" s="55">
        <f>CF!FN36</f>
        <v>70.841112446493682</v>
      </c>
    </row>
    <row r="20" spans="1:38" s="55" customFormat="1">
      <c r="C20" s="55" t="s">
        <v>151</v>
      </c>
      <c r="Y20" s="55">
        <f>CF!ED39</f>
        <v>-64.141999999999996</v>
      </c>
      <c r="Z20" s="55">
        <f>CF!EJ39</f>
        <v>-30.890999999999998</v>
      </c>
      <c r="AA20" s="55">
        <f>CF!EP39</f>
        <v>-28.751999999999999</v>
      </c>
      <c r="AB20" s="55">
        <f>CF!EV39</f>
        <v>-41.061</v>
      </c>
      <c r="AC20" s="55">
        <f>CF!FB39</f>
        <v>-33</v>
      </c>
      <c r="AE20" s="55">
        <f>CF!FH39</f>
        <v>-35.805</v>
      </c>
      <c r="AF20" s="55">
        <f>CF!FN39</f>
        <v>-38.848424999999999</v>
      </c>
    </row>
    <row r="21" spans="1:38" s="55" customFormat="1">
      <c r="C21" s="55" t="s">
        <v>152</v>
      </c>
      <c r="Y21" s="55">
        <f>Y19+Y20</f>
        <v>-90.865000000000009</v>
      </c>
      <c r="Z21" s="55">
        <f>Z19+Z20</f>
        <v>-96.883999999999986</v>
      </c>
      <c r="AA21" s="55">
        <f>AA19+AA20</f>
        <v>-30.705000000000005</v>
      </c>
      <c r="AB21" s="55">
        <f>AB19+AB20</f>
        <v>-34.038000000000011</v>
      </c>
      <c r="AC21" s="55">
        <f>AC19+AC20</f>
        <v>-9.0190469280021262</v>
      </c>
      <c r="AE21" s="55">
        <f>AE19+AE20</f>
        <v>13.175221513119318</v>
      </c>
      <c r="AF21" s="55">
        <f>AF19+AF20</f>
        <v>31.992687446493683</v>
      </c>
    </row>
    <row r="22" spans="1:38" s="53" customFormat="1">
      <c r="B22" s="57" t="s">
        <v>153</v>
      </c>
      <c r="C22" s="450"/>
      <c r="D22" s="451"/>
      <c r="E22" s="451"/>
      <c r="F22" s="451"/>
      <c r="G22" s="451"/>
      <c r="H22" s="452"/>
      <c r="I22" s="452"/>
      <c r="J22" s="453"/>
      <c r="K22" s="453"/>
      <c r="L22" s="453"/>
      <c r="M22" s="453"/>
      <c r="N22" s="453"/>
      <c r="O22" s="453"/>
      <c r="P22" s="453"/>
      <c r="Q22" s="453"/>
      <c r="R22" s="453"/>
      <c r="S22" s="453"/>
      <c r="T22" s="453"/>
      <c r="U22" s="453"/>
      <c r="V22" s="453"/>
      <c r="W22" s="453"/>
      <c r="X22" s="453"/>
      <c r="Y22" s="453">
        <f>Y21/Y28</f>
        <v>-2.21995366918946E-2</v>
      </c>
      <c r="Z22" s="453">
        <f>Z21/Z28</f>
        <v>-8.4411001596249965E-2</v>
      </c>
      <c r="AA22" s="453">
        <f>AA21/AA28</f>
        <v>-1.5277403464945957E-2</v>
      </c>
      <c r="AB22" s="453">
        <f>AB21/AB28</f>
        <v>-1.6339643379290565E-2</v>
      </c>
      <c r="AC22" s="454">
        <f>AC21/AC28</f>
        <v>-7.023359364561871E-3</v>
      </c>
      <c r="AD22" s="142"/>
      <c r="AE22" s="928">
        <f>AE21/AE28</f>
        <v>9.293436660823353E-3</v>
      </c>
      <c r="AF22" s="454">
        <f>AF21/AF28</f>
        <v>2.2322283565818661E-2</v>
      </c>
      <c r="AG22" s="142"/>
    </row>
    <row r="23" spans="1:38" s="51" customFormat="1">
      <c r="C23" s="51" t="s">
        <v>154</v>
      </c>
      <c r="Y23" s="51">
        <f>Y21/IS!ED25</f>
        <v>-0.75744819192744373</v>
      </c>
      <c r="Z23" s="51">
        <f>Z21/IS!EJ25</f>
        <v>-0.77995765474934986</v>
      </c>
      <c r="AA23" s="51">
        <f>AA21/IS!EP25</f>
        <v>-0.24718838806282559</v>
      </c>
      <c r="AB23" s="51">
        <f>AB21/IS!EV25</f>
        <v>-0.26874103140562433</v>
      </c>
      <c r="AC23" s="55">
        <f>AC21/IS!FB65</f>
        <v>-7.0375945800130124E-2</v>
      </c>
      <c r="AD23" s="55"/>
      <c r="AE23" s="51">
        <f>AE21/IS!FH65</f>
        <v>0.1015328134808597</v>
      </c>
      <c r="AF23" s="51">
        <f>AF21/IS!FN65</f>
        <v>0.24412639249134954</v>
      </c>
    </row>
    <row r="24" spans="1:38" s="53" customFormat="1">
      <c r="B24" s="53" t="s">
        <v>155</v>
      </c>
      <c r="D24" s="54"/>
      <c r="E24" s="54"/>
      <c r="F24" s="54"/>
      <c r="G24" s="54"/>
      <c r="H24" s="54"/>
      <c r="I24" s="54"/>
      <c r="J24" s="123"/>
      <c r="K24" s="123"/>
      <c r="L24" s="123"/>
      <c r="M24" s="123"/>
      <c r="N24" s="123"/>
      <c r="O24" s="123"/>
      <c r="P24" s="123"/>
      <c r="Q24" s="123"/>
      <c r="R24" s="123"/>
      <c r="S24" s="123"/>
      <c r="T24" s="123"/>
      <c r="U24" s="123"/>
      <c r="V24" s="123"/>
      <c r="W24" s="123"/>
      <c r="X24" s="123"/>
      <c r="Y24" s="123">
        <f>Y8/Y23</f>
        <v>-45.045985142794251</v>
      </c>
      <c r="Z24" s="123">
        <f>Z8/Z23</f>
        <v>-11.846796994343753</v>
      </c>
      <c r="AA24" s="123">
        <f>AA8/AA23</f>
        <v>-65.456149161374356</v>
      </c>
      <c r="AB24" s="123">
        <f>AB8/AB23</f>
        <v>-61.322976673130007</v>
      </c>
      <c r="AC24" s="123">
        <f>AC8/AC23</f>
        <v>-142.09400507952407</v>
      </c>
      <c r="AD24" s="123"/>
      <c r="AE24" s="123">
        <f>AE8/AE23</f>
        <v>108.33935968960073</v>
      </c>
      <c r="AF24" s="123">
        <f>AF8/AF23</f>
        <v>45.058626753720525</v>
      </c>
      <c r="AG24" s="123"/>
    </row>
    <row r="25" spans="1:38" s="42" customFormat="1" ht="8.85" customHeight="1">
      <c r="B25" s="46"/>
      <c r="C25" s="46"/>
      <c r="D25" s="30"/>
      <c r="E25" s="30"/>
      <c r="F25" s="30"/>
      <c r="G25" s="30"/>
      <c r="H25" s="30"/>
      <c r="I25" s="30"/>
      <c r="J25" s="30"/>
      <c r="K25" s="30"/>
      <c r="L25" s="30"/>
      <c r="M25" s="30"/>
      <c r="N25" s="30"/>
      <c r="O25" s="30"/>
      <c r="P25" s="30"/>
      <c r="Q25" s="30"/>
      <c r="R25" s="30"/>
      <c r="S25" s="30"/>
      <c r="T25" s="30"/>
      <c r="U25" s="30"/>
      <c r="V25" s="30"/>
      <c r="W25" s="30"/>
    </row>
    <row r="26" spans="1:38" s="55" customFormat="1" outlineLevel="1">
      <c r="C26" s="55" t="s">
        <v>79</v>
      </c>
      <c r="G26" s="58"/>
      <c r="H26" s="58"/>
      <c r="I26" s="58"/>
      <c r="J26" s="58"/>
      <c r="K26" s="58"/>
      <c r="L26" s="58"/>
      <c r="M26" s="58"/>
      <c r="N26" s="58"/>
      <c r="O26" s="58"/>
      <c r="P26" s="58"/>
      <c r="Q26" s="58"/>
      <c r="R26" s="58"/>
      <c r="S26" s="58"/>
      <c r="T26" s="58"/>
      <c r="U26" s="58"/>
      <c r="V26" s="58"/>
      <c r="W26" s="58"/>
      <c r="X26" s="58"/>
      <c r="Y26" s="58">
        <f>BS!ED11</f>
        <v>316.827</v>
      </c>
      <c r="Z26" s="58">
        <f>BS!EJ11</f>
        <v>263.18</v>
      </c>
      <c r="AA26" s="58">
        <f>BS!EP11</f>
        <v>342.488</v>
      </c>
      <c r="AB26" s="58">
        <f>BS!EV11</f>
        <v>367.012</v>
      </c>
      <c r="AC26" s="58">
        <f>BS!FB11</f>
        <v>170.48055307199783</v>
      </c>
      <c r="AD26" s="58"/>
      <c r="AE26" s="58">
        <v>160</v>
      </c>
      <c r="AF26" s="58">
        <f>BS!FN11</f>
        <v>563.1196620316108</v>
      </c>
      <c r="AG26" s="58"/>
      <c r="AH26" s="58"/>
    </row>
    <row r="27" spans="1:38" s="37" customFormat="1" outlineLevel="1">
      <c r="C27" s="37" t="s">
        <v>156</v>
      </c>
      <c r="Y27" s="37">
        <f>IS!ED25</f>
        <v>119.962</v>
      </c>
      <c r="Z27" s="37">
        <f>IS!EJ25</f>
        <v>124.217</v>
      </c>
      <c r="AA27" s="37">
        <f>IS!EP25</f>
        <v>124.217</v>
      </c>
      <c r="AB27" s="37">
        <f>IS!ES65</f>
        <v>126.405</v>
      </c>
      <c r="AC27" s="37">
        <f>IS!EZ65</f>
        <v>128.41499999999999</v>
      </c>
      <c r="AE27" s="37">
        <f>IS!FA65</f>
        <v>128.88099999999997</v>
      </c>
      <c r="AF27" s="37">
        <f>IS!FG65</f>
        <v>130.2924999999999</v>
      </c>
      <c r="AH27" s="58"/>
      <c r="AI27" s="42"/>
    </row>
    <row r="28" spans="1:38" outlineLevel="1">
      <c r="C28" s="46" t="s">
        <v>157</v>
      </c>
      <c r="H28" s="58"/>
      <c r="I28" s="58"/>
      <c r="J28" s="58"/>
      <c r="K28" s="58"/>
      <c r="L28" s="58"/>
      <c r="M28" s="58"/>
      <c r="N28" s="58"/>
      <c r="O28" s="58"/>
      <c r="P28" s="58"/>
      <c r="Q28" s="58"/>
      <c r="R28" s="58"/>
      <c r="S28" s="58"/>
      <c r="T28" s="58"/>
      <c r="U28" s="58"/>
      <c r="V28" s="58"/>
      <c r="W28" s="58"/>
      <c r="X28" s="58"/>
      <c r="Y28" s="58">
        <f>Y27*Y8</f>
        <v>4093.1034399999999</v>
      </c>
      <c r="Z28" s="58">
        <f>Z27*Z8</f>
        <v>1147.7650800000001</v>
      </c>
      <c r="AA28" s="58">
        <f>AA27*AA8</f>
        <v>2009.83106</v>
      </c>
      <c r="AB28" s="58">
        <f>AB27*AB8</f>
        <v>2083.1543999999999</v>
      </c>
      <c r="AC28" s="58">
        <f>AC27*AC8</f>
        <v>1284.1499999999999</v>
      </c>
      <c r="AD28" s="58"/>
      <c r="AE28" s="58">
        <f>AE27*AE8</f>
        <v>1417.6909999999998</v>
      </c>
      <c r="AF28" s="58">
        <f>AF27*AF8</f>
        <v>1433.2174999999988</v>
      </c>
      <c r="AG28" s="58"/>
    </row>
    <row r="29" spans="1:38" s="55" customFormat="1">
      <c r="C29" s="55" t="s">
        <v>158</v>
      </c>
      <c r="D29" s="51"/>
      <c r="E29" s="51"/>
      <c r="F29" s="51"/>
      <c r="G29" s="58"/>
      <c r="H29" s="58"/>
      <c r="I29" s="58"/>
      <c r="J29" s="58"/>
      <c r="K29" s="58"/>
      <c r="L29" s="58"/>
      <c r="M29" s="58"/>
      <c r="N29" s="58"/>
      <c r="O29" s="58"/>
      <c r="P29" s="58"/>
      <c r="Q29" s="58"/>
      <c r="R29" s="58"/>
      <c r="S29" s="58"/>
      <c r="T29" s="58"/>
      <c r="U29" s="58"/>
      <c r="V29" s="58"/>
      <c r="W29" s="58"/>
      <c r="X29" s="58"/>
      <c r="Y29" s="58">
        <f>Y28-Y26+Y45</f>
        <v>4308.8304399999997</v>
      </c>
      <c r="Z29" s="58">
        <f>Z28-Z26+Z45</f>
        <v>1419.90708</v>
      </c>
      <c r="AA29" s="58">
        <f>AA28-AA26+AA45</f>
        <v>2205.54106</v>
      </c>
      <c r="AB29" s="58">
        <f>AB28-AB26+AB45</f>
        <v>2255.7923999999998</v>
      </c>
      <c r="AC29" s="58">
        <f>AC28-AC26+AC45</f>
        <v>1455.2400469280021</v>
      </c>
      <c r="AD29" s="58"/>
      <c r="AE29" s="58">
        <f>AE28-AE26+AE45</f>
        <v>1600.4971999999998</v>
      </c>
      <c r="AF29" s="58">
        <f>AF28-AF26+AF45</f>
        <v>1559.1396379683879</v>
      </c>
      <c r="AG29" s="58"/>
    </row>
    <row r="30" spans="1:38" s="52" customFormat="1">
      <c r="A30" s="55"/>
      <c r="B30" s="55"/>
      <c r="C30" s="55" t="s">
        <v>159</v>
      </c>
      <c r="D30" s="55"/>
      <c r="E30" s="55"/>
      <c r="F30" s="55"/>
      <c r="G30" s="58"/>
      <c r="H30" s="103"/>
      <c r="I30" s="103"/>
      <c r="J30" s="103"/>
      <c r="K30" s="103"/>
      <c r="L30" s="103"/>
      <c r="M30" s="103"/>
      <c r="N30" s="103"/>
      <c r="O30" s="103"/>
      <c r="P30" s="103"/>
      <c r="Q30" s="103"/>
      <c r="R30" s="103"/>
      <c r="S30" s="103"/>
      <c r="T30" s="103"/>
      <c r="U30" s="103"/>
      <c r="V30" s="103"/>
      <c r="W30" s="103"/>
      <c r="X30" s="103"/>
      <c r="Y30" s="103">
        <f>IS!ED68</f>
        <v>-0.27265300678548232</v>
      </c>
      <c r="Z30" s="103">
        <f>IS!EJ70</f>
        <v>-48.009000000000007</v>
      </c>
      <c r="AA30" s="103">
        <f>IS!EP70</f>
        <v>3.4770000000000127</v>
      </c>
      <c r="AB30" s="103">
        <f>IS!EV70</f>
        <v>39.608000000000054</v>
      </c>
      <c r="AC30" s="103">
        <f>IS!FB70</f>
        <v>43.357000000000021</v>
      </c>
      <c r="AD30" s="103"/>
      <c r="AE30" s="103">
        <f>IS!FH70</f>
        <v>56.067416820774703</v>
      </c>
      <c r="AF30" s="103">
        <f>IS!FN70</f>
        <v>73.588108591761369</v>
      </c>
      <c r="AG30" s="103"/>
      <c r="AH30" s="58"/>
      <c r="AI30" s="51"/>
      <c r="AK30" s="58"/>
      <c r="AL30" s="51"/>
    </row>
    <row r="31" spans="1:38" s="53" customFormat="1">
      <c r="B31" s="53" t="s">
        <v>160</v>
      </c>
      <c r="D31" s="54"/>
      <c r="E31" s="54"/>
      <c r="F31" s="54"/>
      <c r="G31" s="54"/>
      <c r="H31" s="54"/>
      <c r="I31" s="54"/>
      <c r="J31" s="123"/>
      <c r="K31" s="123"/>
      <c r="L31" s="123"/>
      <c r="M31" s="123"/>
      <c r="N31" s="123"/>
      <c r="O31" s="123"/>
      <c r="P31" s="123"/>
      <c r="Q31" s="123"/>
      <c r="R31" s="123"/>
      <c r="S31" s="123"/>
      <c r="T31" s="123"/>
      <c r="U31" s="123"/>
      <c r="V31" s="123"/>
      <c r="W31" s="123"/>
      <c r="X31" s="123"/>
      <c r="Y31" s="695">
        <f>Y29/Y30</f>
        <v>-15803.348332006834</v>
      </c>
      <c r="Z31" s="695">
        <f>Z29/Z30</f>
        <v>-29.575852027744791</v>
      </c>
      <c r="AA31" s="695">
        <f>AA29/AA30</f>
        <v>634.32299683635085</v>
      </c>
      <c r="AB31" s="123">
        <f>AB29/AB30</f>
        <v>56.952948899212195</v>
      </c>
      <c r="AC31" s="123">
        <f>AC29/AC30</f>
        <v>33.564131441935594</v>
      </c>
      <c r="AD31" s="123"/>
      <c r="AE31" s="123">
        <f>AE29/AE30</f>
        <v>28.54594148890709</v>
      </c>
      <c r="AF31" s="123">
        <f>AF29/AF30</f>
        <v>21.187385676915508</v>
      </c>
      <c r="AG31" s="123"/>
    </row>
    <row r="32" spans="1:38" s="53" customFormat="1">
      <c r="C32" s="929" t="s">
        <v>729</v>
      </c>
      <c r="D32" s="54"/>
      <c r="E32" s="54"/>
      <c r="F32" s="54"/>
      <c r="G32" s="54"/>
      <c r="H32" s="54"/>
      <c r="I32" s="54"/>
      <c r="J32" s="123"/>
      <c r="K32" s="123"/>
      <c r="L32" s="123"/>
      <c r="M32" s="123"/>
      <c r="N32" s="123"/>
      <c r="O32" s="123"/>
      <c r="P32" s="123"/>
      <c r="Q32" s="123"/>
      <c r="R32" s="123"/>
      <c r="S32" s="123"/>
      <c r="T32" s="123"/>
      <c r="U32" s="123"/>
      <c r="V32" s="123"/>
      <c r="W32" s="123"/>
      <c r="X32" s="123"/>
      <c r="Y32" s="695"/>
      <c r="Z32" s="695"/>
      <c r="AA32" s="695"/>
      <c r="AB32" s="123"/>
      <c r="AC32" s="930">
        <f>IS!FB90</f>
        <v>9.4652595435264608E-2</v>
      </c>
      <c r="AD32" s="123"/>
      <c r="AE32" s="930">
        <f>IS!FH90</f>
        <v>0.29315720231507436</v>
      </c>
      <c r="AF32" s="930">
        <f>IS!FN90</f>
        <v>0.31249329404622594</v>
      </c>
      <c r="AG32" s="123"/>
    </row>
    <row r="33" spans="1:33" s="53" customFormat="1">
      <c r="C33" s="53" t="s">
        <v>728</v>
      </c>
      <c r="D33" s="54"/>
      <c r="E33" s="54"/>
      <c r="F33" s="54"/>
      <c r="G33" s="54"/>
      <c r="H33" s="54"/>
      <c r="I33" s="54"/>
      <c r="J33" s="123"/>
      <c r="K33" s="123"/>
      <c r="L33" s="123"/>
      <c r="M33" s="123"/>
      <c r="N33" s="123"/>
      <c r="O33" s="123"/>
      <c r="P33" s="123"/>
      <c r="Q33" s="123"/>
      <c r="R33" s="123"/>
      <c r="S33" s="123"/>
      <c r="T33" s="123"/>
      <c r="U33" s="123"/>
      <c r="V33" s="123"/>
      <c r="W33" s="123"/>
      <c r="X33" s="123"/>
      <c r="Y33" s="695"/>
      <c r="Z33" s="695"/>
      <c r="AA33" s="695"/>
      <c r="AB33" s="123"/>
      <c r="AC33" s="123">
        <f>AC31/(AC32*100)</f>
        <v>3.5460339241189622</v>
      </c>
      <c r="AD33" s="123"/>
      <c r="AE33" s="123">
        <f>AE31/(AE32*100)</f>
        <v>0.97374177620330082</v>
      </c>
      <c r="AF33" s="123">
        <f>AF31/(AF32*100)</f>
        <v>0.67801089113231783</v>
      </c>
      <c r="AG33" s="123"/>
    </row>
    <row r="34" spans="1:33" s="42" customFormat="1" ht="8.85" customHeight="1">
      <c r="B34" s="46"/>
      <c r="C34" s="46"/>
      <c r="D34" s="30"/>
      <c r="E34" s="30"/>
      <c r="F34" s="30"/>
      <c r="G34" s="30"/>
      <c r="H34" s="30"/>
      <c r="I34" s="30"/>
      <c r="J34" s="30"/>
      <c r="K34" s="30"/>
      <c r="L34" s="30"/>
      <c r="M34" s="30"/>
      <c r="N34" s="30"/>
      <c r="O34" s="30"/>
    </row>
    <row r="35" spans="1:33" s="42" customFormat="1" hidden="1" outlineLevel="1">
      <c r="B35" s="46"/>
      <c r="C35" s="46" t="s">
        <v>161</v>
      </c>
      <c r="D35" s="60"/>
      <c r="E35" s="60"/>
      <c r="F35" s="60"/>
      <c r="G35" s="60"/>
      <c r="H35" s="60"/>
      <c r="I35" s="60"/>
      <c r="J35" s="124"/>
      <c r="K35" s="124"/>
      <c r="L35" s="124"/>
      <c r="M35" s="124"/>
      <c r="N35" s="125"/>
      <c r="O35" s="125"/>
      <c r="P35" s="125"/>
      <c r="Q35" s="125"/>
      <c r="R35" s="125"/>
      <c r="S35" s="125"/>
      <c r="T35" s="61"/>
      <c r="U35" s="61"/>
      <c r="V35" s="61"/>
      <c r="W35" s="61"/>
      <c r="X35" s="61"/>
      <c r="Y35" s="61"/>
      <c r="Z35" s="61"/>
      <c r="AA35" s="61"/>
      <c r="AB35" s="61"/>
      <c r="AC35" s="61"/>
      <c r="AD35" s="927"/>
      <c r="AE35" s="61"/>
      <c r="AF35" s="61"/>
      <c r="AG35" s="61"/>
    </row>
    <row r="36" spans="1:33" s="42" customFormat="1" hidden="1" outlineLevel="1">
      <c r="B36" s="46"/>
      <c r="C36" s="46" t="s">
        <v>162</v>
      </c>
      <c r="D36" s="62"/>
      <c r="E36" s="62"/>
      <c r="F36" s="62"/>
      <c r="G36" s="62"/>
      <c r="H36" s="62"/>
      <c r="I36" s="62"/>
      <c r="J36" s="62"/>
      <c r="K36" s="62"/>
      <c r="L36" s="141"/>
      <c r="M36" s="62"/>
      <c r="N36" s="62"/>
      <c r="O36" s="62"/>
      <c r="P36" s="62"/>
      <c r="Q36" s="62"/>
      <c r="R36" s="62"/>
      <c r="S36" s="62"/>
      <c r="T36" s="62"/>
      <c r="U36" s="62"/>
      <c r="V36" s="62"/>
      <c r="W36" s="62"/>
      <c r="X36" s="62"/>
      <c r="Y36" s="62">
        <f>Y11/(BS!ED31)</f>
        <v>0.25903021642141472</v>
      </c>
      <c r="Z36" s="62">
        <f>Z11/(BS!EJ31)</f>
        <v>0.29294140229443794</v>
      </c>
      <c r="AA36" s="62">
        <f>AA11/(BS!EP31)</f>
        <v>0.35191101271748232</v>
      </c>
      <c r="AB36" s="62">
        <f>AB11/(BS!EV31)</f>
        <v>0.40326659088494898</v>
      </c>
      <c r="AC36" s="62">
        <f>AC11/(BS!FB31)</f>
        <v>0.52663723384515149</v>
      </c>
      <c r="AD36" s="62"/>
      <c r="AE36" s="62">
        <f>AE11/(BS!FH31)</f>
        <v>0.56527990947206697</v>
      </c>
      <c r="AF36" s="62">
        <f>AF11/(BS!FN31)</f>
        <v>0.48488611607142168</v>
      </c>
      <c r="AG36" s="62"/>
    </row>
    <row r="37" spans="1:33" s="42" customFormat="1" hidden="1" outlineLevel="1">
      <c r="B37" s="53" t="s">
        <v>163</v>
      </c>
      <c r="C37" s="53"/>
      <c r="D37" s="63"/>
      <c r="E37" s="63"/>
      <c r="F37" s="63"/>
      <c r="G37" s="63"/>
      <c r="H37" s="63"/>
      <c r="I37" s="63"/>
      <c r="J37" s="142"/>
      <c r="K37" s="142"/>
      <c r="L37" s="142"/>
      <c r="M37" s="147"/>
      <c r="N37" s="147"/>
      <c r="O37" s="147"/>
      <c r="P37" s="147"/>
      <c r="Q37" s="147"/>
      <c r="R37" s="147"/>
      <c r="S37" s="147"/>
      <c r="T37" s="147"/>
      <c r="U37" s="147"/>
      <c r="V37" s="147"/>
      <c r="W37" s="147"/>
      <c r="X37" s="147"/>
      <c r="Y37" s="147">
        <f>Y35*Y36</f>
        <v>0</v>
      </c>
      <c r="Z37" s="147">
        <f>Z35*Z36</f>
        <v>0</v>
      </c>
      <c r="AA37" s="147">
        <f>AA35*AA36</f>
        <v>0</v>
      </c>
      <c r="AB37" s="147">
        <f>AB35*AB36</f>
        <v>0</v>
      </c>
      <c r="AC37" s="147">
        <f>AC35*AC36</f>
        <v>0</v>
      </c>
      <c r="AD37" s="147"/>
      <c r="AE37" s="147">
        <f>AE35*AE36</f>
        <v>0</v>
      </c>
      <c r="AF37" s="147">
        <f>AF35*AF36</f>
        <v>0</v>
      </c>
      <c r="AG37" s="147"/>
    </row>
    <row r="38" spans="1:33" s="42" customFormat="1" ht="8.85" hidden="1" customHeight="1" outlineLevel="1">
      <c r="B38" s="46"/>
      <c r="C38" s="46"/>
      <c r="D38" s="30"/>
      <c r="E38" s="30"/>
      <c r="F38" s="30"/>
      <c r="G38" s="30"/>
      <c r="H38" s="30"/>
      <c r="I38" s="30"/>
      <c r="J38" s="30"/>
      <c r="K38" s="30"/>
      <c r="L38" s="30"/>
      <c r="M38" s="30"/>
      <c r="N38" s="30"/>
      <c r="O38" s="30"/>
    </row>
    <row r="39" spans="1:33" s="42" customFormat="1" hidden="1" outlineLevel="1">
      <c r="B39" s="46"/>
      <c r="C39" s="46" t="s">
        <v>164</v>
      </c>
      <c r="D39" s="65"/>
      <c r="E39" s="65"/>
      <c r="F39" s="65"/>
      <c r="G39" s="65"/>
      <c r="H39" s="65"/>
      <c r="I39" s="65"/>
      <c r="J39" s="65"/>
      <c r="K39" s="65"/>
      <c r="L39" s="65"/>
      <c r="M39" s="65"/>
      <c r="N39" s="65"/>
      <c r="O39" s="65"/>
      <c r="P39" s="65"/>
      <c r="Q39" s="65"/>
      <c r="R39" s="65"/>
      <c r="S39" s="65"/>
      <c r="T39" s="65"/>
      <c r="U39" s="65"/>
      <c r="V39" s="65"/>
      <c r="W39" s="65"/>
      <c r="X39" s="65"/>
      <c r="Y39" s="65">
        <f>IS!ED60/IS!ED56</f>
        <v>1.3678806798473806</v>
      </c>
      <c r="Z39" s="65">
        <f>IS!EJ60/IS!EJ56</f>
        <v>1.020669007310504</v>
      </c>
      <c r="AA39" s="65">
        <f>IS!EP60/IS!EP56</f>
        <v>0.69266545338995367</v>
      </c>
      <c r="AB39" s="65">
        <f>IS!EV60/IS!EV56</f>
        <v>13.901805869073312</v>
      </c>
      <c r="AC39" s="65">
        <f>IS!FB60/IS!FB56</f>
        <v>1.8031191872943224</v>
      </c>
      <c r="AD39" s="65"/>
      <c r="AE39" s="65">
        <f>IS!FH60/IS!FH56</f>
        <v>1.1574749942073623</v>
      </c>
      <c r="AF39" s="65">
        <f>IS!FN60/IS!FN56</f>
        <v>1.0852714004300363</v>
      </c>
      <c r="AG39" s="65"/>
    </row>
    <row r="40" spans="1:33" s="42" customFormat="1" hidden="1" outlineLevel="1">
      <c r="B40" s="46"/>
      <c r="C40" s="46" t="s">
        <v>165</v>
      </c>
      <c r="D40" s="65"/>
      <c r="E40" s="65"/>
      <c r="F40" s="65"/>
      <c r="G40" s="65"/>
      <c r="H40" s="65"/>
      <c r="I40" s="65"/>
      <c r="J40" s="65"/>
      <c r="K40" s="65"/>
      <c r="L40" s="65"/>
      <c r="M40" s="65"/>
      <c r="N40" s="65"/>
      <c r="O40" s="65"/>
      <c r="P40" s="65"/>
      <c r="Q40" s="65"/>
      <c r="R40" s="65"/>
      <c r="S40" s="65"/>
      <c r="T40" s="65"/>
      <c r="U40" s="65"/>
      <c r="V40" s="65"/>
      <c r="W40" s="65"/>
      <c r="X40" s="65"/>
      <c r="Y40" s="65">
        <f>BS!ED31/BS!ED58</f>
        <v>1.6871034948844015</v>
      </c>
      <c r="Z40" s="65">
        <f>BS!EJ31/BS!EJ58</f>
        <v>1.7434808616635089</v>
      </c>
      <c r="AA40" s="65">
        <f>BS!EP31/BS!EP58</f>
        <v>1.7856218077462704</v>
      </c>
      <c r="AB40" s="65">
        <f>BS!EV31/BS!EV58</f>
        <v>1.8153243958201959</v>
      </c>
      <c r="AC40" s="65">
        <f>BS!FB31/BS!FB58</f>
        <v>1.6318042393394272</v>
      </c>
      <c r="AD40" s="65"/>
      <c r="AE40" s="65">
        <f>BS!FH31/BS!FH58</f>
        <v>1.6282787755714367</v>
      </c>
      <c r="AF40" s="65">
        <f>BS!FN31/BS!FN58</f>
        <v>1.9960743892330712</v>
      </c>
      <c r="AG40" s="65"/>
    </row>
    <row r="41" spans="1:33" s="42" customFormat="1" hidden="1" outlineLevel="1">
      <c r="B41" s="46"/>
      <c r="C41" s="46" t="s">
        <v>166</v>
      </c>
      <c r="D41" s="62"/>
      <c r="E41" s="62"/>
      <c r="F41" s="62"/>
      <c r="G41" s="62"/>
      <c r="H41" s="62"/>
      <c r="I41" s="62"/>
      <c r="J41" s="62"/>
      <c r="K41" s="62"/>
      <c r="L41" s="62"/>
      <c r="M41" s="62"/>
      <c r="N41" s="62"/>
      <c r="O41" s="62"/>
      <c r="P41" s="62"/>
      <c r="Q41" s="62"/>
      <c r="R41" s="62"/>
      <c r="S41" s="62"/>
      <c r="T41" s="62"/>
      <c r="U41" s="62"/>
      <c r="V41" s="62"/>
      <c r="W41" s="62"/>
      <c r="X41" s="62"/>
      <c r="Y41" s="62">
        <f>IS!ED62/IS!ED60</f>
        <v>0.82939446191297306</v>
      </c>
      <c r="Z41" s="62">
        <f>IS!EJ62/IS!EJ60</f>
        <v>0.82222248400815212</v>
      </c>
      <c r="AA41" s="62">
        <f>IS!EP62/IS!EP60</f>
        <v>0.61890065893736079</v>
      </c>
      <c r="AB41" s="62">
        <f>IS!EV62/IS!EV60</f>
        <v>1.1583177721847839</v>
      </c>
      <c r="AC41" s="62">
        <f>IS!FB62/IS!FB60</f>
        <v>1.1779876210125384</v>
      </c>
      <c r="AD41" s="62"/>
      <c r="AE41" s="62">
        <f>IS!FH62/IS!FH60</f>
        <v>1</v>
      </c>
      <c r="AF41" s="62">
        <f>IS!FN62/IS!FN60</f>
        <v>1</v>
      </c>
      <c r="AG41" s="62"/>
    </row>
    <row r="42" spans="1:33" s="42" customFormat="1" hidden="1" outlineLevel="1">
      <c r="B42" s="53" t="s">
        <v>167</v>
      </c>
      <c r="C42" s="53"/>
      <c r="D42" s="63"/>
      <c r="E42" s="63"/>
      <c r="F42" s="63"/>
      <c r="G42" s="63"/>
      <c r="H42" s="63"/>
      <c r="I42" s="63"/>
      <c r="J42" s="142"/>
      <c r="K42" s="142"/>
      <c r="L42" s="142"/>
      <c r="M42" s="147"/>
      <c r="N42" s="147"/>
      <c r="O42" s="147"/>
      <c r="P42" s="147"/>
      <c r="Q42" s="147"/>
      <c r="R42" s="147"/>
      <c r="S42" s="147"/>
      <c r="T42" s="147"/>
      <c r="U42" s="147"/>
      <c r="V42" s="147"/>
      <c r="W42" s="147"/>
      <c r="X42" s="147"/>
      <c r="Y42" s="147">
        <f>Y35*Y36*Y39*Y40*Y41</f>
        <v>0</v>
      </c>
      <c r="Z42" s="147">
        <f>Z35*Z36*Z39*Z40*Z41</f>
        <v>0</v>
      </c>
      <c r="AA42" s="147">
        <f>AA35*AA36*AA39*AA40*AA41</f>
        <v>0</v>
      </c>
      <c r="AB42" s="147">
        <f>AB35*AB36*AB39*AB40*AB41</f>
        <v>0</v>
      </c>
      <c r="AC42" s="147">
        <f>AC35*AC36*AC39*AC40*AC41</f>
        <v>0</v>
      </c>
      <c r="AD42" s="147"/>
      <c r="AE42" s="147">
        <f>AE35*AE36*AE39*AE40*AE41</f>
        <v>0</v>
      </c>
      <c r="AF42" s="147">
        <f>AF35*AF36*AF39*AF40*AF41</f>
        <v>0</v>
      </c>
      <c r="AG42" s="147"/>
    </row>
    <row r="43" spans="1:33" collapsed="1"/>
    <row r="44" spans="1:33">
      <c r="A44" s="50" t="s">
        <v>168</v>
      </c>
    </row>
    <row r="45" spans="1:33">
      <c r="C45" s="46" t="s">
        <v>170</v>
      </c>
      <c r="D45" s="30"/>
      <c r="E45" s="30"/>
      <c r="F45" s="30"/>
      <c r="G45" s="30"/>
      <c r="H45" s="30"/>
      <c r="I45" s="30"/>
      <c r="J45" s="30"/>
      <c r="K45" s="30"/>
      <c r="L45" s="30"/>
      <c r="M45" s="30"/>
      <c r="N45" s="30"/>
      <c r="O45" s="30"/>
      <c r="P45" s="30"/>
      <c r="Q45" s="30"/>
      <c r="R45" s="30"/>
      <c r="S45" s="30"/>
      <c r="T45" s="55"/>
      <c r="U45" s="30"/>
      <c r="V45" s="55"/>
      <c r="W45" s="55"/>
      <c r="X45" s="55"/>
      <c r="Y45" s="37">
        <f>BS!EC99</f>
        <v>532.55399999999997</v>
      </c>
      <c r="Z45" s="37">
        <f>BS!EI99</f>
        <v>535.322</v>
      </c>
      <c r="AA45" s="37">
        <f>BS!EO99</f>
        <v>538.19799999999998</v>
      </c>
      <c r="AB45" s="37">
        <f>BS!ES99</f>
        <v>539.65</v>
      </c>
      <c r="AC45" s="37">
        <f>BS!FA99</f>
        <v>341.57059999999996</v>
      </c>
      <c r="AD45" s="37"/>
      <c r="AE45" s="37">
        <f>BS!FG99</f>
        <v>342.80619999999999</v>
      </c>
      <c r="AF45" s="37">
        <f>BS!FM99</f>
        <v>689.04179999999997</v>
      </c>
      <c r="AG45" s="55"/>
    </row>
    <row r="46" spans="1:33">
      <c r="C46" s="46" t="s">
        <v>171</v>
      </c>
      <c r="D46" s="36"/>
      <c r="E46" s="36"/>
      <c r="F46" s="36"/>
      <c r="G46" s="36"/>
      <c r="H46" s="36"/>
      <c r="I46" s="36"/>
      <c r="J46" s="36"/>
      <c r="K46" s="36"/>
      <c r="L46" s="36"/>
      <c r="M46" s="36"/>
      <c r="N46" s="36"/>
      <c r="O46" s="36"/>
      <c r="P46" s="36"/>
      <c r="Q46" s="36"/>
      <c r="R46" s="36"/>
      <c r="S46" s="36"/>
      <c r="T46" s="36"/>
      <c r="U46" s="36"/>
      <c r="V46" s="36"/>
      <c r="W46" s="36"/>
      <c r="X46" s="36"/>
      <c r="Y46" s="36">
        <f>BS!ED58</f>
        <v>1108.277</v>
      </c>
      <c r="Z46" s="36">
        <f>BS!EJ58</f>
        <v>998.02300000000002</v>
      </c>
      <c r="AA46" s="36">
        <f>BS!EP58</f>
        <v>941.53699999999981</v>
      </c>
      <c r="AB46" s="36">
        <f>BS!EV58</f>
        <v>902.33900000000017</v>
      </c>
      <c r="AC46" s="36">
        <f>BS!FB58</f>
        <v>846.35600000000011</v>
      </c>
      <c r="AD46" s="36"/>
      <c r="AE46" s="36">
        <f>BS!FH58</f>
        <v>866.29104582802177</v>
      </c>
      <c r="AF46" s="36">
        <f>BS!FN58</f>
        <v>904.38446879997196</v>
      </c>
      <c r="AG46" s="36"/>
    </row>
    <row r="47" spans="1:33">
      <c r="B47" s="53" t="s">
        <v>172</v>
      </c>
      <c r="C47" s="53"/>
      <c r="D47" s="63"/>
      <c r="E47" s="63"/>
      <c r="F47" s="63"/>
      <c r="G47" s="63"/>
      <c r="H47" s="63"/>
      <c r="I47" s="63"/>
      <c r="J47" s="63"/>
      <c r="K47" s="63"/>
      <c r="L47" s="63"/>
      <c r="M47" s="63"/>
      <c r="N47" s="64"/>
      <c r="O47" s="64"/>
      <c r="P47" s="64"/>
      <c r="Q47" s="64"/>
      <c r="R47" s="64"/>
      <c r="S47" s="64"/>
      <c r="T47" s="142"/>
      <c r="U47" s="111"/>
      <c r="V47" s="142"/>
      <c r="W47" s="142"/>
      <c r="X47" s="142"/>
      <c r="Y47" s="142">
        <f>Y45/(Y45+Y46)</f>
        <v>0.3245635900345617</v>
      </c>
      <c r="Z47" s="142">
        <f>Z45/(Z45+Z46)</f>
        <v>0.34912038712748922</v>
      </c>
      <c r="AA47" s="142">
        <f>AA45/(AA45+AA46)</f>
        <v>0.36371242148087335</v>
      </c>
      <c r="AB47" s="142">
        <f>AB45/(AB45+AB46)</f>
        <v>0.37424002540934775</v>
      </c>
      <c r="AC47" s="142">
        <f>AC45/(AC45+AC46)</f>
        <v>0.28753510528344089</v>
      </c>
      <c r="AD47" s="142"/>
      <c r="AE47" s="142">
        <f>AE45/(AE45+AE46)</f>
        <v>0.28352243889633316</v>
      </c>
      <c r="AF47" s="142">
        <f>AF45/(AF45+AF46)</f>
        <v>0.43242779003444287</v>
      </c>
      <c r="AG47" s="142"/>
    </row>
    <row r="48" spans="1:33">
      <c r="C48" s="46" t="s">
        <v>173</v>
      </c>
      <c r="D48" s="65"/>
      <c r="E48" s="65"/>
      <c r="F48" s="65"/>
      <c r="G48" s="65"/>
      <c r="H48" s="65"/>
      <c r="I48" s="65"/>
      <c r="J48" s="126"/>
      <c r="K48" s="126"/>
      <c r="L48" s="126"/>
      <c r="M48" s="126"/>
      <c r="N48" s="126"/>
      <c r="O48" s="126"/>
      <c r="P48" s="126"/>
      <c r="Q48" s="126"/>
      <c r="R48" s="126"/>
      <c r="S48" s="126"/>
      <c r="T48" s="126"/>
      <c r="U48" s="126"/>
      <c r="V48" s="126"/>
      <c r="W48" s="126"/>
      <c r="X48" s="126"/>
      <c r="Y48" s="126">
        <f>Y45/Y30</f>
        <v>-1953.2298810077027</v>
      </c>
      <c r="Z48" s="126">
        <f>Z45/Z30</f>
        <v>-11.150450957112206</v>
      </c>
      <c r="AA48" s="126">
        <f>AA45/AA30</f>
        <v>154.78803566292723</v>
      </c>
      <c r="AB48" s="126">
        <f>AB45/AB30</f>
        <v>13.624772773177117</v>
      </c>
      <c r="AC48" s="126">
        <f>AC45/AC30</f>
        <v>7.8780958092118869</v>
      </c>
      <c r="AD48" s="126"/>
      <c r="AE48" s="126">
        <f>AE45/AE30</f>
        <v>6.1141785985221233</v>
      </c>
      <c r="AF48" s="126">
        <f>AF45/AF30</f>
        <v>9.3634938196677933</v>
      </c>
      <c r="AG48" s="126"/>
    </row>
    <row r="49" spans="1:33">
      <c r="C49" s="46" t="s">
        <v>174</v>
      </c>
      <c r="D49" s="65"/>
      <c r="E49" s="65"/>
      <c r="F49" s="65"/>
      <c r="G49" s="65"/>
      <c r="H49" s="65"/>
      <c r="I49" s="65"/>
      <c r="J49" s="126"/>
      <c r="K49" s="126"/>
      <c r="L49" s="126"/>
      <c r="M49" s="126"/>
      <c r="N49" s="126"/>
      <c r="O49" s="126"/>
      <c r="P49" s="126"/>
      <c r="Q49" s="126"/>
      <c r="R49" s="126"/>
      <c r="S49" s="126"/>
      <c r="T49" s="126"/>
      <c r="U49" s="126"/>
      <c r="V49" s="126"/>
      <c r="W49" s="126"/>
      <c r="X49" s="126"/>
      <c r="Y49" s="126">
        <f>(Y45-Y26)/Y30</f>
        <v>-791.21445438424769</v>
      </c>
      <c r="Z49" s="126">
        <f>(Z45-Z26)/Z30</f>
        <v>-5.6685621445978871</v>
      </c>
      <c r="AA49" s="126">
        <f>(AA45-AA26)/AA30</f>
        <v>56.287029048029702</v>
      </c>
      <c r="AB49" s="126">
        <f>(AB45-AB26)/AB30</f>
        <v>4.3586649161785429</v>
      </c>
      <c r="AC49" s="126">
        <f>(AC45-AC26)/AC30</f>
        <v>3.9460766872247168</v>
      </c>
      <c r="AD49" s="126"/>
      <c r="AE49" s="126">
        <f>(AE45-AE26)/AE30</f>
        <v>3.2604712391933255</v>
      </c>
      <c r="AF49" s="126">
        <f>(AF45-AF26)/AF30</f>
        <v>1.7111750849170067</v>
      </c>
      <c r="AG49" s="126"/>
    </row>
    <row r="50" spans="1:33" s="42" customFormat="1" ht="8.85" customHeight="1">
      <c r="B50" s="46"/>
      <c r="C50" s="46"/>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row>
    <row r="51" spans="1:33">
      <c r="C51" s="46" t="s">
        <v>77</v>
      </c>
      <c r="D51" s="30"/>
      <c r="E51" s="30"/>
      <c r="F51" s="30"/>
      <c r="G51" s="30"/>
      <c r="H51" s="30"/>
      <c r="I51" s="30"/>
      <c r="J51" s="30"/>
      <c r="K51" s="30"/>
      <c r="L51" s="30"/>
      <c r="M51" s="30"/>
      <c r="N51" s="30"/>
      <c r="O51" s="30"/>
      <c r="P51" s="30"/>
      <c r="Q51" s="30"/>
      <c r="R51" s="30"/>
      <c r="S51" s="30"/>
      <c r="T51" s="30"/>
      <c r="U51" s="30"/>
      <c r="V51" s="30"/>
      <c r="W51" s="30"/>
      <c r="X51" s="30"/>
      <c r="Y51" s="30">
        <f>Y46/Y27</f>
        <v>9.2385672129507679</v>
      </c>
      <c r="Z51" s="30">
        <f>Z46/Z27</f>
        <v>8.0345121843225975</v>
      </c>
      <c r="AA51" s="30">
        <f>AA46/AA27</f>
        <v>7.5797757150792551</v>
      </c>
      <c r="AB51" s="30">
        <f>AB46/AB27</f>
        <v>7.1384755349867506</v>
      </c>
      <c r="AC51" s="30">
        <f>AC46/AC27</f>
        <v>6.5907876805669128</v>
      </c>
      <c r="AD51" s="30"/>
      <c r="AE51" s="30">
        <f>AE46/AE27</f>
        <v>6.7216350418449728</v>
      </c>
      <c r="AF51" s="30">
        <f>AF46/AF27</f>
        <v>6.9411859377936</v>
      </c>
      <c r="AG51" s="30"/>
    </row>
    <row r="52" spans="1:33" s="53" customFormat="1">
      <c r="B52" s="53" t="s">
        <v>175</v>
      </c>
      <c r="D52" s="54"/>
      <c r="E52" s="54"/>
      <c r="F52" s="54"/>
      <c r="G52" s="54"/>
      <c r="H52" s="54"/>
      <c r="I52" s="54"/>
      <c r="J52" s="123"/>
      <c r="K52" s="123"/>
      <c r="L52" s="123"/>
      <c r="M52" s="123"/>
      <c r="N52" s="123"/>
      <c r="O52" s="123"/>
      <c r="P52" s="123"/>
      <c r="Q52" s="123"/>
      <c r="R52" s="123"/>
      <c r="S52" s="123"/>
      <c r="T52" s="123"/>
      <c r="U52" s="123"/>
      <c r="V52" s="123"/>
      <c r="W52" s="123"/>
      <c r="X52" s="123"/>
      <c r="Y52" s="123">
        <f>Y8/Y51</f>
        <v>3.6932133753565215</v>
      </c>
      <c r="Z52" s="123">
        <f>Z8/Z51</f>
        <v>1.1500387065227955</v>
      </c>
      <c r="AA52" s="123">
        <f>AA8/AA51</f>
        <v>2.1346278053862995</v>
      </c>
      <c r="AB52" s="123">
        <f>AB8/AB51</f>
        <v>2.3086161631049968</v>
      </c>
      <c r="AC52" s="123">
        <f>AC8/AC51</f>
        <v>1.517269328745823</v>
      </c>
      <c r="AD52" s="123"/>
      <c r="AE52" s="123">
        <f>AE8/AE51</f>
        <v>1.6365065838178399</v>
      </c>
      <c r="AF52" s="123">
        <f>AF8/AF51</f>
        <v>1.5847436012492957</v>
      </c>
      <c r="AG52" s="123"/>
    </row>
    <row r="54" spans="1:33">
      <c r="A54" s="8" t="str">
        <f>IS!A95</f>
        <v>Source: NeoGenomics and Jefferies LLC estimates.</v>
      </c>
    </row>
    <row r="55" spans="1:33">
      <c r="M55" s="59"/>
    </row>
    <row r="64" spans="1:33">
      <c r="M64" s="37"/>
    </row>
    <row r="66" spans="13:13">
      <c r="M66" s="65"/>
    </row>
  </sheetData>
  <printOptions horizontalCentered="1" verticalCentered="1"/>
  <pageMargins left="0.5" right="0.5" top="0.5" bottom="0.5" header="0.5" footer="0.5"/>
  <pageSetup orientation="portrait" r:id="rId1"/>
  <headerFooter alignWithMargins="0">
    <oddFooter>&amp;L_x000D_&amp;1#&amp;"Calibri"&amp;10&amp;K000000 Sensitivity: Public</oddFooter>
  </headerFooter>
  <ignoredErrors>
    <ignoredError sqref="AF22 AF24:AF25 AE24 AC24"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2D17-CA91-473A-B00A-42CFE7ECDC04}">
  <dimension ref="A1:XFC68"/>
  <sheetViews>
    <sheetView showGridLines="0" zoomScaleNormal="100" workbookViewId="0">
      <selection activeCell="Q32" sqref="Q32"/>
    </sheetView>
  </sheetViews>
  <sheetFormatPr defaultColWidth="9.15234375" defaultRowHeight="12.75" outlineLevelRow="1"/>
  <cols>
    <col min="1" max="1" width="6.69140625" style="72" customWidth="1"/>
    <col min="2" max="2" width="26.84375" style="72" bestFit="1" customWidth="1"/>
    <col min="3" max="3" width="8.3828125" style="72" bestFit="1" customWidth="1"/>
    <col min="4" max="8" width="7.15234375" style="72" customWidth="1"/>
    <col min="9" max="14" width="7.53515625" style="72" bestFit="1" customWidth="1"/>
    <col min="15" max="15" width="7.3828125" style="72" customWidth="1"/>
    <col min="16" max="16" width="13.3046875" style="72" customWidth="1"/>
    <col min="17" max="21" width="6.15234375" style="72" bestFit="1" customWidth="1"/>
    <col min="22" max="22" width="6.3828125" style="72" bestFit="1" customWidth="1"/>
    <col min="23" max="16384" width="9.15234375" style="72"/>
  </cols>
  <sheetData>
    <row r="1" spans="1:22" ht="13.15">
      <c r="A1" s="570" t="s">
        <v>588</v>
      </c>
      <c r="B1" s="571"/>
      <c r="C1" s="571"/>
      <c r="D1" s="571"/>
      <c r="E1" s="571"/>
      <c r="F1" s="571"/>
      <c r="G1" s="572"/>
      <c r="H1" s="572"/>
      <c r="I1" s="572"/>
      <c r="J1" s="572"/>
      <c r="K1" s="572"/>
      <c r="L1" s="572"/>
      <c r="M1" s="572"/>
      <c r="N1" s="572"/>
      <c r="O1" s="572"/>
      <c r="P1" s="572"/>
      <c r="Q1" s="572"/>
      <c r="R1" s="572"/>
      <c r="S1" s="572"/>
    </row>
    <row r="2" spans="1:22" ht="13.15">
      <c r="A2" s="570" t="s">
        <v>126</v>
      </c>
      <c r="B2" s="571"/>
      <c r="C2" s="571"/>
      <c r="D2" s="573"/>
      <c r="E2" s="573"/>
      <c r="F2" s="573"/>
      <c r="G2" s="573"/>
      <c r="H2" s="573"/>
      <c r="I2" s="573"/>
      <c r="J2" s="573"/>
      <c r="K2" s="573"/>
      <c r="L2" s="573"/>
      <c r="M2" s="573"/>
      <c r="N2" s="572"/>
      <c r="O2" s="572"/>
      <c r="P2" s="572"/>
      <c r="Q2" s="572"/>
      <c r="R2" s="572"/>
      <c r="S2" s="572"/>
    </row>
    <row r="3" spans="1:22" ht="12.75" customHeight="1">
      <c r="A3" s="574" t="s">
        <v>703</v>
      </c>
      <c r="B3" s="575"/>
      <c r="C3" s="575"/>
      <c r="D3" s="576"/>
      <c r="E3" s="576"/>
      <c r="F3" s="576"/>
      <c r="G3" s="576"/>
      <c r="H3" s="576"/>
      <c r="I3" s="576"/>
      <c r="J3" s="576"/>
      <c r="K3" s="576"/>
      <c r="L3" s="576"/>
      <c r="M3" s="576"/>
      <c r="N3" s="576"/>
      <c r="O3" s="576"/>
      <c r="P3" s="572"/>
      <c r="Q3" s="572"/>
      <c r="R3" s="572"/>
      <c r="S3" s="572"/>
    </row>
    <row r="4" spans="1:22" ht="13.15">
      <c r="A4" s="577"/>
      <c r="B4"/>
      <c r="C4"/>
      <c r="D4"/>
      <c r="E4"/>
      <c r="F4"/>
      <c r="G4"/>
      <c r="H4"/>
      <c r="I4"/>
      <c r="J4"/>
      <c r="K4"/>
      <c r="L4"/>
      <c r="M4"/>
      <c r="N4"/>
      <c r="O4"/>
      <c r="P4"/>
      <c r="Q4"/>
      <c r="R4" s="572"/>
      <c r="S4" s="572"/>
    </row>
    <row r="5" spans="1:22" ht="13.15">
      <c r="A5" s="571"/>
      <c r="B5"/>
      <c r="C5"/>
      <c r="D5"/>
      <c r="E5"/>
      <c r="F5"/>
      <c r="G5"/>
      <c r="H5"/>
      <c r="I5"/>
      <c r="J5"/>
      <c r="K5"/>
      <c r="L5"/>
      <c r="M5"/>
      <c r="N5"/>
      <c r="O5"/>
      <c r="P5"/>
      <c r="Q5"/>
      <c r="R5" s="572"/>
      <c r="S5" s="572"/>
    </row>
    <row r="6" spans="1:22" ht="12.75" customHeight="1">
      <c r="A6" s="571"/>
      <c r="B6" s="578"/>
      <c r="C6" s="578"/>
      <c r="D6" s="579">
        <v>2025</v>
      </c>
      <c r="E6" s="580">
        <f>D6+1</f>
        <v>2026</v>
      </c>
      <c r="F6" s="580">
        <f t="shared" ref="F6:N6" si="0">E6+1</f>
        <v>2027</v>
      </c>
      <c r="G6" s="580">
        <f t="shared" si="0"/>
        <v>2028</v>
      </c>
      <c r="H6" s="580">
        <f t="shared" si="0"/>
        <v>2029</v>
      </c>
      <c r="I6" s="580">
        <f t="shared" si="0"/>
        <v>2030</v>
      </c>
      <c r="J6" s="580">
        <f t="shared" si="0"/>
        <v>2031</v>
      </c>
      <c r="K6" s="580">
        <f t="shared" si="0"/>
        <v>2032</v>
      </c>
      <c r="L6" s="580">
        <f t="shared" si="0"/>
        <v>2033</v>
      </c>
      <c r="M6" s="580">
        <f t="shared" si="0"/>
        <v>2034</v>
      </c>
      <c r="N6" s="580">
        <f t="shared" si="0"/>
        <v>2035</v>
      </c>
      <c r="O6" s="581"/>
      <c r="P6" s="582"/>
      <c r="Q6" s="583" t="s">
        <v>562</v>
      </c>
      <c r="R6" s="583" t="s">
        <v>563</v>
      </c>
      <c r="S6" s="583" t="s">
        <v>564</v>
      </c>
      <c r="T6" s="583" t="s">
        <v>565</v>
      </c>
      <c r="U6" s="583" t="s">
        <v>566</v>
      </c>
      <c r="V6" s="583" t="s">
        <v>644</v>
      </c>
    </row>
    <row r="7" spans="1:22" ht="13.15">
      <c r="A7" s="584"/>
      <c r="B7" s="585"/>
      <c r="C7" s="585"/>
      <c r="D7" s="585"/>
      <c r="E7" s="910"/>
      <c r="F7" s="585"/>
      <c r="G7" s="585"/>
      <c r="H7" s="585"/>
      <c r="I7" s="585"/>
      <c r="J7" s="585"/>
      <c r="K7" s="585"/>
      <c r="L7" s="585"/>
      <c r="M7" s="585"/>
      <c r="N7" s="585"/>
      <c r="O7" s="581"/>
      <c r="P7" s="945" t="s">
        <v>567</v>
      </c>
      <c r="Q7" s="945"/>
      <c r="R7" s="945"/>
      <c r="S7" s="945"/>
      <c r="T7" s="945"/>
      <c r="U7" s="945"/>
      <c r="V7" s="945"/>
    </row>
    <row r="8" spans="1:22" s="435" customFormat="1" ht="13.15">
      <c r="A8" s="571"/>
      <c r="B8" s="586" t="s">
        <v>127</v>
      </c>
      <c r="C8" s="586"/>
      <c r="D8" s="587">
        <f>IS!FB49</f>
        <v>727.33199999999999</v>
      </c>
      <c r="E8" s="911" cm="1">
        <f t="array" aca="1" ref="E8" ca="1">IF($A$3="Base Case",OFFSET(IS!$FB$49,0,6*(E6-$D$6),,),IF($A$3="Upside",D8*(1+E9),D8*(1+E9)))</f>
        <v>797.36310775014999</v>
      </c>
      <c r="F8" s="587" cm="1">
        <f t="array" aca="1" ref="F8" ca="1">IF($A$3="Base Case",OFFSET(IS!$FB$49,0,6*(F6-$D$6),,),IF($A$3="Upside",E8*(1+F9),E8*(1+F9)))</f>
        <v>875.32547255822544</v>
      </c>
      <c r="G8" s="587" cm="1">
        <f t="array" aca="1" ref="G8" ca="1">IF($A$3="Base Case",OFFSET(IS!$FB$49,0,6*(G6-$D$6),,),IF($A$3="Upside",F8*(1+G9),F8*(1+G9)))</f>
        <v>961.07336101354463</v>
      </c>
      <c r="H8" s="587" cm="1">
        <f t="array" aca="1" ref="H8" ca="1">IF($A$3="Base Case",OFFSET(IS!$FB$49,0,6*(H6-$D$6),,),IF($A$3="Upside",G8*(1+H9),G8*(1+H9)))</f>
        <v>1050.4158442838514</v>
      </c>
      <c r="I8" s="587" cm="1">
        <f t="array" aca="1" ref="I8" ca="1">IF($A$3="Base Case",OFFSET(IS!$FB$49,0,6*(I6-$D$6),,),IF($A$3="Upside",H8*(1+I9),H8*(1+I9)))</f>
        <v>1142.8116281723042</v>
      </c>
      <c r="J8" s="587" cm="1">
        <f t="array" aca="1" ref="J8" ca="1">IF($A$3="Base Case",OFFSET(IS!$FB$49,0,6*(J6-$D$6),,),IF($A$3="Upside",I8*(1+J9),I8*(1+J9)))</f>
        <v>1235.3349699153366</v>
      </c>
      <c r="K8" s="587" cm="1">
        <f t="array" aca="1" ref="K8" ca="1">IF($A$3="Base Case",OFFSET(IS!$FB$49,0,6*(K6-$D$6),,),IF($A$3="Upside",J8*(1+K9),J8*(1+K9)))</f>
        <v>1329.1724328037449</v>
      </c>
      <c r="L8" s="587" cm="1">
        <f t="array" aca="1" ref="L8" ca="1">IF($A$3="Base Case",OFFSET(IS!$FB$49,0,6*(L6-$D$6),,),IF($A$3="Upside",K8*(1+L9),K8*(1+L9)))</f>
        <v>1423.4920349656204</v>
      </c>
      <c r="M8" s="587" cm="1">
        <f t="array" aca="1" ref="M8" ca="1">IF($A$3="Base Case",OFFSET(IS!$FB$49,0,6*(M6-$D$6),,),IF($A$3="Upside",L8*(1+M9),L8*(1+M9)))</f>
        <v>1517.3872042322128</v>
      </c>
      <c r="N8" s="587" cm="1">
        <f t="array" aca="1" ref="N8" ca="1">IF($A$3="Base Case",OFFSET(IS!$FB$49,0,6*(N6-$D$6),,),IF($A$3="Upside",M8*(1+N9),M8*(1+N9)))</f>
        <v>1609.8888706652174</v>
      </c>
      <c r="O8" s="581"/>
      <c r="P8" s="581" t="s">
        <v>568</v>
      </c>
      <c r="Q8" s="591">
        <v>0.12</v>
      </c>
      <c r="R8" s="591">
        <v>0.13</v>
      </c>
      <c r="S8" s="591">
        <v>0.11</v>
      </c>
      <c r="T8" s="591">
        <v>0.1</v>
      </c>
      <c r="U8" s="591">
        <v>0.09</v>
      </c>
      <c r="V8" s="592">
        <v>0.08</v>
      </c>
    </row>
    <row r="9" spans="1:22" ht="13.15">
      <c r="A9" s="584"/>
      <c r="B9" s="588" t="s">
        <v>107</v>
      </c>
      <c r="C9" s="585"/>
      <c r="D9" s="589"/>
      <c r="E9" s="912">
        <f ca="1">IF($A$3="Base case",E8/D8-1,IF($A$3="Upside",Q8,Q14))</f>
        <v>9.6284925934992494E-2</v>
      </c>
      <c r="F9" s="590">
        <f ca="1">IF($A$3="Base case",F8/E8-1,IF($A$3="Upside",R8,R14))</f>
        <v>9.7775234457554872E-2</v>
      </c>
      <c r="G9" s="590">
        <f ca="1">IF($A$3="Base case",G8/F8-1,IF($A$3="Upside",S8,S14))</f>
        <v>9.7961148331160208E-2</v>
      </c>
      <c r="H9" s="590">
        <f ca="1">IF($A$3="Base case",H8/G8-1,IF($A$3="Upside",T8,T14))</f>
        <v>9.2961148331160093E-2</v>
      </c>
      <c r="I9" s="590">
        <f ca="1">IF($A$3="Base case",I8/H8-1,IF($A$3="Upside",U8,U14))</f>
        <v>8.7961148331160199E-2</v>
      </c>
      <c r="J9" s="590">
        <f ca="1">IF($A$3="Base case",J8/I8-1,IF($A$3="Upside",(I9-(($I$9-$N$9)/5)),(I9-(($I$9-$N$9)/5))))</f>
        <v>8.0961148331160082E-2</v>
      </c>
      <c r="K9" s="590">
        <f ca="1">IF($A$3="Base case",K8/J8-1,IF($A$3="Upside",(J9-(($I$9-$N$9)/5)),(J9-(($I$9-$N$9)/5))))</f>
        <v>7.5961148331160189E-2</v>
      </c>
      <c r="L9" s="590">
        <f ca="1">IF($A$3="Base case",L8/K8-1,IF($A$3="Upside",(K9-(($I$9-$N$9)/5)),(K9-(($I$9-$N$9)/5))))</f>
        <v>7.0961148331160073E-2</v>
      </c>
      <c r="M9" s="590">
        <f ca="1">IF($A$3="Base case",M8/L8-1,IF($A$3="Upside",(L9-(($I$9-$N$9)/5)),(L9-(($I$9-$N$9)/5))))</f>
        <v>6.596114833116018E-2</v>
      </c>
      <c r="N9" s="590">
        <f ca="1">IF($A$3="Base case",N8/M8-1,IF($A$3="Upside",$V$8,$V$14))</f>
        <v>6.0961148331160286E-2</v>
      </c>
      <c r="O9" s="581"/>
      <c r="P9" s="581" t="s">
        <v>569</v>
      </c>
      <c r="Q9" s="591">
        <v>0.03</v>
      </c>
      <c r="R9" s="591">
        <v>7.0000000000000007E-2</v>
      </c>
      <c r="S9" s="591">
        <v>8.5000000000000006E-2</v>
      </c>
      <c r="T9" s="591">
        <v>0.11</v>
      </c>
      <c r="U9" s="591">
        <v>0.13</v>
      </c>
      <c r="V9" s="592">
        <v>0.18</v>
      </c>
    </row>
    <row r="10" spans="1:22" ht="13.15">
      <c r="A10" s="571"/>
      <c r="B10" s="588"/>
      <c r="C10" s="585"/>
      <c r="D10" s="589"/>
      <c r="E10" s="912"/>
      <c r="F10" s="590"/>
      <c r="G10" s="590"/>
      <c r="H10" s="590"/>
      <c r="I10" s="590"/>
      <c r="J10" s="590"/>
      <c r="K10" s="590"/>
      <c r="L10" s="590"/>
      <c r="M10" s="590"/>
      <c r="N10" s="590"/>
      <c r="O10" s="581"/>
      <c r="P10" s="581" t="s">
        <v>119</v>
      </c>
      <c r="Q10" s="591">
        <v>0.05</v>
      </c>
      <c r="R10" s="591">
        <v>0.05</v>
      </c>
      <c r="S10" s="591">
        <v>0.05</v>
      </c>
      <c r="T10" s="591">
        <v>0.05</v>
      </c>
      <c r="U10" s="591">
        <v>0.05</v>
      </c>
      <c r="V10" s="592">
        <v>0.05</v>
      </c>
    </row>
    <row r="11" spans="1:22" s="435" customFormat="1" ht="13.15">
      <c r="A11" s="571"/>
      <c r="B11" s="593" t="s">
        <v>416</v>
      </c>
      <c r="C11" s="585"/>
      <c r="D11" s="589">
        <f t="shared" ref="D11:N11" si="1">D14+D22</f>
        <v>44.231299999999976</v>
      </c>
      <c r="E11" s="913">
        <f t="shared" ca="1" si="1"/>
        <v>56.06741682077466</v>
      </c>
      <c r="F11" s="589">
        <f t="shared" ca="1" si="1"/>
        <v>73.588108591761426</v>
      </c>
      <c r="G11" s="589">
        <f t="shared" ca="1" si="1"/>
        <v>97.119107713013392</v>
      </c>
      <c r="H11" s="589">
        <f t="shared" ca="1" si="1"/>
        <v>127.36831742476082</v>
      </c>
      <c r="I11" s="589">
        <f ca="1">I14+I22</f>
        <v>161.82774210851409</v>
      </c>
      <c r="J11" s="589">
        <f t="shared" ca="1" si="1"/>
        <v>198.56335377130412</v>
      </c>
      <c r="K11" s="589">
        <f t="shared" ca="1" si="1"/>
        <v>241.73776195128175</v>
      </c>
      <c r="L11" s="589">
        <f t="shared" ca="1" si="1"/>
        <v>283.31016434182493</v>
      </c>
      <c r="M11" s="589">
        <f t="shared" ca="1" si="1"/>
        <v>330.35846271980546</v>
      </c>
      <c r="N11" s="589">
        <f t="shared" ca="1" si="1"/>
        <v>381.23363482048717</v>
      </c>
      <c r="O11" s="581"/>
      <c r="P11" s="581" t="s">
        <v>570</v>
      </c>
      <c r="Q11" s="591">
        <v>4.4999999999999998E-2</v>
      </c>
      <c r="R11" s="591">
        <v>4.4999999999999998E-2</v>
      </c>
      <c r="S11" s="591">
        <v>4.4999999999999998E-2</v>
      </c>
      <c r="T11" s="591">
        <v>4.4999999999999998E-2</v>
      </c>
      <c r="U11" s="591">
        <v>4.4999999999999998E-2</v>
      </c>
      <c r="V11" s="592">
        <v>4.4999999999999998E-2</v>
      </c>
    </row>
    <row r="12" spans="1:22" ht="13.15">
      <c r="A12" s="571"/>
      <c r="B12" s="826" t="s">
        <v>571</v>
      </c>
      <c r="C12" s="595"/>
      <c r="D12" s="825">
        <f>D11/D8</f>
        <v>6.0813081233879407E-2</v>
      </c>
      <c r="E12" s="914">
        <f t="shared" ref="E12:N12" ca="1" si="2">E11/E8</f>
        <v>7.0316040804766111E-2</v>
      </c>
      <c r="F12" s="825">
        <f t="shared" ca="1" si="2"/>
        <v>8.4069424344173249E-2</v>
      </c>
      <c r="G12" s="825">
        <f t="shared" ca="1" si="2"/>
        <v>0.10105275169690679</v>
      </c>
      <c r="H12" s="825">
        <f t="shared" ca="1" si="2"/>
        <v>0.12125513730383372</v>
      </c>
      <c r="I12" s="825">
        <f ca="1">I11/I8</f>
        <v>0.14160491381009555</v>
      </c>
      <c r="J12" s="825">
        <f t="shared" ca="1" si="2"/>
        <v>0.16073644688040573</v>
      </c>
      <c r="K12" s="825">
        <f t="shared" ca="1" si="2"/>
        <v>0.18187088144866367</v>
      </c>
      <c r="L12" s="825">
        <f t="shared" ca="1" si="2"/>
        <v>0.19902476261391047</v>
      </c>
      <c r="M12" s="825">
        <f t="shared" ca="1" si="2"/>
        <v>0.21771533448969904</v>
      </c>
      <c r="N12" s="825">
        <f t="shared" ca="1" si="2"/>
        <v>0.23680742302601221</v>
      </c>
      <c r="O12" s="581"/>
      <c r="P12" s="581"/>
      <c r="Q12" s="581"/>
      <c r="R12" s="581"/>
      <c r="S12" s="581"/>
      <c r="T12" s="581"/>
      <c r="U12" s="581"/>
      <c r="V12" s="581"/>
    </row>
    <row r="13" spans="1:22" ht="13.15">
      <c r="A13" s="584"/>
      <c r="B13" s="588"/>
      <c r="C13" s="585"/>
      <c r="D13" s="589"/>
      <c r="E13" s="912"/>
      <c r="F13" s="590"/>
      <c r="G13" s="590"/>
      <c r="H13" s="590"/>
      <c r="I13" s="590"/>
      <c r="J13" s="590"/>
      <c r="K13" s="590"/>
      <c r="L13" s="590"/>
      <c r="M13" s="590"/>
      <c r="N13" s="590"/>
      <c r="O13" s="581"/>
      <c r="P13" s="945" t="s">
        <v>572</v>
      </c>
      <c r="Q13" s="945"/>
      <c r="R13" s="945"/>
      <c r="S13" s="945"/>
      <c r="T13" s="945"/>
      <c r="U13" s="945"/>
      <c r="V13" s="945"/>
    </row>
    <row r="14" spans="1:22" ht="13.15">
      <c r="A14" s="571"/>
      <c r="B14" s="597" t="s">
        <v>23</v>
      </c>
      <c r="C14" s="586"/>
      <c r="D14" s="587">
        <f>IS!FB56</f>
        <v>6.9889999999999759</v>
      </c>
      <c r="E14" s="911" cm="1">
        <f t="array" aca="1" ref="E14" ca="1">IF($A$3="Base case",OFFSET(IS!$FB$56,0,6*(E6-$D$6),,),E15*E8)</f>
        <v>17.222873865774659</v>
      </c>
      <c r="F14" s="587" cm="1">
        <f t="array" aca="1" ref="F14" ca="1">IF($A$3="Base case",OFFSET(IS!$FB$56,0,6*(F6-$D$6),,),F15*F8)</f>
        <v>35.100365638360927</v>
      </c>
      <c r="G14" s="587" cm="1">
        <f t="array" aca="1" ref="G14" ca="1">IF($A$3="Base case",OFFSET(IS!$FB$56,0,6*(G6-$D$6),,),G15*G8)</f>
        <v>57.760304983409185</v>
      </c>
      <c r="H14" s="587" cm="1">
        <f t="array" aca="1" ref="H14" ca="1">IF($A$3="Base case",OFFSET(IS!$FB$56,0,6*(H6-$D$6),,),H15*H8)</f>
        <v>86.238917836869746</v>
      </c>
      <c r="I14" s="587" cm="1">
        <f t="array" aca="1" ref="I14" ca="1">IF($A$3="Base case",OFFSET(IS!$FB$56,0,6*(I6-$D$6),,),I15*I8)</f>
        <v>116.68082464408337</v>
      </c>
      <c r="J14" s="587" cm="1">
        <f t="array" aca="1" ref="J14" ca="1">IF($A$3="Base case",OFFSET(IS!$FB$56,0,6*(J6-$D$6),,),J15*J8)</f>
        <v>150.83413759380181</v>
      </c>
      <c r="K14" s="587" cm="1">
        <f t="array" aca="1" ref="K14" ca="1">IF($A$3="Base case",OFFSET(IS!$FB$56,0,6*(K6-$D$6),,),K15*K8)</f>
        <v>188.87512054904198</v>
      </c>
      <c r="L14" s="587" cm="1">
        <f t="array" aca="1" ref="L14" ca="1">IF($A$3="Base case",OFFSET(IS!$FB$56,0,6*(L6-$D$6),,),L15*L8)</f>
        <v>227.1890266062868</v>
      </c>
      <c r="M14" s="587" cm="1">
        <f t="array" aca="1" ref="M14" ca="1">IF($A$3="Base case",OFFSET(IS!$FB$56,0,6*(M6-$D$6),,),M15*M8)</f>
        <v>270.24633896777163</v>
      </c>
      <c r="N14" s="587" cm="1">
        <f t="array" aca="1" ref="N14" ca="1">IF($A$3="Base case",OFFSET(IS!$FB$56,0,6*(N6-$D$6),,),N15*N8)</f>
        <v>316.50381023084549</v>
      </c>
      <c r="O14" s="581"/>
      <c r="P14" s="581" t="s">
        <v>568</v>
      </c>
      <c r="Q14" s="591">
        <v>0.08</v>
      </c>
      <c r="R14" s="591">
        <v>0.09</v>
      </c>
      <c r="S14" s="591">
        <v>8.5000000000000006E-2</v>
      </c>
      <c r="T14" s="591">
        <v>0.08</v>
      </c>
      <c r="U14" s="591">
        <v>7.4999999999999997E-2</v>
      </c>
      <c r="V14" s="592">
        <v>6.5000000000000002E-2</v>
      </c>
    </row>
    <row r="15" spans="1:22" s="435" customFormat="1" ht="13.15">
      <c r="A15" s="571"/>
      <c r="B15" s="826" t="s">
        <v>573</v>
      </c>
      <c r="C15" s="595"/>
      <c r="D15" s="825">
        <f>D14/D8</f>
        <v>9.6090918590134577E-3</v>
      </c>
      <c r="E15" s="914">
        <f ca="1">IF($A$3="Base case",E14/E8,IF($A$3="Upside",Q9,Q15))</f>
        <v>2.1599787723275712E-2</v>
      </c>
      <c r="F15" s="825">
        <f ca="1">IF($A$3="Base case",F14/F8,IF($A$3="Upside",R9,R15))</f>
        <v>4.0099787723275812E-2</v>
      </c>
      <c r="G15" s="825">
        <f ca="1">IF($A$3="Base case",G14/G8,IF($A$3="Upside",S9,S15))</f>
        <v>6.009978772327574E-2</v>
      </c>
      <c r="H15" s="825">
        <f ca="1">IF($A$3="Base case",H14/H8,IF($A$3="Upside",T9,T15))</f>
        <v>8.2099787723275822E-2</v>
      </c>
      <c r="I15" s="825">
        <f ca="1">IF($A$3="Base case",I14/I8,IF($A$3="Upside",U9,U15))</f>
        <v>0.10209978772327573</v>
      </c>
      <c r="J15" s="825">
        <f ca="1">IF($A$3="Base case",J14/J8,IF($A$3="Upside",(I15-(($I$15-$N$15)/5)),(I15-(($I$15-$N$15)/5))))</f>
        <v>0.12209978772327573</v>
      </c>
      <c r="K15" s="825">
        <f ca="1">IF($A$3="Base case",K14/K8,IF($A$3="Upside",(J15-(($I$15-$N$15)/5)),(J15-(($I$15-$N$15)/5))))</f>
        <v>0.14209978772327561</v>
      </c>
      <c r="L15" s="825">
        <f ca="1">IF($A$3="Base case",L14/L8,IF($A$3="Upside",(K15-(($I$15-$N$15)/5)),(K15-(($I$15-$N$15)/5))))</f>
        <v>0.15959978772327574</v>
      </c>
      <c r="M15" s="825">
        <f ca="1">IF($A$3="Base case",M14/M8,IF($A$3="Upside",(L15-(($I$15-$N$15)/5)),(L15-(($I$15-$N$15)/5))))</f>
        <v>0.17809978772327553</v>
      </c>
      <c r="N15" s="825">
        <f ca="1">IF($A$3="Base case",N14/N8,IF($A$3="Upside",$V$9,$V$15))</f>
        <v>0.19659978772327552</v>
      </c>
      <c r="O15" s="581"/>
      <c r="P15" s="581" t="s">
        <v>569</v>
      </c>
      <c r="Q15" s="591">
        <v>0.01</v>
      </c>
      <c r="R15" s="591">
        <v>0.03</v>
      </c>
      <c r="S15" s="591">
        <v>0.05</v>
      </c>
      <c r="T15" s="591">
        <v>7.0000000000000007E-2</v>
      </c>
      <c r="U15" s="591">
        <v>0.08</v>
      </c>
      <c r="V15" s="592">
        <v>0.11</v>
      </c>
    </row>
    <row r="16" spans="1:22" ht="13.15">
      <c r="A16" s="571"/>
      <c r="B16" s="594"/>
      <c r="C16" s="595"/>
      <c r="D16" s="596"/>
      <c r="E16" s="915"/>
      <c r="F16" s="596"/>
      <c r="G16" s="596"/>
      <c r="H16" s="596"/>
      <c r="I16" s="596"/>
      <c r="J16" s="596"/>
      <c r="K16" s="596"/>
      <c r="L16" s="596"/>
      <c r="M16" s="596"/>
      <c r="N16" s="596"/>
      <c r="O16" s="581"/>
      <c r="P16" s="581" t="s">
        <v>119</v>
      </c>
      <c r="Q16" s="598">
        <v>0.05</v>
      </c>
      <c r="R16" s="598">
        <v>0.05</v>
      </c>
      <c r="S16" s="598">
        <v>0.05</v>
      </c>
      <c r="T16" s="598">
        <v>0.05</v>
      </c>
      <c r="U16" s="598">
        <v>0.05</v>
      </c>
      <c r="V16" s="696">
        <v>0.05</v>
      </c>
    </row>
    <row r="17" spans="1:22 16383:16383" ht="13.15">
      <c r="A17" s="571"/>
      <c r="B17" s="599" t="s">
        <v>574</v>
      </c>
      <c r="C17" s="585"/>
      <c r="D17" s="691">
        <f>IS!FB81</f>
        <v>-0.17798762101253832</v>
      </c>
      <c r="E17" s="916" cm="1">
        <f t="array" aca="1" ref="E17" ca="1">OFFSET(IS!$FB$81,0,6*(DCF!E6 - DCF!$D$6),,)</f>
        <v>0</v>
      </c>
      <c r="F17" s="691" cm="1">
        <f t="array" aca="1" ref="F17" ca="1">OFFSET(IS!$FB$81,0,6*(DCF!F6 - DCF!$D$6),,)</f>
        <v>0</v>
      </c>
      <c r="G17" s="691" cm="1">
        <f t="array" aca="1" ref="G17" ca="1">OFFSET(IS!$FB$81,0,6*(DCF!G6 - DCF!$D$6),,)</f>
        <v>0</v>
      </c>
      <c r="H17" s="691" cm="1">
        <f t="array" aca="1" ref="H17" ca="1">OFFSET(IS!$FB$81,0,6*(DCF!H6 - DCF!$D$6),,)</f>
        <v>0.2</v>
      </c>
      <c r="I17" s="691" cm="1">
        <f t="array" aca="1" ref="I17" ca="1">OFFSET(IS!$FB$81,0,6*(DCF!I6 - DCF!$D$6),,)</f>
        <v>0.2</v>
      </c>
      <c r="J17" s="691" cm="1">
        <f t="array" aca="1" ref="J17" ca="1">OFFSET(IS!$FB$81,0,6*(DCF!J6 - DCF!$D$6),,)</f>
        <v>0.2</v>
      </c>
      <c r="K17" s="691" cm="1">
        <f t="array" aca="1" ref="K17" ca="1">OFFSET(IS!$FB$81,0,6*(DCF!K6 - DCF!$D$6),,)</f>
        <v>0.2</v>
      </c>
      <c r="L17" s="691" cm="1">
        <f t="array" aca="1" ref="L17" ca="1">OFFSET(IS!$FB$81,0,6*(DCF!L6 - DCF!$D$6),,)</f>
        <v>0.2</v>
      </c>
      <c r="M17" s="691" cm="1">
        <f t="array" aca="1" ref="M17" ca="1">OFFSET(IS!$FB$81,0,6*(DCF!M6 - DCF!$D$6),,)</f>
        <v>0.2</v>
      </c>
      <c r="N17" s="691" cm="1">
        <f t="array" aca="1" ref="N17" ca="1">OFFSET(IS!$FB$81,0,6*(DCF!N6 - DCF!$D$6),,)</f>
        <v>0.2</v>
      </c>
      <c r="O17" s="581"/>
      <c r="P17" s="581" t="s">
        <v>570</v>
      </c>
      <c r="Q17" s="598">
        <v>4.4999999999999998E-2</v>
      </c>
      <c r="R17" s="598">
        <v>4.4999999999999998E-2</v>
      </c>
      <c r="S17" s="598">
        <v>4.4999999999999998E-2</v>
      </c>
      <c r="T17" s="598">
        <v>4.4999999999999998E-2</v>
      </c>
      <c r="U17" s="598">
        <v>4.4999999999999998E-2</v>
      </c>
      <c r="V17" s="592">
        <v>4.4999999999999998E-2</v>
      </c>
    </row>
    <row r="18" spans="1:22 16383:16383" ht="13.15">
      <c r="A18" s="571"/>
      <c r="B18" s="593" t="s">
        <v>575</v>
      </c>
      <c r="C18" s="585"/>
      <c r="D18" s="601">
        <f>D14*D17</f>
        <v>-1.243955483256626</v>
      </c>
      <c r="E18" s="917">
        <f t="shared" ref="E18:N18" ca="1" si="3">E14*E17</f>
        <v>0</v>
      </c>
      <c r="F18" s="601">
        <f t="shared" ca="1" si="3"/>
        <v>0</v>
      </c>
      <c r="G18" s="601">
        <f t="shared" ca="1" si="3"/>
        <v>0</v>
      </c>
      <c r="H18" s="601">
        <f t="shared" ca="1" si="3"/>
        <v>17.247783567373951</v>
      </c>
      <c r="I18" s="601">
        <f ca="1">I14*I17</f>
        <v>23.336164928816675</v>
      </c>
      <c r="J18" s="601">
        <f t="shared" ca="1" si="3"/>
        <v>30.166827518760364</v>
      </c>
      <c r="K18" s="601">
        <f t="shared" ca="1" si="3"/>
        <v>37.775024109808399</v>
      </c>
      <c r="L18" s="601">
        <f t="shared" ca="1" si="3"/>
        <v>45.437805321257365</v>
      </c>
      <c r="M18" s="601">
        <f t="shared" ca="1" si="3"/>
        <v>54.049267793554328</v>
      </c>
      <c r="N18" s="601">
        <f t="shared" ca="1" si="3"/>
        <v>63.300762046169098</v>
      </c>
      <c r="O18" s="581"/>
      <c r="P18" s="581"/>
      <c r="Q18" s="581"/>
      <c r="R18" s="581"/>
      <c r="S18" s="581"/>
      <c r="T18" s="581"/>
      <c r="U18" s="581"/>
      <c r="V18" s="581"/>
    </row>
    <row r="19" spans="1:22 16383:16383" ht="13.15">
      <c r="A19" s="571"/>
      <c r="B19" s="585" t="s">
        <v>407</v>
      </c>
      <c r="C19" s="585"/>
      <c r="D19" s="589">
        <f>D14-D18</f>
        <v>8.2329554832566014</v>
      </c>
      <c r="E19" s="913">
        <f t="shared" ref="E19:N19" ca="1" si="4">E14-E18</f>
        <v>17.222873865774659</v>
      </c>
      <c r="F19" s="589">
        <f t="shared" ca="1" si="4"/>
        <v>35.100365638360927</v>
      </c>
      <c r="G19" s="589">
        <f t="shared" ca="1" si="4"/>
        <v>57.760304983409185</v>
      </c>
      <c r="H19" s="589">
        <f ca="1">H14-H18</f>
        <v>68.991134269495802</v>
      </c>
      <c r="I19" s="589">
        <f t="shared" ca="1" si="4"/>
        <v>93.344659715266701</v>
      </c>
      <c r="J19" s="589">
        <f t="shared" ca="1" si="4"/>
        <v>120.66731007504146</v>
      </c>
      <c r="K19" s="589">
        <f t="shared" ca="1" si="4"/>
        <v>151.1000964392336</v>
      </c>
      <c r="L19" s="589">
        <f t="shared" ca="1" si="4"/>
        <v>181.75122128502943</v>
      </c>
      <c r="M19" s="589">
        <f t="shared" ca="1" si="4"/>
        <v>216.19707117421731</v>
      </c>
      <c r="N19" s="589">
        <f t="shared" ca="1" si="4"/>
        <v>253.20304818467639</v>
      </c>
      <c r="O19" s="581"/>
      <c r="P19" s="581"/>
      <c r="Q19" s="581"/>
      <c r="R19" s="581"/>
      <c r="S19" s="581"/>
      <c r="T19" s="581"/>
      <c r="U19" s="581"/>
      <c r="V19" s="581"/>
    </row>
    <row r="20" spans="1:22 16383:16383" ht="13.15">
      <c r="A20" s="571"/>
      <c r="B20" s="588" t="s">
        <v>576</v>
      </c>
      <c r="C20" s="595"/>
      <c r="D20" s="827">
        <f t="shared" ref="D20:N20" si="5">D19/D8</f>
        <v>1.1319391259090211E-2</v>
      </c>
      <c r="E20" s="918">
        <f t="shared" ca="1" si="5"/>
        <v>2.1599787723275712E-2</v>
      </c>
      <c r="F20" s="827">
        <f t="shared" ca="1" si="5"/>
        <v>4.0099787723275812E-2</v>
      </c>
      <c r="G20" s="827">
        <f ca="1">G19/G8</f>
        <v>6.009978772327574E-2</v>
      </c>
      <c r="H20" s="827">
        <f t="shared" ca="1" si="5"/>
        <v>6.5679830178620668E-2</v>
      </c>
      <c r="I20" s="827">
        <f t="shared" ca="1" si="5"/>
        <v>8.1679830178620585E-2</v>
      </c>
      <c r="J20" s="827">
        <f t="shared" ca="1" si="5"/>
        <v>9.7679830178620586E-2</v>
      </c>
      <c r="K20" s="827">
        <f t="shared" ca="1" si="5"/>
        <v>0.1136798301786205</v>
      </c>
      <c r="L20" s="827">
        <f t="shared" ca="1" si="5"/>
        <v>0.12767983017862058</v>
      </c>
      <c r="M20" s="827">
        <f t="shared" ca="1" si="5"/>
        <v>0.14247983017862043</v>
      </c>
      <c r="N20" s="827">
        <f t="shared" ca="1" si="5"/>
        <v>0.15727983017862041</v>
      </c>
      <c r="O20" s="581"/>
      <c r="P20" s="581"/>
      <c r="Q20" s="581"/>
      <c r="R20" s="581"/>
      <c r="S20" s="581"/>
      <c r="T20" s="581"/>
      <c r="U20" s="581"/>
      <c r="V20" s="581"/>
    </row>
    <row r="21" spans="1:22 16383:16383" ht="13.15">
      <c r="A21" s="571"/>
      <c r="B21" s="585"/>
      <c r="C21" s="585"/>
      <c r="D21" s="585"/>
      <c r="E21" s="910"/>
      <c r="F21" s="585"/>
      <c r="G21" s="585"/>
      <c r="H21" s="585"/>
      <c r="I21" s="585"/>
      <c r="J21" s="585"/>
      <c r="K21" s="585"/>
      <c r="L21" s="585"/>
      <c r="M21" s="585"/>
      <c r="N21" s="585"/>
      <c r="O21" s="581"/>
      <c r="P21" s="581"/>
      <c r="Q21" s="581"/>
      <c r="R21" s="581"/>
      <c r="S21" s="581"/>
      <c r="T21" s="581"/>
      <c r="U21" s="581"/>
      <c r="V21" s="581"/>
    </row>
    <row r="22" spans="1:22 16383:16383" ht="13.15">
      <c r="A22" s="571"/>
      <c r="B22" s="602" t="s">
        <v>119</v>
      </c>
      <c r="C22" s="585"/>
      <c r="D22" s="603">
        <f>-'Other Accts'!FB54</f>
        <v>37.2423</v>
      </c>
      <c r="E22" s="919" cm="1">
        <f t="array" aca="1" ref="E22" ca="1">IF($A$3="Base Case",-OFFSET('Other Accts'!$FB$54,0,6*(E6-$D$6),,),IF($A$3="Upside",E23*E8,E23*E8))</f>
        <v>38.844542955000001</v>
      </c>
      <c r="F22" s="603" cm="1">
        <f t="array" aca="1" ref="F22" ca="1">IF($A$3="Base Case",-OFFSET('Other Accts'!$FB$54,0,6*(F6-$D$6),,),IF($A$3="Upside",F23*F8,F23*F8))</f>
        <v>38.487742953400499</v>
      </c>
      <c r="G22" s="603" cm="1">
        <f t="array" aca="1" ref="G22" ca="1">IF($A$3="Base Case",-OFFSET('Other Accts'!$FB$54,0,6*(G6-$D$6),,),IF($A$3="Upside",G23*G8,G23*G8))</f>
        <v>39.3588027296042</v>
      </c>
      <c r="H22" s="603" cm="1">
        <f t="array" aca="1" ref="H22" ca="1">IF($A$3="Base Case",-OFFSET('Other Accts'!$FB$54,0,6*(H6-$D$6),,),IF($A$3="Upside",H23*H8,H23*H8))</f>
        <v>41.129399587891072</v>
      </c>
      <c r="I22" s="603" cm="1">
        <f t="array" aca="1" ref="I22" ca="1">IF($A$3="Base Case",-OFFSET('Other Accts'!$FB$54,0,6*(I6-$D$6),,),IF($A$3="Upside",I23*I8,I23*I8))</f>
        <v>45.146917464430729</v>
      </c>
      <c r="J22" s="603" cm="1">
        <f t="array" aca="1" ref="J22" ca="1">IF($A$3="Base Case",-OFFSET('Other Accts'!$FB$54,0,6*(J6-$D$6),,),IF($A$3="Upside",J23*J8,J23*J8))</f>
        <v>47.729216177502309</v>
      </c>
      <c r="K22" s="603" cm="1">
        <f t="array" aca="1" ref="K22" ca="1">IF($A$3="Base Case",-OFFSET('Other Accts'!$FB$54,0,6*(K6-$D$6),,),IF($A$3="Upside",K23*K8,K23*K8))</f>
        <v>52.862641402239788</v>
      </c>
      <c r="L22" s="603" cm="1">
        <f t="array" aca="1" ref="L22" ca="1">IF($A$3="Base Case",-OFFSET('Other Accts'!$FB$54,0,6*(L6-$D$6),,),IF($A$3="Upside",L23*L8,L23*L8))</f>
        <v>56.121137735538149</v>
      </c>
      <c r="M22" s="603" cm="1">
        <f t="array" aca="1" ref="M22" ca="1">IF($A$3="Base Case",-OFFSET('Other Accts'!$FB$54,0,6*(M6-$D$6),,),IF($A$3="Upside",M23*M8,M23*M8))</f>
        <v>60.11212375203381</v>
      </c>
      <c r="N22" s="603" cm="1">
        <f t="array" aca="1" ref="N22" ca="1">IF($A$3="Base Case",-OFFSET('Other Accts'!$FB$54,0,6*(N6-$D$6),,),IF($A$3="Upside",N23*N8,N23*N8))</f>
        <v>64.729824589641709</v>
      </c>
      <c r="O22" s="581"/>
      <c r="P22" s="581"/>
      <c r="Q22" s="581"/>
      <c r="R22" s="581"/>
      <c r="S22" s="581"/>
      <c r="T22" s="581"/>
      <c r="U22" s="581"/>
      <c r="V22" s="581"/>
    </row>
    <row r="23" spans="1:22 16383:16383" ht="13.15">
      <c r="A23" s="571"/>
      <c r="B23" s="604" t="s">
        <v>577</v>
      </c>
      <c r="C23" s="585"/>
      <c r="D23" s="605">
        <f>D22/D8</f>
        <v>5.1203989374865949E-2</v>
      </c>
      <c r="E23" s="920">
        <f ca="1">IF($A$3="Base Case",E22/E8,IF($A$3="Upside",Q10,Q16))</f>
        <v>4.8716253081490392E-2</v>
      </c>
      <c r="F23" s="605">
        <f ca="1">IF($A$3="Base Case",F22/F8,IF($A$3="Upside",R10,R16))</f>
        <v>4.396963662089743E-2</v>
      </c>
      <c r="G23" s="605">
        <f ca="1">IF($A$3="Base Case",G22/G8,IF($A$3="Upside",S10,S16))</f>
        <v>4.0952963973631046E-2</v>
      </c>
      <c r="H23" s="605">
        <f ca="1">IF($A$3="Base Case",H22/H8,IF($A$3="Upside",T10,T16))</f>
        <v>3.9155349580557899E-2</v>
      </c>
      <c r="I23" s="605">
        <f ca="1">IF($A$3="Base Case",I22/I8,IF($A$3="Upside",U10,U16))</f>
        <v>3.9505126086819824E-2</v>
      </c>
      <c r="J23" s="605">
        <f ca="1">IF($A$3="Base Case",J22/J8,IF($A$3="Upside",(I23-(($I$23-$N$23)/5)),(I23-(($I$23-$N$23)/5))))</f>
        <v>3.8636659157130007E-2</v>
      </c>
      <c r="K23" s="605">
        <f ca="1">IF($A$3="Base Case",K22/K8,IF($A$3="Upside",(J23-(($I$23-$N$23)/5)),(J23-(($I$23-$N$23)/5))))</f>
        <v>3.9771093725388049E-2</v>
      </c>
      <c r="L23" s="605">
        <f ca="1">IF($A$3="Base Case",L22/L8,IF($A$3="Upside",(K23-(($I$23-$N$23)/5)),(K23-(($I$23-$N$23)/5))))</f>
        <v>3.9424974890634748E-2</v>
      </c>
      <c r="M23" s="605">
        <f ca="1">IF($A$3="Base Case",M22/M8,IF($A$3="Upside",(L23-(($I$23-$N$23)/5)),(L23-(($I$23-$N$23)/5))))</f>
        <v>3.9615546766423489E-2</v>
      </c>
      <c r="N23" s="605">
        <f ca="1">IF($A$3="Base Case",N22/N8,IF($A$3="Upside",$V$10,$V$16))</f>
        <v>4.0207635302736695E-2</v>
      </c>
      <c r="O23" s="581"/>
      <c r="P23" s="581"/>
      <c r="Q23" s="581"/>
      <c r="R23" s="581"/>
      <c r="S23" s="581"/>
      <c r="T23" s="581"/>
      <c r="U23" s="581"/>
      <c r="V23" s="581"/>
    </row>
    <row r="24" spans="1:22 16383:16383" ht="13.15">
      <c r="A24" s="571"/>
      <c r="B24" s="602" t="s">
        <v>578</v>
      </c>
      <c r="C24" s="585"/>
      <c r="D24" s="603">
        <f>'Other Accts'!FB53</f>
        <v>33</v>
      </c>
      <c r="E24" s="919" cm="1">
        <f t="array" aca="1" ref="E24" ca="1">IF($A$3="Base Case", OFFSET('Other Accts'!$FB$53,0,6*(E6-$D$6),,),IF($A$3="Upside",E8*E25,E8*E25))</f>
        <v>35.805</v>
      </c>
      <c r="F24" s="603" cm="1">
        <f t="array" aca="1" ref="F24" ca="1">IF($A$3="Base Case", OFFSET('Other Accts'!$FB$53,0,6*(F6-$D$6),,),IF($A$3="Upside",F8*F25,F8*F25))</f>
        <v>38.848424999999999</v>
      </c>
      <c r="G24" s="603" cm="1">
        <f t="array" aca="1" ref="G24" ca="1">IF($A$3="Base Case", OFFSET('Other Accts'!$FB$53,0,6*(G6-$D$6),,),IF($A$3="Upside",G8*G25,G8*G25))</f>
        <v>42.150541124999997</v>
      </c>
      <c r="H24" s="603" cm="1">
        <f t="array" aca="1" ref="H24" ca="1">IF($A$3="Base Case", OFFSET('Other Accts'!$FB$53,0,6*(H6-$D$6),,),IF($A$3="Upside",H8*H25,H8*H25))</f>
        <v>45.733337120624995</v>
      </c>
      <c r="I24" s="603" cm="1">
        <f t="array" aca="1" ref="I24" ca="1">IF($A$3="Base Case", OFFSET('Other Accts'!$FB$53,0,6*(I6-$D$6),,),IF($A$3="Upside",I8*I25,I8*I25))</f>
        <v>49.620670775878118</v>
      </c>
      <c r="J24" s="603" cm="1">
        <f t="array" aca="1" ref="J24" ca="1">IF($A$3="Base Case", OFFSET('Other Accts'!$FB$53,0,6*(J6-$D$6),,),IF($A$3="Upside",J8*J25,J8*J25))</f>
        <v>53.838427791827755</v>
      </c>
      <c r="K24" s="603" cm="1">
        <f t="array" aca="1" ref="K24" ca="1">IF($A$3="Base Case", OFFSET('Other Accts'!$FB$53,0,6*(K6-$D$6),,),IF($A$3="Upside",K8*K25,K8*K25))</f>
        <v>58.414694154133109</v>
      </c>
      <c r="L24" s="603" cm="1">
        <f t="array" aca="1" ref="L24" ca="1">IF($A$3="Base Case", OFFSET('Other Accts'!$FB$53,0,6*(L6-$D$6),,),IF($A$3="Upside",L8*L25,L8*L25))</f>
        <v>63.379943157234422</v>
      </c>
      <c r="M24" s="603" cm="1">
        <f t="array" aca="1" ref="M24" ca="1">IF($A$3="Base Case", OFFSET('Other Accts'!$FB$53,0,6*(M6-$D$6),,),IF($A$3="Upside",M8*M25,M8*M25))</f>
        <v>68.767238325599351</v>
      </c>
      <c r="N24" s="603" cm="1">
        <f t="array" aca="1" ref="N24" ca="1">IF($A$3="Base Case", OFFSET('Other Accts'!$FB$53,0,6*(N6-$D$6),,),IF($A$3="Upside",N8*N25,N8*N25))</f>
        <v>74.612453583275297</v>
      </c>
      <c r="O24" s="581"/>
      <c r="P24" s="581"/>
      <c r="Q24" s="581"/>
      <c r="R24" s="581"/>
      <c r="S24" s="581"/>
      <c r="T24" s="581"/>
      <c r="U24" s="581"/>
      <c r="V24" s="581"/>
    </row>
    <row r="25" spans="1:22 16383:16383" ht="13.15">
      <c r="A25" s="571"/>
      <c r="B25" s="604" t="s">
        <v>577</v>
      </c>
      <c r="C25" s="585"/>
      <c r="D25" s="606">
        <f>D24/D8</f>
        <v>4.5371302238867532E-2</v>
      </c>
      <c r="E25" s="921">
        <f ca="1">IF($A$3="Base Case",E24/E8,IF($A$3="Upside",Q11,Q17))</f>
        <v>4.4904259617714E-2</v>
      </c>
      <c r="F25" s="606">
        <f ca="1">IF($A$3="Base Case",F24/F8,IF($A$3="Upside",R11,R17))</f>
        <v>4.4381691402698049E-2</v>
      </c>
      <c r="G25" s="606">
        <f ca="1">IF($A$3="Base Case",G24/G8,IF($A$3="Upside",S11,S17))</f>
        <v>4.3857776976096996E-2</v>
      </c>
      <c r="H25" s="606">
        <f ca="1">IF($A$3="Base Case",H24/H8,IF($A$3="Upside",T11,T17))</f>
        <v>4.3538316153070696E-2</v>
      </c>
      <c r="I25" s="606">
        <f ca="1">IF($A$3="Base Case",I24/I8,IF($A$3="Upside",U11,U17))</f>
        <v>4.3419816138234729E-2</v>
      </c>
      <c r="J25" s="605">
        <f ca="1">IF($A$3="Base Case",J24/J8,IF($A$3="Upside",(I25-(($I$25-$N$25)/5)),(I25-(($I$25-$N$25)/5))))</f>
        <v>4.3582047867970222E-2</v>
      </c>
      <c r="K25" s="605">
        <f ca="1">IF($A$3="Base Case",K24/K8,IF($A$3="Upside",(J25-(($I$25-$N$25)/5)),(J25-(($I$25-$N$25)/5))))</f>
        <v>4.3948168584051699E-2</v>
      </c>
      <c r="L25" s="605">
        <f ca="1">IF($A$3="Base Case",L24/L8,IF($A$3="Upside",(K25-(($I$25-$N$25)/5)),(K25-(($I$25-$N$25)/5))))</f>
        <v>4.452426961332815E-2</v>
      </c>
      <c r="M25" s="605">
        <f ca="1">IF($A$3="Base Case",M24/M8,IF($A$3="Upside",(L25-(($I$25-$N$25)/5)),(L25-(($I$25-$N$25)/5))))</f>
        <v>4.5319505880765013E-2</v>
      </c>
      <c r="N25" s="606">
        <f ca="1">IF($A$3="Base Case",N24/N8,IF($A$3="Upside",$V$11,$V$17))</f>
        <v>4.6346337901227247E-2</v>
      </c>
      <c r="O25" s="581"/>
      <c r="P25" s="581"/>
      <c r="Q25" s="581"/>
      <c r="R25" s="581"/>
      <c r="S25" s="581"/>
      <c r="T25" s="581"/>
      <c r="U25" s="581"/>
      <c r="V25" s="581"/>
    </row>
    <row r="26" spans="1:22 16383:16383" ht="13.15">
      <c r="A26" s="572"/>
      <c r="B26" s="602" t="s">
        <v>579</v>
      </c>
      <c r="C26" s="585"/>
      <c r="D26" s="603">
        <f>BS!FB93</f>
        <v>0</v>
      </c>
      <c r="E26" s="919" cm="1">
        <f t="array" aca="1" ref="E26" ca="1">OFFSET(BS!$FB$93,0,6*(E6-$D$6),,)</f>
        <v>0</v>
      </c>
      <c r="F26" s="603" cm="1">
        <f t="array" aca="1" ref="F26" ca="1">OFFSET(BS!$FB$93,0,6*(F6-$D$6),,)</f>
        <v>0</v>
      </c>
      <c r="G26" s="603" cm="1">
        <f t="array" aca="1" ref="G26" ca="1">OFFSET(BS!$FB$93,0,6*(G6-$D$6),,)</f>
        <v>0</v>
      </c>
      <c r="H26" s="603" cm="1">
        <f t="array" aca="1" ref="H26" ca="1">OFFSET(BS!$FB$93,0,6*(H6-$D$6),,)</f>
        <v>0</v>
      </c>
      <c r="I26" s="603" cm="1">
        <f t="array" aca="1" ref="I26" ca="1">OFFSET(BS!$FB$93,0,6*(I6-$D$6),,)</f>
        <v>0</v>
      </c>
      <c r="J26" s="603" cm="1">
        <f t="array" aca="1" ref="J26" ca="1">OFFSET(BS!$FB$93,0,6*(J6-$D$6),,)</f>
        <v>0</v>
      </c>
      <c r="K26" s="603" cm="1">
        <f t="array" aca="1" ref="K26" ca="1">OFFSET(BS!$FB$93,0,6*(K6-$D$6),,)</f>
        <v>0</v>
      </c>
      <c r="L26" s="603" cm="1">
        <f t="array" aca="1" ref="L26" ca="1">OFFSET(BS!$FB$93,0,6*(L6-$D$6),,)</f>
        <v>0</v>
      </c>
      <c r="M26" s="603" cm="1">
        <f t="array" aca="1" ref="M26" ca="1">OFFSET(BS!$FB$93,0,6*(M6-$D$6),,)</f>
        <v>0</v>
      </c>
      <c r="N26" s="603" cm="1">
        <f t="array" aca="1" ref="N26" ca="1">OFFSET(BS!$FB$93,0,6*(N6-$D$6),,)</f>
        <v>0</v>
      </c>
      <c r="O26" s="581"/>
      <c r="P26" s="581"/>
      <c r="Q26" s="581"/>
      <c r="R26" s="581"/>
      <c r="S26" s="581"/>
      <c r="T26" s="581"/>
      <c r="U26" s="581"/>
      <c r="V26" s="581"/>
      <c r="XFC26" s="359"/>
    </row>
    <row r="27" spans="1:22 16383:16383" ht="13.15">
      <c r="A27" s="572"/>
      <c r="B27" s="607" t="s">
        <v>128</v>
      </c>
      <c r="C27" s="607"/>
      <c r="D27" s="608">
        <f t="shared" ref="D27:N27" si="6">D19+D22-D24-D26</f>
        <v>12.475255483256603</v>
      </c>
      <c r="E27" s="922">
        <f t="shared" ca="1" si="6"/>
        <v>20.262416820774661</v>
      </c>
      <c r="F27" s="608">
        <f t="shared" ca="1" si="6"/>
        <v>34.739683591761427</v>
      </c>
      <c r="G27" s="608">
        <f t="shared" ca="1" si="6"/>
        <v>54.968566588013395</v>
      </c>
      <c r="H27" s="608">
        <f t="shared" ca="1" si="6"/>
        <v>64.387196736761879</v>
      </c>
      <c r="I27" s="608">
        <f t="shared" ca="1" si="6"/>
        <v>88.870906403819305</v>
      </c>
      <c r="J27" s="608">
        <f t="shared" ca="1" si="6"/>
        <v>114.55809846071601</v>
      </c>
      <c r="K27" s="608">
        <f t="shared" ca="1" si="6"/>
        <v>145.54804368734025</v>
      </c>
      <c r="L27" s="608">
        <f t="shared" ca="1" si="6"/>
        <v>174.49241586333318</v>
      </c>
      <c r="M27" s="608">
        <f t="shared" ca="1" si="6"/>
        <v>207.54195660065176</v>
      </c>
      <c r="N27" s="608">
        <f t="shared" ca="1" si="6"/>
        <v>243.32041919104279</v>
      </c>
      <c r="O27" s="581"/>
      <c r="P27" s="581"/>
      <c r="Q27" s="581"/>
      <c r="R27" s="581"/>
      <c r="S27" s="581"/>
      <c r="T27" s="581"/>
      <c r="U27" s="581"/>
      <c r="V27" s="581"/>
    </row>
    <row r="28" spans="1:22 16383:16383" ht="13.15" hidden="1" outlineLevel="1">
      <c r="A28" s="699"/>
      <c r="B28" s="700" t="s">
        <v>648</v>
      </c>
      <c r="C28" s="701"/>
      <c r="D28" s="702"/>
      <c r="E28" s="703">
        <v>0.5</v>
      </c>
      <c r="F28" s="704">
        <f>E28+1</f>
        <v>1.5</v>
      </c>
      <c r="G28" s="704">
        <f t="shared" ref="G28:N28" si="7">F28+1</f>
        <v>2.5</v>
      </c>
      <c r="H28" s="704">
        <f t="shared" si="7"/>
        <v>3.5</v>
      </c>
      <c r="I28" s="704">
        <f t="shared" si="7"/>
        <v>4.5</v>
      </c>
      <c r="J28" s="704">
        <f t="shared" si="7"/>
        <v>5.5</v>
      </c>
      <c r="K28" s="704">
        <f t="shared" si="7"/>
        <v>6.5</v>
      </c>
      <c r="L28" s="704">
        <f t="shared" si="7"/>
        <v>7.5</v>
      </c>
      <c r="M28" s="704">
        <f t="shared" si="7"/>
        <v>8.5</v>
      </c>
      <c r="N28" s="704">
        <f t="shared" si="7"/>
        <v>9.5</v>
      </c>
      <c r="O28" s="581"/>
      <c r="P28" s="581"/>
      <c r="Q28" s="581"/>
      <c r="R28" s="581"/>
      <c r="S28" s="581"/>
      <c r="T28" s="581"/>
      <c r="U28" s="581"/>
      <c r="V28" s="581"/>
    </row>
    <row r="29" spans="1:22 16383:16383" ht="13.15" hidden="1" outlineLevel="1">
      <c r="A29" s="699"/>
      <c r="B29" s="700" t="s">
        <v>649</v>
      </c>
      <c r="C29" s="701"/>
      <c r="D29" s="702"/>
      <c r="E29" s="705">
        <f ca="1">(E27)/((1+$C$48)^E28)</f>
        <v>19.331350665900459</v>
      </c>
      <c r="F29" s="705">
        <f t="shared" ref="F29:N29" ca="1" si="8">(F27)/((1+$C$48)^F28)</f>
        <v>30.167458235091114</v>
      </c>
      <c r="G29" s="705">
        <f t="shared" ca="1" si="8"/>
        <v>43.447939127775008</v>
      </c>
      <c r="H29" s="705">
        <f t="shared" ca="1" si="8"/>
        <v>46.32294844689298</v>
      </c>
      <c r="I29" s="705">
        <f t="shared" ca="1" si="8"/>
        <v>58.196677930056488</v>
      </c>
      <c r="J29" s="705">
        <f t="shared" ca="1" si="8"/>
        <v>68.282008707329155</v>
      </c>
      <c r="K29" s="705">
        <f t="shared" ca="1" si="8"/>
        <v>78.963933225438083</v>
      </c>
      <c r="L29" s="705">
        <f t="shared" ca="1" si="8"/>
        <v>86.166978296134701</v>
      </c>
      <c r="M29" s="705">
        <f ca="1">(M27)/((1+$C$48)^M28)</f>
        <v>93.285065815170668</v>
      </c>
      <c r="N29" s="705">
        <f t="shared" ca="1" si="8"/>
        <v>99.546656822951888</v>
      </c>
      <c r="O29" s="581"/>
      <c r="P29" s="581"/>
      <c r="Q29" s="581"/>
      <c r="R29" s="581"/>
      <c r="S29" s="581"/>
      <c r="T29" s="581"/>
      <c r="U29" s="581"/>
      <c r="V29" s="581"/>
    </row>
    <row r="30" spans="1:22 16383:16383" ht="13.15" collapsed="1">
      <c r="A30" s="572"/>
      <c r="B30" s="585" t="s">
        <v>129</v>
      </c>
      <c r="C30" s="585"/>
      <c r="D30" s="603"/>
      <c r="E30" s="603"/>
      <c r="F30" s="603"/>
      <c r="G30" s="603"/>
      <c r="H30" s="609"/>
      <c r="I30" s="581"/>
      <c r="J30" s="581"/>
      <c r="K30" s="581"/>
      <c r="L30" s="581"/>
      <c r="M30" s="581"/>
      <c r="N30" s="603">
        <f ca="1">(N27*(1+C49))/(C48-C49)</f>
        <v>3650.8629343081298</v>
      </c>
      <c r="O30" s="581"/>
      <c r="P30" s="581"/>
      <c r="Q30" s="581"/>
      <c r="R30" s="581"/>
      <c r="S30" s="581"/>
      <c r="T30" s="581"/>
      <c r="U30" s="581"/>
      <c r="V30" s="581"/>
    </row>
    <row r="31" spans="1:22 16383:16383" ht="13.15">
      <c r="A31" s="572"/>
      <c r="B31" s="593" t="s">
        <v>130</v>
      </c>
      <c r="C31" s="585"/>
      <c r="D31" s="609"/>
      <c r="E31" s="609"/>
      <c r="F31" s="609"/>
      <c r="G31" s="609"/>
      <c r="I31" s="609"/>
      <c r="J31" s="609"/>
      <c r="K31" s="609"/>
      <c r="L31" s="609"/>
      <c r="M31" s="609"/>
      <c r="N31" s="610">
        <f ca="1">N30/N8</f>
        <v>2.2677732611441481</v>
      </c>
      <c r="O31" s="581"/>
      <c r="P31" s="581"/>
      <c r="Q31" s="581"/>
      <c r="R31" s="581"/>
      <c r="S31" s="581"/>
      <c r="T31" s="581"/>
      <c r="U31" s="581"/>
      <c r="V31" s="581"/>
    </row>
    <row r="32" spans="1:22 16383:16383" ht="13.15">
      <c r="A32" s="572"/>
      <c r="B32" s="593" t="s">
        <v>131</v>
      </c>
      <c r="C32" s="585"/>
      <c r="D32" s="585"/>
      <c r="E32" s="585"/>
      <c r="F32" s="585"/>
      <c r="G32" s="585"/>
      <c r="H32" s="581"/>
      <c r="I32" s="581"/>
      <c r="J32" s="581"/>
      <c r="K32" s="581"/>
      <c r="L32" s="581"/>
      <c r="M32" s="581"/>
      <c r="N32" s="610">
        <f ca="1">N30/N11</f>
        <v>9.5764449955398732</v>
      </c>
      <c r="O32" s="581"/>
      <c r="P32" s="581"/>
      <c r="Q32" s="581"/>
      <c r="R32" s="581"/>
      <c r="S32" s="581"/>
      <c r="T32" s="581"/>
      <c r="U32" s="581"/>
      <c r="V32" s="581"/>
    </row>
    <row r="33" spans="1:22" ht="13.5" thickBot="1">
      <c r="A33" s="572"/>
      <c r="B33" s="581"/>
      <c r="C33" s="581"/>
      <c r="D33" s="581"/>
      <c r="E33" s="581"/>
      <c r="F33" s="600"/>
      <c r="G33" s="581"/>
      <c r="H33" s="581"/>
      <c r="I33" s="581"/>
      <c r="J33" s="581"/>
      <c r="K33" s="581"/>
      <c r="L33" s="581"/>
      <c r="M33" s="581"/>
      <c r="N33" s="581"/>
      <c r="O33" s="581"/>
      <c r="P33" s="581"/>
      <c r="Q33" s="581"/>
      <c r="R33" s="581"/>
      <c r="S33" s="581"/>
      <c r="T33" s="581"/>
      <c r="U33" s="581"/>
      <c r="V33" s="581"/>
    </row>
    <row r="34" spans="1:22" ht="13.5" thickBot="1">
      <c r="A34" s="572"/>
      <c r="B34" s="611" t="s">
        <v>132</v>
      </c>
      <c r="C34" s="612"/>
      <c r="D34" s="581"/>
      <c r="E34" s="581"/>
      <c r="F34" s="581"/>
      <c r="G34" s="581"/>
      <c r="H34" s="581"/>
      <c r="I34" s="581"/>
      <c r="J34" s="581"/>
      <c r="K34" s="581"/>
      <c r="L34" s="581"/>
      <c r="M34" s="581"/>
      <c r="N34" s="581"/>
      <c r="O34" s="581"/>
      <c r="P34" s="581"/>
      <c r="Q34" s="581"/>
      <c r="R34" s="581"/>
      <c r="S34" s="581"/>
      <c r="T34" s="581"/>
      <c r="U34" s="581"/>
      <c r="V34" s="581"/>
    </row>
    <row r="35" spans="1:22" ht="13.15">
      <c r="A35" s="572"/>
      <c r="B35" s="613" t="s">
        <v>133</v>
      </c>
      <c r="C35" s="614">
        <f ca="1">SUM(E29:N29)</f>
        <v>623.71101727274049</v>
      </c>
      <c r="D35" s="581"/>
      <c r="E35" s="581"/>
      <c r="F35" s="581"/>
      <c r="G35" s="581"/>
      <c r="H35" s="581"/>
      <c r="I35" s="581"/>
      <c r="J35" s="581"/>
      <c r="K35" s="581"/>
      <c r="L35" s="581"/>
      <c r="M35" s="581"/>
      <c r="N35" s="581"/>
      <c r="O35" s="581"/>
      <c r="P35" s="581"/>
      <c r="Q35" s="581"/>
      <c r="R35" s="581"/>
      <c r="S35" s="581"/>
      <c r="T35" s="581"/>
      <c r="U35" s="581"/>
      <c r="V35" s="581"/>
    </row>
    <row r="36" spans="1:22" ht="13.15">
      <c r="A36" s="572"/>
      <c r="B36" s="615" t="s">
        <v>134</v>
      </c>
      <c r="C36" s="616">
        <f ca="1">N30/(1+C48)^N28</f>
        <v>1493.6321449613272</v>
      </c>
      <c r="D36" s="581"/>
      <c r="E36" s="581"/>
      <c r="F36" s="581"/>
      <c r="G36" s="581"/>
      <c r="H36" s="581"/>
      <c r="I36" s="581"/>
      <c r="J36" s="581"/>
      <c r="K36" s="581"/>
      <c r="L36" s="581"/>
      <c r="M36" s="581"/>
      <c r="N36" s="581"/>
      <c r="O36" s="581"/>
      <c r="P36" s="581"/>
      <c r="Q36" s="581"/>
      <c r="R36" s="581"/>
      <c r="S36" s="581"/>
      <c r="T36" s="581"/>
      <c r="U36" s="581"/>
      <c r="V36" s="581"/>
    </row>
    <row r="37" spans="1:22" ht="13.5" customHeight="1">
      <c r="A37" s="572"/>
      <c r="B37" s="617" t="s">
        <v>135</v>
      </c>
      <c r="C37" s="618">
        <f ca="1">SUM(C35:C36)</f>
        <v>2117.3431622340677</v>
      </c>
      <c r="D37" s="581"/>
      <c r="E37" s="581"/>
      <c r="F37" s="581"/>
      <c r="G37" s="581"/>
      <c r="H37" s="581"/>
      <c r="I37" s="581"/>
      <c r="J37" s="581"/>
      <c r="K37" s="581"/>
      <c r="L37" s="581"/>
      <c r="M37" s="581"/>
      <c r="N37" s="581"/>
      <c r="O37" s="581"/>
      <c r="P37" s="581"/>
      <c r="Q37" s="581"/>
      <c r="R37" s="581"/>
      <c r="S37" s="581"/>
      <c r="T37" s="581"/>
      <c r="U37" s="581"/>
      <c r="V37" s="581"/>
    </row>
    <row r="38" spans="1:22" ht="13.5" customHeight="1">
      <c r="A38" s="572"/>
      <c r="B38" s="615" t="s">
        <v>650</v>
      </c>
      <c r="C38" s="619">
        <f>BS!FA100</f>
        <v>170.48055307199783</v>
      </c>
      <c r="D38" s="581"/>
      <c r="E38" s="581"/>
      <c r="F38" s="581"/>
      <c r="G38" s="581"/>
      <c r="H38" s="581"/>
      <c r="I38" s="581"/>
      <c r="J38" s="581"/>
      <c r="K38" s="581"/>
      <c r="L38" s="581"/>
      <c r="M38" s="581"/>
      <c r="N38" s="581"/>
      <c r="O38" s="581"/>
      <c r="P38" s="581"/>
      <c r="Q38" s="581"/>
      <c r="R38" s="581"/>
      <c r="S38" s="581"/>
      <c r="T38" s="581"/>
      <c r="U38" s="581"/>
      <c r="V38" s="581"/>
    </row>
    <row r="39" spans="1:22" ht="13.15">
      <c r="A39" s="572"/>
      <c r="B39" s="615" t="s">
        <v>651</v>
      </c>
      <c r="C39" s="619">
        <f>BS!FA99</f>
        <v>341.57059999999996</v>
      </c>
      <c r="D39" s="581"/>
      <c r="E39" s="581"/>
      <c r="F39" s="581"/>
      <c r="G39" s="581"/>
      <c r="H39" s="581"/>
      <c r="I39" s="581"/>
      <c r="J39" s="581"/>
      <c r="K39" s="581"/>
      <c r="L39" s="581"/>
      <c r="M39" s="581"/>
      <c r="N39" s="581"/>
      <c r="O39" s="581"/>
      <c r="P39" s="581"/>
      <c r="Q39" s="581"/>
      <c r="R39" s="581"/>
      <c r="S39" s="581"/>
      <c r="T39" s="581"/>
      <c r="U39" s="581"/>
      <c r="V39" s="581"/>
    </row>
    <row r="40" spans="1:22" ht="13.15">
      <c r="A40" s="572"/>
      <c r="B40" s="615" t="s">
        <v>136</v>
      </c>
      <c r="C40" s="619">
        <f>BS!FA59</f>
        <v>0</v>
      </c>
      <c r="D40" s="581"/>
      <c r="E40" s="581"/>
      <c r="F40" s="581"/>
      <c r="G40" s="581"/>
      <c r="H40" s="581"/>
      <c r="I40" s="581"/>
      <c r="J40" s="581"/>
      <c r="K40" s="581"/>
      <c r="L40" s="581"/>
      <c r="M40" s="581"/>
      <c r="N40" s="581"/>
      <c r="O40" s="581"/>
      <c r="P40" s="581"/>
      <c r="Q40" s="581"/>
      <c r="R40" s="581"/>
      <c r="S40" s="581"/>
      <c r="T40" s="581"/>
      <c r="U40" s="581"/>
      <c r="V40" s="581"/>
    </row>
    <row r="41" spans="1:22" ht="13.15">
      <c r="A41" s="572"/>
      <c r="B41" s="617" t="s">
        <v>137</v>
      </c>
      <c r="C41" s="618">
        <f ca="1">C37+C38-C39</f>
        <v>1946.2531153060654</v>
      </c>
      <c r="D41" s="581"/>
      <c r="E41" s="581"/>
      <c r="F41" s="581"/>
      <c r="G41" s="581"/>
      <c r="H41" s="581"/>
      <c r="I41" s="581"/>
      <c r="J41" s="581"/>
      <c r="K41" s="581"/>
      <c r="L41" s="581"/>
      <c r="M41" s="581"/>
      <c r="N41" s="581"/>
      <c r="O41" s="581"/>
      <c r="P41" s="581"/>
      <c r="Q41" s="581"/>
      <c r="R41" s="581"/>
      <c r="S41" s="581"/>
      <c r="T41" s="581"/>
      <c r="U41" s="581"/>
      <c r="V41" s="581"/>
    </row>
    <row r="42" spans="1:22" ht="13.5" thickBot="1">
      <c r="A42" s="572"/>
      <c r="B42" s="615" t="s">
        <v>138</v>
      </c>
      <c r="C42" s="616">
        <f>IS!FA65</f>
        <v>128.88099999999997</v>
      </c>
      <c r="D42" s="581"/>
      <c r="E42" s="581"/>
      <c r="F42" s="581"/>
      <c r="G42" s="581"/>
      <c r="H42" s="581"/>
      <c r="I42" s="581"/>
      <c r="J42" s="581"/>
      <c r="K42" s="581"/>
      <c r="L42" s="581"/>
      <c r="M42" s="581"/>
      <c r="N42" s="581"/>
      <c r="O42" s="581"/>
      <c r="P42" s="620"/>
      <c r="Q42" s="581"/>
      <c r="R42" s="581"/>
      <c r="S42" s="581"/>
      <c r="T42" s="581"/>
      <c r="U42" s="581"/>
      <c r="V42" s="581"/>
    </row>
    <row r="43" spans="1:22" ht="13.5" thickBot="1">
      <c r="A43" s="572"/>
      <c r="B43" s="621" t="s">
        <v>580</v>
      </c>
      <c r="C43" s="622">
        <f ca="1">C41/C42</f>
        <v>15.1011639831012</v>
      </c>
      <c r="D43" s="581"/>
      <c r="E43" s="581"/>
      <c r="F43" s="581"/>
      <c r="G43" s="581"/>
      <c r="H43" s="581"/>
      <c r="I43" s="581"/>
      <c r="J43" s="581"/>
      <c r="K43" s="581"/>
      <c r="L43" s="581"/>
      <c r="M43" s="581"/>
      <c r="N43" s="581"/>
      <c r="O43" s="581"/>
      <c r="P43" s="581"/>
      <c r="Q43" s="581"/>
      <c r="R43" s="581"/>
      <c r="S43" s="581"/>
      <c r="T43" s="581"/>
      <c r="U43" s="581"/>
      <c r="V43" s="581"/>
    </row>
    <row r="44" spans="1:22" ht="13.15">
      <c r="A44" s="572"/>
      <c r="B44" s="617" t="s">
        <v>581</v>
      </c>
      <c r="C44" s="623" cm="1">
        <f t="array" ref="C44">_xll.FDS(A1,"FG_PRICE(NOW)")</f>
        <v>11.35</v>
      </c>
      <c r="D44" s="581"/>
      <c r="E44" s="581"/>
      <c r="F44" s="581"/>
      <c r="G44" s="581"/>
      <c r="H44" s="581"/>
      <c r="I44" s="581"/>
      <c r="J44" s="581"/>
      <c r="K44" s="581"/>
      <c r="L44" s="581"/>
      <c r="M44" s="581"/>
      <c r="N44" s="581"/>
      <c r="O44" s="581"/>
      <c r="P44" s="581"/>
      <c r="Q44" s="581"/>
      <c r="R44" s="581"/>
      <c r="S44" s="581"/>
      <c r="T44" s="581"/>
      <c r="U44" s="581"/>
      <c r="V44" s="581"/>
    </row>
    <row r="45" spans="1:22" ht="13.15">
      <c r="A45" s="572"/>
      <c r="B45" s="617" t="s">
        <v>582</v>
      </c>
      <c r="C45" s="624">
        <f ca="1">C43/C44-1</f>
        <v>0.33049902934812336</v>
      </c>
      <c r="D45" s="581"/>
      <c r="E45" s="581"/>
      <c r="F45" s="581"/>
      <c r="G45" s="581"/>
      <c r="H45" s="581"/>
      <c r="I45" s="581"/>
      <c r="J45" s="581"/>
      <c r="K45" s="581"/>
      <c r="L45" s="581"/>
      <c r="M45" s="581"/>
      <c r="N45" s="581"/>
      <c r="O45" s="581"/>
      <c r="P45" s="581"/>
      <c r="Q45" s="581"/>
      <c r="R45" s="581"/>
      <c r="S45" s="581"/>
      <c r="T45" s="581"/>
      <c r="U45" s="581"/>
      <c r="V45" s="581"/>
    </row>
    <row r="46" spans="1:22" ht="13.5" thickBot="1">
      <c r="A46" s="572"/>
      <c r="B46" s="581"/>
      <c r="C46" s="581"/>
      <c r="D46" s="581"/>
      <c r="E46" s="581"/>
      <c r="F46" s="581"/>
      <c r="G46" s="581"/>
      <c r="H46" s="581"/>
      <c r="I46" s="581"/>
      <c r="J46" s="581"/>
      <c r="K46" s="581"/>
      <c r="L46" s="581"/>
      <c r="M46" s="581"/>
      <c r="N46" s="581"/>
      <c r="O46" s="581"/>
      <c r="P46" s="581"/>
      <c r="Q46" s="581"/>
      <c r="R46" s="581"/>
      <c r="S46" s="581"/>
      <c r="T46" s="581"/>
      <c r="U46" s="581"/>
      <c r="V46" s="581"/>
    </row>
    <row r="47" spans="1:22" ht="13.5" thickBot="1">
      <c r="A47" s="572"/>
      <c r="B47" s="611" t="s">
        <v>139</v>
      </c>
      <c r="C47" s="612"/>
      <c r="D47" s="581"/>
      <c r="E47" s="581"/>
      <c r="F47" s="581"/>
      <c r="G47" s="581"/>
      <c r="H47" s="581"/>
      <c r="I47" s="581"/>
      <c r="J47" s="581"/>
      <c r="K47" s="581"/>
      <c r="L47" s="581"/>
      <c r="M47" s="581"/>
      <c r="N47" s="581"/>
      <c r="O47" s="581"/>
      <c r="P47" s="581"/>
      <c r="Q47" s="581"/>
      <c r="R47" s="581"/>
      <c r="S47" s="581"/>
      <c r="T47" s="581"/>
      <c r="U47" s="581"/>
      <c r="V47" s="581"/>
    </row>
    <row r="48" spans="1:22" ht="13.5" thickBot="1">
      <c r="A48" s="572"/>
      <c r="B48" s="625" t="s">
        <v>140</v>
      </c>
      <c r="C48" s="626">
        <f>(C55*C57)+(C60*C58)</f>
        <v>9.8646792902475466E-2</v>
      </c>
      <c r="D48" s="581"/>
      <c r="E48" s="581"/>
      <c r="F48" s="581"/>
      <c r="G48" s="581"/>
      <c r="H48" s="581"/>
      <c r="I48" s="581"/>
      <c r="J48" s="581"/>
      <c r="K48" s="581"/>
      <c r="L48" s="581"/>
      <c r="M48" s="581"/>
      <c r="N48" s="581"/>
      <c r="O48" s="581"/>
      <c r="P48" s="581"/>
      <c r="Q48" s="581"/>
      <c r="R48" s="581"/>
      <c r="S48" s="581"/>
      <c r="T48" s="581"/>
      <c r="U48" s="581"/>
      <c r="V48" s="581"/>
    </row>
    <row r="49" spans="1:22" ht="13.5" thickBot="1">
      <c r="A49" s="572"/>
      <c r="B49" s="625" t="s">
        <v>141</v>
      </c>
      <c r="C49" s="627">
        <v>0.03</v>
      </c>
      <c r="D49" s="581"/>
      <c r="E49" s="581"/>
      <c r="F49" s="581"/>
      <c r="G49" s="581"/>
      <c r="H49" s="581"/>
      <c r="I49" s="581"/>
      <c r="J49" s="581"/>
      <c r="K49" s="581"/>
      <c r="L49" s="581"/>
      <c r="M49" s="581"/>
      <c r="N49" s="581"/>
      <c r="O49" s="581"/>
      <c r="P49" s="581"/>
      <c r="Q49" s="581"/>
      <c r="R49" s="581"/>
      <c r="S49" s="581"/>
      <c r="T49" s="581"/>
      <c r="U49" s="581"/>
      <c r="V49" s="581"/>
    </row>
    <row r="50" spans="1:22" ht="13.5" thickBot="1">
      <c r="B50" s="628"/>
      <c r="C50" s="628"/>
      <c r="D50" s="581"/>
      <c r="E50" s="581"/>
      <c r="F50" s="581"/>
      <c r="G50" s="581"/>
      <c r="H50" s="581"/>
      <c r="I50" s="581"/>
      <c r="J50" s="581"/>
      <c r="K50" s="581"/>
      <c r="L50" s="581"/>
      <c r="M50" s="581"/>
      <c r="N50" s="581"/>
      <c r="O50" s="581"/>
      <c r="P50" s="581"/>
      <c r="Q50" s="581"/>
      <c r="R50" s="581"/>
      <c r="S50" s="581"/>
      <c r="T50" s="581"/>
      <c r="U50" s="581"/>
      <c r="V50" s="581"/>
    </row>
    <row r="51" spans="1:22" ht="13.5" thickBot="1">
      <c r="B51" s="611" t="s">
        <v>139</v>
      </c>
      <c r="C51" s="612"/>
      <c r="D51" s="581"/>
      <c r="E51" s="581"/>
      <c r="F51" s="581"/>
      <c r="G51" s="581"/>
      <c r="H51" s="581"/>
      <c r="I51" s="581"/>
      <c r="J51" s="581"/>
      <c r="K51" s="581"/>
      <c r="L51" s="581"/>
      <c r="M51" s="581"/>
      <c r="N51" s="581"/>
      <c r="O51" s="581"/>
      <c r="P51" s="581"/>
      <c r="Q51" s="581"/>
      <c r="R51" s="581"/>
      <c r="S51" s="581"/>
      <c r="T51" s="581"/>
      <c r="U51" s="581"/>
      <c r="V51" s="581"/>
    </row>
    <row r="52" spans="1:22" ht="13.5" thickBot="1">
      <c r="B52" s="625" t="s">
        <v>414</v>
      </c>
      <c r="C52" s="626">
        <v>4.4299999999999999E-2</v>
      </c>
      <c r="D52" s="581"/>
      <c r="E52" s="581"/>
      <c r="F52" s="581"/>
      <c r="G52" s="581"/>
      <c r="H52" s="581"/>
      <c r="I52" s="581"/>
      <c r="J52" s="581"/>
      <c r="K52" s="581"/>
      <c r="L52" s="581"/>
      <c r="M52" s="581"/>
      <c r="N52" s="581"/>
      <c r="O52" s="581"/>
      <c r="P52" s="581"/>
      <c r="Q52" s="581"/>
      <c r="R52" s="581"/>
      <c r="S52" s="581"/>
      <c r="T52" s="581"/>
      <c r="U52" s="581"/>
      <c r="V52" s="581"/>
    </row>
    <row r="53" spans="1:22" ht="13.5" thickBot="1">
      <c r="B53" s="625" t="s">
        <v>583</v>
      </c>
      <c r="C53" s="626" cm="1">
        <f t="array" ref="C53">_xll.FDS("CMTUS10Y-FDS","FG_YIELD(0,0,,,""YTM"")")/100</f>
        <v>4.0399999999999998E-2</v>
      </c>
      <c r="D53" s="581"/>
      <c r="E53" s="581"/>
      <c r="F53" s="581"/>
      <c r="G53" s="581"/>
      <c r="H53" s="581"/>
      <c r="I53" s="581"/>
      <c r="J53" s="581"/>
      <c r="K53" s="581"/>
      <c r="L53" s="581"/>
      <c r="M53" s="581"/>
      <c r="N53" s="581"/>
      <c r="O53" s="581"/>
      <c r="P53" s="581"/>
      <c r="Q53" s="581"/>
      <c r="R53" s="581"/>
      <c r="S53" s="581"/>
      <c r="T53" s="581"/>
      <c r="U53" s="581"/>
      <c r="V53" s="581"/>
    </row>
    <row r="54" spans="1:22" ht="13.5" thickBot="1">
      <c r="B54" s="625" t="s">
        <v>659</v>
      </c>
      <c r="C54" s="835">
        <v>1.5</v>
      </c>
      <c r="D54" s="581"/>
      <c r="E54" s="581"/>
      <c r="F54" s="581"/>
      <c r="G54" s="581"/>
      <c r="H54" s="581"/>
      <c r="I54" s="581"/>
      <c r="J54" s="581"/>
      <c r="K54" s="581"/>
      <c r="L54" s="581"/>
      <c r="M54" s="581"/>
      <c r="N54" s="581"/>
      <c r="O54" s="581"/>
      <c r="P54" s="581"/>
      <c r="Q54" s="581"/>
      <c r="R54" s="581"/>
      <c r="S54" s="581"/>
      <c r="T54" s="581"/>
      <c r="U54" s="581"/>
      <c r="V54" s="581"/>
    </row>
    <row r="55" spans="1:22" ht="13.5" thickBot="1">
      <c r="B55" s="625" t="s">
        <v>410</v>
      </c>
      <c r="C55" s="713">
        <f>C53+(C54*C52)</f>
        <v>0.10685</v>
      </c>
      <c r="D55" s="581"/>
      <c r="E55" s="581"/>
      <c r="F55" s="581"/>
      <c r="G55" s="581"/>
      <c r="H55" s="581"/>
      <c r="I55" s="581"/>
      <c r="J55" s="581"/>
      <c r="K55" s="581"/>
      <c r="L55" s="581"/>
      <c r="M55" s="581"/>
      <c r="N55" s="581"/>
      <c r="O55" s="581"/>
      <c r="P55" s="581"/>
      <c r="Q55" s="581"/>
      <c r="R55" s="581"/>
      <c r="S55" s="581"/>
      <c r="T55" s="581"/>
      <c r="U55" s="581"/>
      <c r="V55" s="581"/>
    </row>
    <row r="56" spans="1:22" ht="13.5" thickBot="1">
      <c r="B56" s="625" t="s">
        <v>584</v>
      </c>
      <c r="C56" s="629">
        <f>C44*C42</f>
        <v>1462.7993499999995</v>
      </c>
      <c r="D56" s="581"/>
      <c r="E56" s="581"/>
      <c r="F56" s="581"/>
      <c r="G56" s="581"/>
      <c r="H56" s="581"/>
      <c r="I56" s="581"/>
      <c r="J56" s="581"/>
      <c r="K56" s="581"/>
      <c r="L56" s="581"/>
      <c r="M56" s="581"/>
      <c r="N56" s="581"/>
      <c r="O56" s="581"/>
      <c r="P56" s="581"/>
      <c r="Q56" s="581"/>
      <c r="R56" s="581"/>
      <c r="S56" s="581"/>
      <c r="T56" s="581"/>
      <c r="U56" s="581"/>
      <c r="V56" s="581"/>
    </row>
    <row r="57" spans="1:22" ht="13.5" thickBot="1">
      <c r="B57" s="625" t="s">
        <v>585</v>
      </c>
      <c r="C57" s="630">
        <f>C56/(C56+C39)</f>
        <v>0.81069813316276962</v>
      </c>
      <c r="D57" s="581"/>
      <c r="E57" s="581"/>
      <c r="F57" s="581"/>
      <c r="G57" s="581"/>
      <c r="H57" s="581"/>
      <c r="I57" s="581"/>
      <c r="J57" s="581"/>
      <c r="K57" s="581"/>
      <c r="L57" s="581"/>
      <c r="M57" s="581"/>
      <c r="N57" s="581"/>
      <c r="O57" s="581"/>
      <c r="P57" s="581"/>
      <c r="Q57" s="581"/>
      <c r="R57" s="581"/>
      <c r="S57" s="581"/>
      <c r="T57" s="581"/>
      <c r="U57" s="581"/>
      <c r="V57" s="581"/>
    </row>
    <row r="58" spans="1:22" ht="13.5" thickBot="1">
      <c r="B58" s="625" t="s">
        <v>586</v>
      </c>
      <c r="C58" s="630">
        <f>1-C57</f>
        <v>0.18930186683723038</v>
      </c>
      <c r="D58" s="581"/>
      <c r="E58" s="581"/>
      <c r="F58" s="581"/>
      <c r="G58" s="581"/>
      <c r="H58" s="581"/>
      <c r="I58" s="581"/>
      <c r="J58" s="581"/>
      <c r="K58" s="581"/>
      <c r="L58" s="581"/>
      <c r="M58" s="581"/>
      <c r="N58" s="581"/>
      <c r="O58" s="581"/>
      <c r="P58" s="581"/>
      <c r="Q58" s="581"/>
      <c r="R58" s="581"/>
      <c r="S58" s="581"/>
      <c r="T58" s="581"/>
      <c r="U58" s="581"/>
      <c r="V58" s="581"/>
    </row>
    <row r="59" spans="1:22" ht="13.5" thickBot="1">
      <c r="B59" s="631" t="s">
        <v>411</v>
      </c>
      <c r="C59" s="632">
        <f>C53+0.04</f>
        <v>8.0399999999999999E-2</v>
      </c>
      <c r="D59" s="581"/>
      <c r="E59" s="581"/>
      <c r="F59" s="581"/>
      <c r="G59" s="581"/>
      <c r="H59" s="581"/>
      <c r="I59" s="581"/>
      <c r="J59" s="581"/>
      <c r="K59" s="581"/>
      <c r="L59" s="581"/>
      <c r="M59" s="581"/>
      <c r="N59" s="581"/>
      <c r="O59" s="581"/>
      <c r="P59" s="581"/>
      <c r="Q59" s="581"/>
      <c r="R59" s="581"/>
      <c r="S59" s="581"/>
      <c r="T59" s="581"/>
      <c r="U59" s="581"/>
      <c r="V59" s="581"/>
    </row>
    <row r="60" spans="1:22" ht="13.5" thickBot="1">
      <c r="B60" s="631" t="s">
        <v>587</v>
      </c>
      <c r="C60" s="632">
        <f>C59*(1-0.21)</f>
        <v>6.3516000000000003E-2</v>
      </c>
      <c r="D60" s="581"/>
      <c r="E60" s="581"/>
      <c r="F60" s="581"/>
      <c r="G60" s="581"/>
      <c r="H60" s="581"/>
      <c r="I60" s="581"/>
      <c r="J60" s="581"/>
      <c r="K60" s="581"/>
      <c r="L60" s="581"/>
      <c r="M60" s="581"/>
      <c r="N60" s="581"/>
      <c r="O60" s="581"/>
      <c r="P60" s="581"/>
      <c r="Q60" s="581"/>
      <c r="R60" s="581"/>
      <c r="S60" s="581"/>
      <c r="T60" s="581"/>
      <c r="U60" s="581"/>
      <c r="V60" s="581"/>
    </row>
    <row r="61" spans="1:22" ht="13.5" thickBot="1">
      <c r="B61" s="581"/>
      <c r="C61" s="581"/>
      <c r="D61" s="581"/>
      <c r="E61" s="581"/>
      <c r="F61" s="581"/>
      <c r="G61" s="581"/>
      <c r="H61" s="581"/>
      <c r="I61" s="581"/>
      <c r="J61" s="581"/>
      <c r="K61" s="581"/>
      <c r="L61" s="581"/>
      <c r="M61" s="581"/>
      <c r="N61" s="581"/>
      <c r="O61" s="581"/>
      <c r="P61" s="581"/>
      <c r="Q61" s="581"/>
      <c r="R61" s="581"/>
      <c r="S61" s="581"/>
      <c r="T61" s="581"/>
      <c r="U61" s="581"/>
      <c r="V61" s="581"/>
    </row>
    <row r="62" spans="1:22" ht="13.5" thickBot="1">
      <c r="B62" s="706" t="s">
        <v>652</v>
      </c>
      <c r="C62" s="612"/>
      <c r="D62" s="581"/>
      <c r="E62" s="581"/>
      <c r="F62" s="581"/>
      <c r="G62" s="581"/>
      <c r="H62" s="581"/>
      <c r="I62" s="581"/>
      <c r="J62" s="581"/>
      <c r="K62" s="581"/>
      <c r="L62" s="581"/>
      <c r="M62" s="581"/>
      <c r="N62" s="581"/>
      <c r="O62" s="581"/>
      <c r="P62" s="581"/>
      <c r="Q62" s="581"/>
      <c r="R62" s="581"/>
      <c r="S62" s="581"/>
      <c r="T62" s="581"/>
      <c r="U62" s="581"/>
      <c r="V62" s="581"/>
    </row>
    <row r="63" spans="1:22" ht="13.5" thickBot="1">
      <c r="B63" s="707" t="str">
        <f>E6&amp;" EV/EBITDA"</f>
        <v>2026 EV/EBITDA</v>
      </c>
      <c r="C63" s="708">
        <f ca="1">C37/E11</f>
        <v>37.7642360268242</v>
      </c>
      <c r="D63" s="581"/>
      <c r="E63" s="581"/>
      <c r="F63" s="581"/>
      <c r="G63" s="581"/>
      <c r="H63" s="581"/>
      <c r="I63" s="581"/>
      <c r="J63" s="581"/>
      <c r="K63" s="581"/>
      <c r="L63" s="581"/>
      <c r="M63" s="581"/>
      <c r="N63" s="581"/>
      <c r="O63" s="581"/>
      <c r="P63" s="581"/>
      <c r="Q63" s="581"/>
      <c r="R63" s="581"/>
      <c r="S63" s="581"/>
      <c r="T63" s="581"/>
      <c r="U63" s="581"/>
      <c r="V63" s="581"/>
    </row>
    <row r="64" spans="1:22" ht="13.5" thickBot="1">
      <c r="B64" s="625" t="str">
        <f>F6&amp;" EV/EBITDA"</f>
        <v>2027 EV/EBITDA</v>
      </c>
      <c r="C64" s="708">
        <f ca="1">C37/F11</f>
        <v>28.772898267847523</v>
      </c>
      <c r="D64" s="581"/>
      <c r="E64" s="581"/>
      <c r="F64" s="581"/>
      <c r="G64" s="581"/>
      <c r="H64" s="581"/>
      <c r="I64" s="581"/>
      <c r="J64" s="581"/>
      <c r="K64" s="581"/>
      <c r="L64" s="581"/>
      <c r="M64" s="581"/>
      <c r="N64" s="581"/>
      <c r="O64" s="581"/>
      <c r="P64" s="581"/>
      <c r="Q64" s="581"/>
      <c r="R64" s="581"/>
      <c r="S64" s="581"/>
      <c r="T64" s="581"/>
      <c r="U64" s="581"/>
      <c r="V64" s="581"/>
    </row>
    <row r="65" spans="2:22" ht="13.5" thickBot="1">
      <c r="B65" s="707" t="str">
        <f>E6&amp;" EV/Sales"</f>
        <v>2026 EV/Sales</v>
      </c>
      <c r="C65" s="708">
        <f ca="1">C37/E8</f>
        <v>2.6554315614229886</v>
      </c>
      <c r="D65" s="581"/>
      <c r="E65" s="581"/>
      <c r="F65" s="581"/>
      <c r="G65" s="581"/>
      <c r="H65" s="581"/>
      <c r="I65" s="581"/>
      <c r="J65" s="581"/>
      <c r="K65" s="581"/>
      <c r="L65" s="581"/>
      <c r="M65" s="581"/>
      <c r="N65" s="581"/>
      <c r="O65" s="581"/>
      <c r="P65" s="581"/>
      <c r="Q65" s="581"/>
      <c r="R65" s="581"/>
      <c r="S65" s="581"/>
      <c r="T65" s="581"/>
      <c r="U65" s="581"/>
      <c r="V65" s="581"/>
    </row>
    <row r="66" spans="2:22" ht="13.5" thickBot="1">
      <c r="B66" s="625" t="str">
        <f>F6&amp;" EV/Sales"</f>
        <v>2027 EV/Sales</v>
      </c>
      <c r="C66" s="708">
        <f ca="1">C37/F8</f>
        <v>2.4189209940914007</v>
      </c>
    </row>
    <row r="67" spans="2:22" ht="13.5" thickBot="1">
      <c r="B67" s="707" t="str">
        <f>E6&amp;" EV/uFCF"</f>
        <v>2026 EV/uFCF</v>
      </c>
      <c r="C67" s="708">
        <f ca="1">C37/E27</f>
        <v>104.4960816353949</v>
      </c>
    </row>
    <row r="68" spans="2:22" ht="13.5" thickBot="1">
      <c r="B68" s="625" t="str">
        <f>F6&amp;" EV/uFCF"</f>
        <v>2027 EV/uFCF</v>
      </c>
      <c r="C68" s="708">
        <f ca="1">C37/F27</f>
        <v>60.948832669742536</v>
      </c>
    </row>
  </sheetData>
  <mergeCells count="2">
    <mergeCell ref="P7:V7"/>
    <mergeCell ref="P13:V13"/>
  </mergeCells>
  <dataValidations count="1">
    <dataValidation type="list" allowBlank="1" showInputMessage="1" showErrorMessage="1" sqref="A3" xr:uid="{BD02FD20-27BF-4FF5-A095-4E3256F72B9B}">
      <formula1>"Base case, Upside,Downside"</formula1>
    </dataValidation>
  </dataValidations>
  <pageMargins left="0.7" right="0.7" top="0.75" bottom="0.75" header="0.3" footer="0.3"/>
  <pageSetup orientation="portrait" r:id="rId1"/>
  <headerFooter>
    <oddFooter>&amp;L_x000D_&amp;1#&amp;"Calibri"&amp;10&amp;K000000 Sensitivity: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327A8-FCD3-4AFD-B6DC-FD062D6A0AB3}">
  <sheetPr>
    <tabColor theme="5" tint="0.59999389629810485"/>
  </sheetPr>
  <dimension ref="A1:CS2579"/>
  <sheetViews>
    <sheetView zoomScale="70" zoomScaleNormal="70" workbookViewId="0">
      <selection activeCell="E33" sqref="E33"/>
    </sheetView>
  </sheetViews>
  <sheetFormatPr defaultColWidth="9.15234375" defaultRowHeight="13.15"/>
  <cols>
    <col min="1" max="1" width="30.3046875" style="166" customWidth="1"/>
    <col min="2" max="2" width="17.3828125" style="166" customWidth="1"/>
    <col min="3" max="3" width="17.69140625" style="166" customWidth="1"/>
    <col min="4" max="4" width="23.15234375" style="166" customWidth="1"/>
    <col min="5" max="5" width="19" style="166" customWidth="1"/>
    <col min="6" max="6" width="17.3828125" style="166" customWidth="1"/>
    <col min="7" max="7" width="0.69140625" style="166" customWidth="1"/>
    <col min="8" max="8" width="30.3046875" style="166" customWidth="1"/>
    <col min="9" max="9" width="21.15234375" style="166" customWidth="1"/>
    <col min="10" max="10" width="16.69140625" style="187" customWidth="1"/>
    <col min="11" max="11" width="17.53515625" style="166" customWidth="1"/>
    <col min="12" max="12" width="16.69140625" style="166" customWidth="1"/>
    <col min="13" max="13" width="22" style="188" customWidth="1"/>
    <col min="14" max="14" width="19.84375" style="164" customWidth="1"/>
    <col min="15" max="15" width="2.53515625" style="165" customWidth="1"/>
    <col min="16" max="17" width="7.69140625" style="165" customWidth="1"/>
    <col min="18" max="18" width="2.3828125" style="165" customWidth="1"/>
    <col min="19" max="19" width="14.84375" style="165" customWidth="1"/>
    <col min="20" max="20" width="7.69140625" style="165" customWidth="1"/>
    <col min="21" max="21" width="7.69140625" style="166" customWidth="1"/>
    <col min="22" max="22" width="5.3046875" style="166" customWidth="1"/>
    <col min="23" max="23" width="14.84375" style="166" customWidth="1"/>
    <col min="24" max="24" width="7.15234375" style="166" customWidth="1"/>
    <col min="25" max="25" width="1" style="166" customWidth="1"/>
    <col min="26" max="27" width="9.15234375" style="165"/>
    <col min="28" max="96" width="9.15234375" style="166"/>
    <col min="97" max="97" width="22.69140625" style="166" customWidth="1"/>
    <col min="98" max="98" width="17.84375" style="166" customWidth="1"/>
    <col min="99" max="16384" width="9.15234375" style="166"/>
  </cols>
  <sheetData>
    <row r="1" spans="1:97" ht="22.5" customHeight="1">
      <c r="A1" s="160" t="s">
        <v>176</v>
      </c>
      <c r="B1" s="161" t="s">
        <v>588</v>
      </c>
      <c r="C1" s="162"/>
      <c r="D1" s="948" t="s">
        <v>177</v>
      </c>
      <c r="E1" s="163" t="s">
        <v>178</v>
      </c>
      <c r="F1" s="951"/>
      <c r="G1" s="952"/>
      <c r="H1" s="952"/>
      <c r="I1" s="952"/>
      <c r="J1" s="952"/>
      <c r="K1" s="952"/>
      <c r="L1" s="952"/>
      <c r="M1" s="953"/>
      <c r="Y1" s="167"/>
      <c r="CS1" s="168" t="s">
        <v>179</v>
      </c>
    </row>
    <row r="2" spans="1:97" ht="22.5" customHeight="1">
      <c r="A2" s="169" t="s">
        <v>180</v>
      </c>
      <c r="B2" s="170">
        <v>2024</v>
      </c>
      <c r="C2" s="171"/>
      <c r="D2" s="949"/>
      <c r="E2" s="172"/>
      <c r="F2" s="954"/>
      <c r="G2" s="955"/>
      <c r="H2" s="955"/>
      <c r="I2" s="955"/>
      <c r="J2" s="955"/>
      <c r="K2" s="955"/>
      <c r="L2" s="955"/>
      <c r="M2" s="956"/>
      <c r="Y2" s="167"/>
      <c r="CS2" s="168"/>
    </row>
    <row r="3" spans="1:97" ht="26.25">
      <c r="A3" s="173" t="s">
        <v>181</v>
      </c>
      <c r="B3" s="174">
        <v>2025</v>
      </c>
      <c r="C3" s="171"/>
      <c r="D3" s="949"/>
      <c r="E3" s="175" t="s">
        <v>182</v>
      </c>
      <c r="F3" s="954"/>
      <c r="G3" s="955"/>
      <c r="H3" s="955"/>
      <c r="I3" s="955"/>
      <c r="J3" s="955"/>
      <c r="K3" s="955"/>
      <c r="L3" s="955"/>
      <c r="M3" s="956"/>
      <c r="Y3" s="167"/>
      <c r="Z3" s="176"/>
      <c r="AA3" s="176"/>
      <c r="CS3" s="168" t="s">
        <v>183</v>
      </c>
    </row>
    <row r="4" spans="1:97" ht="22.5" customHeight="1" thickBot="1">
      <c r="A4" s="177" t="s">
        <v>184</v>
      </c>
      <c r="B4" s="178" t="s">
        <v>209</v>
      </c>
      <c r="C4" s="179" t="str">
        <f>IF(ISERROR(VALUE(LEFT(B4,1))),"Quarter inputted incorrectly.  Type in with number first. Example. 1Q","")</f>
        <v/>
      </c>
      <c r="D4" s="950"/>
      <c r="E4" s="180" t="s">
        <v>185</v>
      </c>
      <c r="F4" s="957"/>
      <c r="G4" s="958"/>
      <c r="H4" s="958"/>
      <c r="I4" s="958"/>
      <c r="J4" s="958"/>
      <c r="K4" s="958"/>
      <c r="L4" s="958"/>
      <c r="M4" s="959"/>
      <c r="T4" s="181"/>
      <c r="U4" s="182"/>
      <c r="V4" s="182"/>
      <c r="W4" s="182"/>
      <c r="X4" s="182"/>
      <c r="Y4" s="167"/>
      <c r="Z4" s="176"/>
      <c r="AA4" s="176"/>
      <c r="CS4" s="168" t="s">
        <v>186</v>
      </c>
    </row>
    <row r="5" spans="1:97" ht="13.5" thickBot="1">
      <c r="A5" s="183"/>
      <c r="B5" s="184"/>
      <c r="C5" s="167"/>
      <c r="D5" s="167"/>
      <c r="E5" s="167"/>
      <c r="F5" s="185"/>
      <c r="G5" s="186"/>
      <c r="U5" s="186"/>
      <c r="V5" s="186"/>
      <c r="W5" s="186"/>
      <c r="X5" s="186"/>
      <c r="Y5" s="167"/>
      <c r="Z5" s="176"/>
      <c r="AA5" s="176"/>
      <c r="CS5" s="168" t="s">
        <v>187</v>
      </c>
    </row>
    <row r="6" spans="1:97" ht="41.25" customHeight="1" thickBot="1">
      <c r="A6" s="189"/>
      <c r="B6" s="190" t="s">
        <v>188</v>
      </c>
      <c r="C6" s="191" t="s">
        <v>189</v>
      </c>
      <c r="D6" s="192"/>
      <c r="E6" s="190" t="s">
        <v>188</v>
      </c>
      <c r="F6" s="193" t="s">
        <v>189</v>
      </c>
      <c r="G6" s="186"/>
      <c r="H6" s="194" t="s">
        <v>190</v>
      </c>
      <c r="I6" s="195"/>
      <c r="J6" s="946" t="s">
        <v>191</v>
      </c>
      <c r="K6" s="946"/>
      <c r="L6" s="946"/>
      <c r="M6" s="947"/>
      <c r="U6" s="186"/>
      <c r="V6" s="186"/>
      <c r="W6" s="186"/>
      <c r="X6" s="186"/>
      <c r="Y6" s="167"/>
      <c r="Z6" s="176"/>
      <c r="AA6" s="176"/>
      <c r="CS6" s="168"/>
    </row>
    <row r="7" spans="1:97" ht="30.75" customHeight="1" thickBot="1">
      <c r="A7" s="960" t="s">
        <v>192</v>
      </c>
      <c r="B7" s="961"/>
      <c r="C7" s="961"/>
      <c r="D7" s="961"/>
      <c r="E7" s="961"/>
      <c r="F7" s="962"/>
      <c r="G7" s="186"/>
      <c r="H7" s="196" t="s">
        <v>193</v>
      </c>
      <c r="I7" s="197"/>
      <c r="J7" s="197"/>
      <c r="K7" s="198" t="s">
        <v>194</v>
      </c>
      <c r="L7" s="199" t="s">
        <v>195</v>
      </c>
      <c r="M7" s="200" t="s">
        <v>196</v>
      </c>
      <c r="T7" s="201"/>
      <c r="U7" s="186"/>
      <c r="V7" s="186"/>
      <c r="W7" s="186"/>
      <c r="X7" s="186"/>
      <c r="Y7" s="167"/>
      <c r="Z7" s="176"/>
      <c r="AA7" s="176"/>
      <c r="CS7" s="168" t="s">
        <v>197</v>
      </c>
    </row>
    <row r="8" spans="1:97" ht="21" customHeight="1" thickBot="1">
      <c r="A8" s="202" t="s">
        <v>198</v>
      </c>
      <c r="B8" s="361">
        <v>15</v>
      </c>
      <c r="C8" s="203" t="str">
        <f>_xll.BLUEMATRIX2("/servlet/excelData",$B8, $B$1,"PRICE_TARGET")</f>
        <v>UPDATED: 2/17/2026 3:34:09 PM</v>
      </c>
      <c r="D8" s="204" t="s">
        <v>199</v>
      </c>
      <c r="E8" s="361">
        <v>18</v>
      </c>
      <c r="F8" s="205" t="str">
        <f>_xll.BLUEMATRIX2("/servlet/excelData",$E8, $B$1,"TARGET_HIGH")</f>
        <v>UPDATED: 2/17/2026 3:34:09 PM</v>
      </c>
      <c r="G8" s="186"/>
      <c r="H8" s="303" t="s">
        <v>200</v>
      </c>
      <c r="I8" s="304"/>
      <c r="J8" s="304"/>
      <c r="K8" s="305" t="str">
        <f>VLOOKUP(H8,$A$2466:$B$2566,2,FALSE)</f>
        <v>Rev. (MM)</v>
      </c>
      <c r="L8" s="306" t="s">
        <v>201</v>
      </c>
      <c r="M8" s="307" t="s">
        <v>202</v>
      </c>
      <c r="T8" s="201"/>
      <c r="U8" s="186"/>
      <c r="V8" s="186"/>
      <c r="W8" s="186"/>
      <c r="X8" s="186"/>
      <c r="Y8" s="167"/>
      <c r="Z8" s="176"/>
      <c r="AA8" s="176"/>
      <c r="CS8" s="168"/>
    </row>
    <row r="9" spans="1:97" ht="21" customHeight="1">
      <c r="A9" s="208" t="s">
        <v>203</v>
      </c>
      <c r="B9" s="209" t="s">
        <v>204</v>
      </c>
      <c r="C9" s="210" t="str">
        <f>_xll.BLUEMATRIX2("/servlet/excelData",$B9, $B$1,"JEF_RATING")</f>
        <v>UPDATED: 2/17/2026 3:34:09 PM</v>
      </c>
      <c r="D9" s="211" t="s">
        <v>205</v>
      </c>
      <c r="E9" s="361">
        <v>9</v>
      </c>
      <c r="F9" s="212" t="str">
        <f>_xll.BLUEMATRIX2("/servlet/excelData",$E9, $B$1,"TARGET_LOW")</f>
        <v>UPDATED: 2/17/2026 3:34:09 PM</v>
      </c>
      <c r="G9" s="213"/>
      <c r="H9" s="214"/>
      <c r="I9" s="215" t="s">
        <v>206</v>
      </c>
      <c r="J9" s="215" t="s">
        <v>207</v>
      </c>
      <c r="K9" s="216" t="s">
        <v>208</v>
      </c>
      <c r="L9" s="216" t="s">
        <v>209</v>
      </c>
      <c r="M9" s="217" t="s">
        <v>210</v>
      </c>
      <c r="T9" s="218"/>
      <c r="U9" s="213"/>
      <c r="V9" s="213"/>
      <c r="W9" s="213"/>
      <c r="X9" s="213"/>
      <c r="Y9" s="167"/>
      <c r="Z9" s="176"/>
      <c r="AA9" s="176"/>
      <c r="CS9" s="168" t="s">
        <v>211</v>
      </c>
    </row>
    <row r="10" spans="1:97" ht="21" customHeight="1" thickBot="1">
      <c r="A10" s="963"/>
      <c r="B10" s="964"/>
      <c r="C10" s="964"/>
      <c r="D10" s="219" t="s">
        <v>212</v>
      </c>
      <c r="E10" s="220">
        <f>IS!FA25</f>
        <v>128.648</v>
      </c>
      <c r="F10" s="221" t="str">
        <f>_xll.BLUEMATRIX2("/servlet/excelData",$E10, $B$1,"Shares Out. (MM)")</f>
        <v>UPDATED: 2/17/2026 3:34:09 PM</v>
      </c>
      <c r="G10" s="213"/>
      <c r="H10" s="214"/>
      <c r="I10" s="222" t="s">
        <v>213</v>
      </c>
      <c r="J10" s="222" t="s">
        <v>214</v>
      </c>
      <c r="K10" s="222" t="s">
        <v>215</v>
      </c>
      <c r="L10" s="222" t="s">
        <v>216</v>
      </c>
      <c r="M10" s="223" t="s">
        <v>217</v>
      </c>
      <c r="S10" s="165">
        <v>2018</v>
      </c>
      <c r="T10" s="218"/>
      <c r="U10" s="213"/>
      <c r="V10" s="213"/>
      <c r="W10" s="213"/>
      <c r="X10" s="213"/>
      <c r="Y10" s="167"/>
      <c r="Z10" s="176"/>
      <c r="AA10" s="176"/>
      <c r="CS10" s="168" t="s">
        <v>218</v>
      </c>
    </row>
    <row r="11" spans="1:97" ht="21" customHeight="1" thickBot="1">
      <c r="A11" s="362"/>
      <c r="B11" s="224"/>
      <c r="C11" s="225"/>
      <c r="D11" s="226"/>
      <c r="E11" s="167"/>
      <c r="F11" s="225"/>
      <c r="G11" s="227"/>
      <c r="H11" s="228" t="s">
        <v>219</v>
      </c>
      <c r="I11" s="229" t="str">
        <f>IF($B$4&amp;$B$3=I$61&amp;$H12,"A",IF($H12&lt;$B$3,"A",IF($H12&gt;$B$3,"E",IF($B$3=$H12,IF(AND($H12&gt;=$B$3,I$61&gt;=$B$4),"E","A")))))</f>
        <v>A</v>
      </c>
      <c r="J11" s="229" t="str">
        <f>IF($B$4&amp;$B$3=J$61&amp;$H12,"A",IF($H12&lt;$B$3,"A",IF($H12&gt;$B$3,"E",IF($B$3=$H12,IF(AND($H12&gt;=$B$3,J$61&gt;=$B$4),"E","A")))))</f>
        <v>A</v>
      </c>
      <c r="K11" s="229" t="str">
        <f>IF($B$4&amp;$B$3=K$61&amp;$H12,"A",IF($H12&lt;$B$3,"A",IF($H12&gt;$B$3,"E",IF($B$3=$H12,IF(AND($H12&gt;=$B$3,K$61&gt;=$B$4),"E","A")))))</f>
        <v>A</v>
      </c>
      <c r="L11" s="229" t="str">
        <f>IF($B$4&amp;$B$3=L$61&amp;$H12,"A",IF($H12&lt;$B$3,"A",IF($H12&gt;$B$3,"E",IF($B$3=$H12,IF(AND($H12&gt;=$B$3,L$61&gt;=$B$4),"E","A")))))</f>
        <v>A</v>
      </c>
      <c r="M11" s="230" t="str">
        <f>IF($H12&lt;$B$3,"A",IF($B$4&amp;$B$3=$L$61&amp;$H12,"A","E"))</f>
        <v>A</v>
      </c>
      <c r="S11" s="165">
        <v>2019</v>
      </c>
      <c r="Y11" s="167"/>
      <c r="Z11" s="176"/>
      <c r="AA11" s="176"/>
      <c r="CS11" s="168" t="s">
        <v>220</v>
      </c>
    </row>
    <row r="12" spans="1:97" ht="21" customHeight="1" thickBot="1">
      <c r="A12" s="231" t="s">
        <v>221</v>
      </c>
      <c r="B12" s="232"/>
      <c r="C12" s="232"/>
      <c r="D12" s="232"/>
      <c r="E12" s="232"/>
      <c r="F12" s="233"/>
      <c r="G12" s="234"/>
      <c r="H12" s="235">
        <f>$B$2</f>
        <v>2024</v>
      </c>
      <c r="I12" s="363">
        <f>IS!ER49</f>
        <v>156.24</v>
      </c>
      <c r="J12" s="363">
        <f>IS!ES49</f>
        <v>164.50200000000001</v>
      </c>
      <c r="K12" s="363">
        <f>IS!ET49</f>
        <v>167.82400000000001</v>
      </c>
      <c r="L12" s="363">
        <f>IS!EU49</f>
        <v>172</v>
      </c>
      <c r="M12" s="363">
        <f>IS!EV49</f>
        <v>660.56600000000003</v>
      </c>
      <c r="T12" s="236"/>
      <c r="U12" s="234"/>
      <c r="V12" s="234"/>
      <c r="W12" s="234"/>
      <c r="X12" s="234"/>
      <c r="Y12" s="167"/>
      <c r="Z12" s="176"/>
      <c r="AA12" s="176"/>
      <c r="CS12" s="168" t="s">
        <v>222</v>
      </c>
    </row>
    <row r="13" spans="1:97" ht="21" customHeight="1" thickBot="1">
      <c r="A13" s="237" t="s">
        <v>223</v>
      </c>
      <c r="B13" s="364">
        <f>BS!FA95</f>
        <v>846.35600000000011</v>
      </c>
      <c r="C13" s="365" t="str">
        <f>_xll.BLUEMATRIX2("/servlet/excelData",$B13, $B$1,"Book Value (MM)")</f>
        <v>UPDATED: 2/17/2026 3:34:09 PM</v>
      </c>
      <c r="D13" s="238" t="s">
        <v>224</v>
      </c>
      <c r="E13" s="239"/>
      <c r="F13" s="240" t="str">
        <f>_xll.BLUEMATRIX2("/servlet/excelData",$E13, $B$1,"LTD/Cap")</f>
        <v>#</v>
      </c>
      <c r="G13" s="241"/>
      <c r="H13" s="242" t="s">
        <v>225</v>
      </c>
      <c r="I13" s="243" t="str">
        <f>_xll.BLUEMATRIX2("/servlet/excelData",$I12, $B$1,$K$8&amp;":"&amp;$H12&amp;$I11&amp;":"&amp;I$10&amp;":"&amp;VLOOKUP($L$8,$D$2466:$E$2476,2,0)&amp;":"&amp;$M$8)</f>
        <v>UPDATED: 2/17/2026 3:34:09 PM</v>
      </c>
      <c r="J13" s="243" t="str">
        <f>_xll.BLUEMATRIX2("/servlet/excelData",$J12, $B$1,$K$8&amp;":"&amp;$H12&amp;$J11&amp;":"&amp;J$10&amp;":"&amp;VLOOKUP($L$8,$D$2466:$E$2476,2,0)&amp;":"&amp;$M$8)</f>
        <v>UPDATED: 2/17/2026 3:34:09 PM</v>
      </c>
      <c r="K13" s="243" t="str">
        <f>_xll.BLUEMATRIX2("/servlet/excelData",$K12, $B$1,$K$8&amp;":"&amp;$H12&amp;$K11&amp;":"&amp;K$10&amp;":"&amp;VLOOKUP($L$8,$D$2466:$E$2476,2,0)&amp;":"&amp;$M$8)</f>
        <v>UPDATED: 2/17/2026 3:34:09 PM</v>
      </c>
      <c r="L13" s="243" t="str">
        <f>_xll.BLUEMATRIX2("/servlet/excelData",$L12, $B$1,$K$8&amp;":"&amp;$H12&amp;$L11&amp;":"&amp;L$10&amp;":"&amp;VLOOKUP($L$8,$D$2466:$E$2476,2,0)&amp;":"&amp;$M$8)</f>
        <v>UPDATED: 2/17/2026 3:34:09 PM</v>
      </c>
      <c r="M13" s="243" t="str">
        <f>_xll.BLUEMATRIX2("/servlet/excelData",$M12, $B$1,$K$8&amp;":"&amp;$H12&amp;$M11&amp;":"&amp;M$10&amp;":"&amp;VLOOKUP($L$8,$D$2466:$E$2476,2,0)&amp;":"&amp;$M$8)</f>
        <v>UPDATED: 2/17/2026 3:34:09 PM</v>
      </c>
      <c r="T13" s="245"/>
      <c r="U13" s="241"/>
      <c r="V13" s="241"/>
      <c r="W13" s="241"/>
      <c r="X13" s="241"/>
      <c r="Y13" s="167"/>
      <c r="Z13" s="176"/>
      <c r="AA13" s="176"/>
      <c r="CS13" s="168" t="s">
        <v>226</v>
      </c>
    </row>
    <row r="14" spans="1:97" ht="21" customHeight="1">
      <c r="A14" s="246" t="s">
        <v>227</v>
      </c>
      <c r="B14" s="364">
        <f>BS!FA96</f>
        <v>6.5669571154786217</v>
      </c>
      <c r="C14" s="243" t="str">
        <f>_xll.BLUEMATRIX2("/servlet/excelData",$B14, $B$1,"BOOK_VALUE_PER_SHARE")</f>
        <v>UPDATED: 2/17/2026 3:34:09 PM</v>
      </c>
      <c r="D14" s="247" t="s">
        <v>228</v>
      </c>
      <c r="E14" s="248"/>
      <c r="F14" s="249" t="str">
        <f>_xll.BLUEMATRIX2("/servlet/excelData",$E14, $B$1,"Dividend Yield")</f>
        <v>#</v>
      </c>
      <c r="G14" s="250"/>
      <c r="H14" s="214"/>
      <c r="I14" s="251"/>
      <c r="J14" s="251"/>
      <c r="K14" s="252"/>
      <c r="L14" s="252"/>
      <c r="M14" s="253"/>
      <c r="T14" s="218"/>
      <c r="U14" s="250"/>
      <c r="V14" s="250"/>
      <c r="W14" s="250"/>
      <c r="X14" s="250"/>
      <c r="Y14" s="167"/>
      <c r="Z14" s="176"/>
      <c r="AA14" s="176"/>
      <c r="CS14" s="168" t="s">
        <v>229</v>
      </c>
    </row>
    <row r="15" spans="1:97" ht="21" customHeight="1">
      <c r="A15" s="246" t="s">
        <v>230</v>
      </c>
      <c r="B15" s="254"/>
      <c r="C15" s="243" t="str">
        <f>_xll.BLUEMATRIX2("/servlet/excelData",$B15, $B$1,"Return on Avg. Equity")</f>
        <v>#</v>
      </c>
      <c r="D15" s="247" t="s">
        <v>231</v>
      </c>
      <c r="E15" s="255"/>
      <c r="F15" s="249" t="str">
        <f>_xll.BLUEMATRIX2("/servlet/excelData",$E15, $B$1,"Cash_ST Invest. (MM)")</f>
        <v>#</v>
      </c>
      <c r="G15" s="256"/>
      <c r="H15" s="228" t="s">
        <v>219</v>
      </c>
      <c r="I15" s="229" t="str">
        <f>IF($B$4&amp;$B$3=I$61&amp;$H16,"A",IF($H16&lt;$B$3,"A",IF($H16&gt;$B$3,"E",IF($B$3=$H16,IF(AND($H16&gt;=$B$3,I$61&gt;=$B$4),"E","A")))))</f>
        <v>A</v>
      </c>
      <c r="J15" s="229" t="str">
        <f>IF($B$4&amp;$B$3=J$61&amp;$H16,"A",IF($H16&lt;$B$3,"A",IF($H16&gt;$B$3,"E",IF($B$3=$H16,IF(AND($H16&gt;=$B$3,J$61&gt;=$B$4),"E","A")))))</f>
        <v>A</v>
      </c>
      <c r="K15" s="229" t="str">
        <f>IF($B$4&amp;$B$3=K$61&amp;$H16,"A",IF($H16&lt;$B$3,"A",IF($H16&gt;$B$3,"E",IF($B$3=$H16,IF(AND($H16&gt;=$B$3,K$61&gt;=$B$4),"E","A")))))</f>
        <v>A</v>
      </c>
      <c r="L15" s="229" t="str">
        <f>IF($B$4&amp;$B$3=L$61&amp;$H16,"A",IF($H16&lt;$B$3,"A",IF($H16&gt;$B$3,"E",IF($B$3=$H16,IF(AND($H16&gt;=$B$3,L$61&gt;=$B$4),"E","A")))))</f>
        <v>A</v>
      </c>
      <c r="M15" s="230" t="str">
        <f>IF($H16&lt;$B$3,"A",IF($B$4&amp;$B$3=$L$61&amp;$H16,"A","E"))</f>
        <v>A</v>
      </c>
      <c r="U15" s="257"/>
      <c r="V15" s="257"/>
      <c r="W15" s="257"/>
      <c r="X15" s="257"/>
      <c r="Y15" s="167"/>
      <c r="Z15" s="176"/>
      <c r="AA15" s="176"/>
      <c r="CS15" s="168" t="s">
        <v>232</v>
      </c>
    </row>
    <row r="16" spans="1:97" ht="21" customHeight="1">
      <c r="A16" s="246" t="s">
        <v>233</v>
      </c>
      <c r="B16" s="366"/>
      <c r="C16" s="367" t="str">
        <f>_xll.BLUEMATRIX2("/servlet/excelData",$B16, $B$1,"Net Debt/Capital")</f>
        <v>#</v>
      </c>
      <c r="D16" s="247" t="s">
        <v>234</v>
      </c>
      <c r="E16" s="255"/>
      <c r="F16" s="249" t="str">
        <f>_xll.BLUEMATRIX2("/servlet/excelData",$E16, $B$1,"NAV_2")</f>
        <v>#</v>
      </c>
      <c r="G16" s="256"/>
      <c r="H16" s="235">
        <f>$B$2+1</f>
        <v>2025</v>
      </c>
      <c r="I16" s="363">
        <f>IS!EX49</f>
        <v>168.035</v>
      </c>
      <c r="J16" s="363">
        <f>IS!EY49</f>
        <v>181.33</v>
      </c>
      <c r="K16" s="363">
        <f>IS!EZ49</f>
        <v>187.797</v>
      </c>
      <c r="L16" s="363">
        <f>IS!FA49</f>
        <v>190.17</v>
      </c>
      <c r="M16" s="363">
        <f>IS!FB49</f>
        <v>727.33199999999999</v>
      </c>
      <c r="U16" s="257"/>
      <c r="V16" s="257"/>
      <c r="W16" s="257"/>
      <c r="X16" s="257"/>
      <c r="Y16" s="167"/>
      <c r="Z16" s="176"/>
      <c r="AA16" s="176"/>
      <c r="CS16" s="168"/>
    </row>
    <row r="17" spans="1:97" ht="21" customHeight="1" thickBot="1">
      <c r="A17" s="258" t="s">
        <v>235</v>
      </c>
      <c r="B17" s="259"/>
      <c r="C17" s="260" t="str">
        <f>_xll.BLUEMATRIX2("/servlet/excelData",$B17, $B$1,"Long-Term Debt (MM)")</f>
        <v>#</v>
      </c>
      <c r="D17" s="261" t="s">
        <v>236</v>
      </c>
      <c r="E17" s="259"/>
      <c r="F17" s="262" t="str">
        <f>_xll.BLUEMATRIX2("/servlet/excelData",$E17, $B$1,"NET_DEBT_EQUITY")</f>
        <v>#</v>
      </c>
      <c r="G17" s="234"/>
      <c r="H17" s="242" t="s">
        <v>225</v>
      </c>
      <c r="I17" s="243" t="str">
        <f>_xll.BLUEMATRIX2("/servlet/excelData",$I16, $B$1,$K$8&amp;":"&amp;$H16&amp;$I15&amp;":"&amp;I$10&amp;":"&amp;VLOOKUP($L$8,$D$2466:$E$2476,2,0)&amp;":"&amp;$M$8)</f>
        <v>UPDATED: 2/17/2026 3:34:09 PM</v>
      </c>
      <c r="J17" s="243" t="str">
        <f>_xll.BLUEMATRIX2("/servlet/excelData",$J16, $B$1,$K$8&amp;":"&amp;$H16&amp;$J15&amp;":"&amp;J$10&amp;":"&amp;VLOOKUP($L$8,$D$2466:$E$2476,2,0)&amp;":"&amp;$M$8)</f>
        <v>UPDATED: 2/17/2026 3:34:09 PM</v>
      </c>
      <c r="K17" s="243" t="str">
        <f>_xll.BLUEMATRIX2("/servlet/excelData",$K16, $B$1,$K$8&amp;":"&amp;$H16&amp;$K15&amp;":"&amp;K$10&amp;":"&amp;VLOOKUP($L$8,$D$2466:$E$2476,2,0)&amp;":"&amp;$M$8)</f>
        <v>UPDATED: 2/17/2026 3:34:09 PM</v>
      </c>
      <c r="L17" s="243" t="str">
        <f>_xll.BLUEMATRIX2("/servlet/excelData",$L16, $B$1,$K$8&amp;":"&amp;$H16&amp;$L15&amp;":"&amp;L$10&amp;":"&amp;VLOOKUP($L$8,$D$2466:$E$2476,2,0)&amp;":"&amp;$M$8)</f>
        <v>UPDATED: 2/17/2026 3:34:09 PM</v>
      </c>
      <c r="M17" s="244" t="str">
        <f>_xll.BLUEMATRIX2("/servlet/excelData",$M16, $B$1,$K$8&amp;":"&amp;$H16&amp;$M15&amp;":"&amp;M$10&amp;":"&amp;VLOOKUP($L$8,$D$2466:$E$2476,2,0)&amp;":"&amp;$M$8)</f>
        <v>UPDATED: 2/17/2026 3:34:09 PM</v>
      </c>
      <c r="T17" s="236"/>
      <c r="U17" s="234"/>
      <c r="V17" s="234"/>
      <c r="W17" s="234"/>
      <c r="X17" s="234"/>
      <c r="Y17" s="167"/>
      <c r="Z17" s="176"/>
      <c r="AA17" s="176"/>
      <c r="CS17" s="168" t="s">
        <v>237</v>
      </c>
    </row>
    <row r="18" spans="1:97" ht="21" customHeight="1" thickBot="1">
      <c r="G18" s="241"/>
      <c r="H18" s="214"/>
      <c r="I18" s="171"/>
      <c r="J18" s="171"/>
      <c r="K18" s="263"/>
      <c r="L18" s="263"/>
      <c r="M18" s="264"/>
      <c r="T18" s="245"/>
      <c r="U18" s="241"/>
      <c r="V18" s="241"/>
      <c r="W18" s="241"/>
      <c r="X18" s="241"/>
      <c r="Y18" s="167"/>
      <c r="Z18" s="176"/>
      <c r="AA18" s="176"/>
      <c r="CS18" s="168" t="s">
        <v>238</v>
      </c>
    </row>
    <row r="19" spans="1:97" ht="21" customHeight="1" thickBot="1">
      <c r="A19" s="960" t="s">
        <v>239</v>
      </c>
      <c r="B19" s="961"/>
      <c r="C19" s="961"/>
      <c r="D19" s="961"/>
      <c r="E19" s="961"/>
      <c r="F19" s="962"/>
      <c r="G19" s="241"/>
      <c r="H19" s="228" t="s">
        <v>219</v>
      </c>
      <c r="I19" s="229" t="str">
        <f>IF($B$4&amp;$B$3=I$61&amp;$H20,"A",IF($H20&lt;$B$3,"A",IF($H20&gt;$B$3,"E",IF($B$3=$H20,IF(AND($H20&gt;=$B$3,I$61&gt;=$B$4),"E","A")))))</f>
        <v>E</v>
      </c>
      <c r="J19" s="229" t="str">
        <f>IF($B$4&amp;$B$3=J$61&amp;$H20,"A",IF($H20&lt;$B$3,"A",IF($H20&gt;$B$3,"E",IF($B$3=$H20,IF(AND($H20&gt;=$B$3,J$61&gt;=$B$4),"E","A")))))</f>
        <v>E</v>
      </c>
      <c r="K19" s="229" t="str">
        <f>IF($B$4&amp;$B$3=K$61&amp;$H20,"A",IF($H20&lt;$B$3,"A",IF($H20&gt;$B$3,"E",IF($B$3=$H20,IF(AND($H20&gt;=$B$3,K$61&gt;=$B$4),"E","A")))))</f>
        <v>E</v>
      </c>
      <c r="L19" s="229" t="str">
        <f>IF($B$4&amp;$B$3=L$61&amp;$H20,"A",IF($H20&lt;$B$3,"A",IF($H20&gt;$B$3,"E",IF($B$3=$H20,IF(AND($H20&gt;=$B$3,L$61&gt;=$B$4),"E","A")))))</f>
        <v>E</v>
      </c>
      <c r="M19" s="230" t="str">
        <f>IF($H20&lt;$B$3,"A",IF($B$4&amp;$B$3=$L$61&amp;$H20,"A","E"))</f>
        <v>E</v>
      </c>
      <c r="T19" s="245"/>
      <c r="U19" s="241"/>
      <c r="V19" s="241"/>
      <c r="W19" s="241"/>
      <c r="X19" s="241"/>
      <c r="Y19" s="167"/>
      <c r="Z19" s="176"/>
      <c r="AA19" s="176"/>
      <c r="CS19" s="168"/>
    </row>
    <row r="20" spans="1:97" ht="21" customHeight="1">
      <c r="A20" s="237" t="s">
        <v>240</v>
      </c>
      <c r="B20" s="265"/>
      <c r="C20" s="266" t="str">
        <f>_xll.BLUEMATRIX2("/servlet/excelData",$B20, $B$1,"Insider Ownership")</f>
        <v>#</v>
      </c>
      <c r="D20" s="965"/>
      <c r="E20" s="966"/>
      <c r="F20" s="967"/>
      <c r="G20" s="241"/>
      <c r="H20" s="235">
        <f>$B$2+2</f>
        <v>2026</v>
      </c>
      <c r="I20" s="363">
        <f>IS!FD49</f>
        <v>184.62186601815</v>
      </c>
      <c r="J20" s="363">
        <f>IS!FE49</f>
        <v>196.07044525000006</v>
      </c>
      <c r="K20" s="363">
        <f>IS!FF49</f>
        <v>205.58085571400002</v>
      </c>
      <c r="L20" s="363">
        <f>IS!FG49</f>
        <v>211.08994076799996</v>
      </c>
      <c r="M20" s="363">
        <f>IS!FH49</f>
        <v>797.36310775014999</v>
      </c>
      <c r="T20" s="245"/>
      <c r="U20" s="241"/>
      <c r="V20" s="241"/>
      <c r="W20" s="241"/>
      <c r="X20" s="241"/>
      <c r="Y20" s="167"/>
      <c r="Z20" s="176"/>
      <c r="AA20" s="176"/>
      <c r="CS20" s="168"/>
    </row>
    <row r="21" spans="1:97" ht="21" customHeight="1" thickBot="1">
      <c r="A21" s="258" t="s">
        <v>241</v>
      </c>
      <c r="B21" s="269"/>
      <c r="C21" s="270" t="str">
        <f>_xll.BLUEMATRIX2("/servlet/excelData",$B21, $B$1,"Institutional Ownership")</f>
        <v>#</v>
      </c>
      <c r="D21" s="968"/>
      <c r="E21" s="969"/>
      <c r="F21" s="970"/>
      <c r="G21" s="241"/>
      <c r="H21" s="242" t="s">
        <v>225</v>
      </c>
      <c r="I21" s="243" t="str">
        <f>_xll.BLUEMATRIX2("/servlet/excelData",$I20, $B$1,$K$8&amp;":"&amp;$H20&amp;$I19&amp;":"&amp;I$10&amp;":"&amp;VLOOKUP($L$8,$D$2466:$E$2476,2,0)&amp;":"&amp;$M$8)</f>
        <v>UPDATED: 2/17/2026 3:34:09 PM</v>
      </c>
      <c r="J21" s="243" t="str">
        <f>_xll.BLUEMATRIX2("/servlet/excelData",$J20, $B$1,$K$8&amp;":"&amp;$H20&amp;$J19&amp;":"&amp;J$10&amp;":"&amp;VLOOKUP($L$8,$D$2466:$E$2476,2,0)&amp;":"&amp;$M$8)</f>
        <v>UPDATED: 2/17/2026 3:34:09 PM</v>
      </c>
      <c r="K21" s="243" t="str">
        <f>_xll.BLUEMATRIX2("/servlet/excelData",$K20, $B$1,$K$8&amp;":"&amp;$H20&amp;$K19&amp;":"&amp;K$10&amp;":"&amp;VLOOKUP($L$8,$D$2466:$E$2476,2,0)&amp;":"&amp;$M$8)</f>
        <v>UPDATED: 2/17/2026 3:34:09 PM</v>
      </c>
      <c r="L21" s="243" t="str">
        <f>_xll.BLUEMATRIX2("/servlet/excelData",$L20, $B$1,$K$8&amp;":"&amp;$H20&amp;$L19&amp;":"&amp;L$10&amp;":"&amp;VLOOKUP($L$8,$D$2466:$E$2476,2,0)&amp;":"&amp;$M$8)</f>
        <v>UPDATED: 2/17/2026 3:34:09 PM</v>
      </c>
      <c r="M21" s="244" t="str">
        <f>_xll.BLUEMATRIX2("/servlet/excelData",$M20, $B$1,$K$8&amp;":"&amp;$H20&amp;$M19&amp;":"&amp;M$10&amp;":"&amp;VLOOKUP($L$8,$D$2466:$E$2476,2,0)&amp;":"&amp;$M$8)</f>
        <v>UPDATED: 2/17/2026 3:34:09 PM</v>
      </c>
      <c r="T21" s="245"/>
      <c r="U21" s="241"/>
      <c r="V21" s="241"/>
      <c r="W21" s="241"/>
      <c r="X21" s="241"/>
      <c r="Y21" s="167"/>
      <c r="Z21" s="176"/>
      <c r="AA21" s="176"/>
      <c r="CS21" s="168"/>
    </row>
    <row r="22" spans="1:97" ht="21" customHeight="1" thickBot="1">
      <c r="A22" s="362"/>
      <c r="B22" s="271"/>
      <c r="C22" s="167"/>
      <c r="D22" s="272"/>
      <c r="E22" s="273"/>
      <c r="G22" s="241"/>
      <c r="H22" s="214"/>
      <c r="I22" s="171"/>
      <c r="J22" s="171"/>
      <c r="K22" s="263"/>
      <c r="L22" s="263"/>
      <c r="M22" s="264"/>
      <c r="T22" s="245"/>
      <c r="U22" s="241"/>
      <c r="V22" s="241"/>
      <c r="W22" s="241"/>
      <c r="X22" s="241"/>
      <c r="Y22" s="167"/>
      <c r="Z22" s="176"/>
      <c r="AA22" s="176"/>
      <c r="CS22" s="168"/>
    </row>
    <row r="23" spans="1:97" ht="21" customHeight="1" thickBot="1">
      <c r="A23" s="960" t="s">
        <v>242</v>
      </c>
      <c r="B23" s="961"/>
      <c r="C23" s="961"/>
      <c r="D23" s="961"/>
      <c r="E23" s="961"/>
      <c r="F23" s="962"/>
      <c r="G23" s="241"/>
      <c r="H23" s="228" t="s">
        <v>219</v>
      </c>
      <c r="I23" s="229" t="str">
        <f>IF($B$4&amp;$B$3=I$61&amp;$H24,"A",IF($H24&lt;$B$3,"A",IF($H24&gt;$B$3,"E",IF($B$3=$H24,IF(AND($H24&gt;=$B$3,I$61&gt;=$B$4),"E","A")))))</f>
        <v>E</v>
      </c>
      <c r="J23" s="229" t="str">
        <f>IF($B$4&amp;$B$3=J$61&amp;$H24,"A",IF($H24&lt;$B$3,"A",IF($H24&gt;$B$3,"E",IF($B$3=$H24,IF(AND($H24&gt;=$B$3,J$61&gt;=$B$4),"E","A")))))</f>
        <v>E</v>
      </c>
      <c r="K23" s="229" t="str">
        <f>IF($B$4&amp;$B$3=K$61&amp;$H24,"A",IF($H24&lt;$B$3,"A",IF($H24&gt;$B$3,"E",IF($B$3=$H24,IF(AND($H24&gt;=$B$3,K$61&gt;=$B$4),"E","A")))))</f>
        <v>E</v>
      </c>
      <c r="L23" s="229" t="str">
        <f>IF($B$4&amp;$B$3=L$61&amp;$H24,"A",IF($H24&lt;$B$3,"A",IF($H24&gt;$B$3,"E",IF($B$3=$H24,IF(AND($H24&gt;=$B$3,L$61&gt;=$B$4),"E","A")))))</f>
        <v>E</v>
      </c>
      <c r="M23" s="230" t="str">
        <f>IF($H24&lt;$B$3,"A",IF($B$4&amp;$B$3=$L$61&amp;$H24,"A","E"))</f>
        <v>E</v>
      </c>
      <c r="T23" s="245"/>
      <c r="U23" s="241"/>
      <c r="V23" s="241"/>
      <c r="W23" s="241"/>
      <c r="X23" s="241"/>
      <c r="Y23" s="167"/>
      <c r="Z23" s="176"/>
      <c r="AA23" s="176"/>
      <c r="CS23" s="168"/>
    </row>
    <row r="24" spans="1:97" ht="21" customHeight="1">
      <c r="A24" s="202" t="s">
        <v>243</v>
      </c>
      <c r="B24" s="274">
        <f>BS!FA101</f>
        <v>171.09004692800212</v>
      </c>
      <c r="C24" s="368" t="e">
        <f ca="1">_xll.BLUEMATRIX2("/servlet/excelData",$B24, $B$1,"Net Debt (MM)")</f>
        <v>#NAME?</v>
      </c>
      <c r="D24" s="238" t="s">
        <v>244</v>
      </c>
      <c r="E24" s="275"/>
      <c r="F24" s="276" t="str">
        <f>_xll.BLUEMATRIX2("/servlet/excelData",$E24, $B$1,"Associates (MM)")</f>
        <v>#</v>
      </c>
      <c r="G24" s="241"/>
      <c r="H24" s="235">
        <f>$B$2+3</f>
        <v>2027</v>
      </c>
      <c r="I24" s="363">
        <f>IS!FJ49</f>
        <v>202.63173214176211</v>
      </c>
      <c r="J24" s="363">
        <f>IS!FK49</f>
        <v>215.24925920825007</v>
      </c>
      <c r="K24" s="363">
        <f>IS!FL49</f>
        <v>225.69168737154442</v>
      </c>
      <c r="L24" s="363">
        <f>IS!FM49</f>
        <v>231.75279383666884</v>
      </c>
      <c r="M24" s="363">
        <f>IS!FN49</f>
        <v>875.32547255822544</v>
      </c>
      <c r="T24" s="245"/>
      <c r="U24" s="241"/>
      <c r="V24" s="241"/>
      <c r="W24" s="241"/>
      <c r="X24" s="241"/>
      <c r="Y24" s="167"/>
      <c r="Z24" s="176"/>
      <c r="AA24" s="176"/>
      <c r="CS24" s="168"/>
    </row>
    <row r="25" spans="1:97" ht="21" customHeight="1">
      <c r="A25" s="246" t="s">
        <v>245</v>
      </c>
      <c r="B25" s="254"/>
      <c r="C25" s="369" t="str">
        <f>_xll.BLUEMATRIX2("/servlet/excelData",$B25, $B$1,"Pension Deficit (MM)")</f>
        <v>#</v>
      </c>
      <c r="D25" s="247" t="s">
        <v>246</v>
      </c>
      <c r="E25" s="254"/>
      <c r="F25" s="244" t="str">
        <f>_xll.BLUEMATRIX2("/servlet/excelData",$E25, $B$1,"Other EV Adj. (MM)")</f>
        <v>#</v>
      </c>
      <c r="G25" s="241"/>
      <c r="H25" s="242" t="s">
        <v>225</v>
      </c>
      <c r="I25" s="243" t="str">
        <f>_xll.BLUEMATRIX2("/servlet/excelData",$I24, $B$1,$K$8&amp;":"&amp;$H24&amp;$I23&amp;":"&amp;I$10&amp;":"&amp;VLOOKUP($L$8,$D$2466:$E$2476,2,0)&amp;":"&amp;$M$8)</f>
        <v>UPDATED: 2/17/2026 3:34:09 PM</v>
      </c>
      <c r="J25" s="243" t="str">
        <f>_xll.BLUEMATRIX2("/servlet/excelData",$J24, $B$1,$K$8&amp;":"&amp;$H24&amp;$J23&amp;":"&amp;J$10&amp;":"&amp;VLOOKUP($L$8,$D$2466:$E$2476,2,0)&amp;":"&amp;$M$8)</f>
        <v>UPDATED: 2/17/2026 3:34:09 PM</v>
      </c>
      <c r="K25" s="243" t="str">
        <f>_xll.BLUEMATRIX2("/servlet/excelData",$K24, $B$1,$K$8&amp;":"&amp;$H24&amp;$K23&amp;":"&amp;K$10&amp;":"&amp;VLOOKUP($L$8,$D$2466:$E$2476,2,0)&amp;":"&amp;$M$8)</f>
        <v>UPDATED: 2/17/2026 3:34:09 PM</v>
      </c>
      <c r="L25" s="243" t="str">
        <f>_xll.BLUEMATRIX2("/servlet/excelData",$L24, $B$1,$K$8&amp;":"&amp;$H24&amp;$L23&amp;":"&amp;L$10&amp;":"&amp;VLOOKUP($L$8,$D$2466:$E$2476,2,0)&amp;":"&amp;$M$8)</f>
        <v>UPDATED: 2/17/2026 3:34:09 PM</v>
      </c>
      <c r="M25" s="244" t="str">
        <f>_xll.BLUEMATRIX2("/servlet/excelData",$M24, $B$1,$K$8&amp;":"&amp;$H24&amp;$M23&amp;":"&amp;M$10&amp;":"&amp;VLOOKUP($L$8,$D$2466:$E$2476,2,0)&amp;":"&amp;$M$8)</f>
        <v>UPDATED: 2/17/2026 3:34:09 PM</v>
      </c>
      <c r="T25" s="245"/>
      <c r="U25" s="241"/>
      <c r="V25" s="241"/>
      <c r="W25" s="241"/>
      <c r="X25" s="241"/>
      <c r="Y25" s="167"/>
      <c r="Z25" s="176"/>
      <c r="AA25" s="176"/>
      <c r="CS25" s="168"/>
    </row>
    <row r="26" spans="1:97" ht="21" customHeight="1">
      <c r="A26" s="246" t="s">
        <v>247</v>
      </c>
      <c r="B26" s="254"/>
      <c r="C26" s="243" t="str">
        <f>_xll.BLUEMATRIX2("/servlet/excelData",$B26, $B$1,"Minority Interest (MM)")</f>
        <v>#</v>
      </c>
      <c r="D26" s="971"/>
      <c r="E26" s="971"/>
      <c r="F26" s="972"/>
      <c r="G26" s="241"/>
      <c r="H26" s="214"/>
      <c r="I26" s="171"/>
      <c r="J26" s="171"/>
      <c r="K26" s="263"/>
      <c r="L26" s="263"/>
      <c r="M26" s="264"/>
      <c r="T26" s="245"/>
      <c r="U26" s="241"/>
      <c r="V26" s="241"/>
      <c r="W26" s="241"/>
      <c r="X26" s="241"/>
      <c r="Y26" s="167"/>
      <c r="Z26" s="176"/>
      <c r="AA26" s="176"/>
      <c r="CS26" s="168"/>
    </row>
    <row r="27" spans="1:97" ht="21" customHeight="1" thickBot="1">
      <c r="A27" s="258" t="s">
        <v>248</v>
      </c>
      <c r="B27" s="277"/>
      <c r="C27" s="278" t="str">
        <f>_xll.BLUEMATRIX2("/servlet/excelData",$B27, $B$1,"Preferred Stock")</f>
        <v>#</v>
      </c>
      <c r="D27" s="973"/>
      <c r="E27" s="973"/>
      <c r="F27" s="974"/>
      <c r="G27" s="241"/>
      <c r="H27" s="228" t="s">
        <v>219</v>
      </c>
      <c r="I27" s="229" t="str">
        <f>IF($B$4&amp;$B$3=I$61&amp;$H28,"A",IF($H28&lt;$B$3,"A",IF($H28&gt;$B$3,"E",IF($B$3=$H28,IF(AND($H28&gt;=$B$3,I$61&gt;=$B$4),"E","A")))))</f>
        <v>E</v>
      </c>
      <c r="J27" s="229" t="str">
        <f>IF($B$4&amp;$B$3=J$61&amp;$H28,"A",IF($H28&lt;$B$3,"A",IF($H28&gt;$B$3,"E",IF($B$3=$H28,IF(AND($H28&gt;=$B$3,J$61&gt;=$B$4),"E","A")))))</f>
        <v>E</v>
      </c>
      <c r="K27" s="229" t="str">
        <f>IF($B$4&amp;$B$3=K$61&amp;$H28,"A",IF($H28&lt;$B$3,"A",IF($H28&gt;$B$3,"E",IF($B$3=$H28,IF(AND($H28&gt;=$B$3,K$61&gt;=$B$4),"E","A")))))</f>
        <v>E</v>
      </c>
      <c r="L27" s="229" t="str">
        <f>IF($B$4&amp;$B$3=L$61&amp;$H28,"A",IF($H28&lt;$B$3,"A",IF($H28&gt;$B$3,"E",IF($B$3=$H28,IF(AND($H28&gt;=$B$3,L$61&gt;=$B$4),"E","A")))))</f>
        <v>E</v>
      </c>
      <c r="M27" s="230" t="str">
        <f>IF($H28&lt;$B$3,"A",IF($B$4&amp;$B$3=$L$61&amp;$H28,"A","E"))</f>
        <v>E</v>
      </c>
      <c r="T27" s="245"/>
      <c r="U27" s="241"/>
      <c r="V27" s="241"/>
      <c r="W27" s="241"/>
      <c r="X27" s="241"/>
      <c r="Y27" s="167"/>
      <c r="Z27" s="176"/>
      <c r="AA27" s="176"/>
      <c r="CS27" s="168"/>
    </row>
    <row r="28" spans="1:97" ht="21" customHeight="1">
      <c r="A28" s="279"/>
      <c r="B28" s="279"/>
      <c r="C28" s="279"/>
      <c r="D28" s="279"/>
      <c r="E28" s="279"/>
      <c r="F28" s="279"/>
      <c r="G28" s="241"/>
      <c r="H28" s="235">
        <f>$B$2+4</f>
        <v>2028</v>
      </c>
      <c r="I28" s="267"/>
      <c r="J28" s="267"/>
      <c r="K28" s="268"/>
      <c r="L28" s="268"/>
      <c r="M28" s="363">
        <f>IS!FT49</f>
        <v>961.07336101354463</v>
      </c>
      <c r="T28" s="245"/>
      <c r="U28" s="241"/>
      <c r="V28" s="241"/>
      <c r="W28" s="241"/>
      <c r="X28" s="241"/>
      <c r="Y28" s="167"/>
      <c r="Z28" s="176"/>
      <c r="AA28" s="176"/>
      <c r="CS28" s="168"/>
    </row>
    <row r="29" spans="1:97" s="285" customFormat="1" ht="25.5" customHeight="1">
      <c r="A29" s="279"/>
      <c r="B29" s="279"/>
      <c r="C29" s="279"/>
      <c r="D29" s="279"/>
      <c r="E29" s="279"/>
      <c r="F29" s="279"/>
      <c r="G29" s="280"/>
      <c r="H29" s="242" t="s">
        <v>225</v>
      </c>
      <c r="I29" s="243" t="str">
        <f>_xll.BLUEMATRIX2("/servlet/excelData",$I28, $B$1,$K$8&amp;":"&amp;$H28&amp;$I27&amp;":"&amp;I$10&amp;":"&amp;VLOOKUP($L$8,$D$2466:$E$2476,2,0)&amp;":"&amp;$M$8)</f>
        <v>#</v>
      </c>
      <c r="J29" s="243" t="str">
        <f>_xll.BLUEMATRIX2("/servlet/excelData",$J28, $B$1,$K$8&amp;":"&amp;$H28&amp;$J27&amp;":"&amp;J$10&amp;":"&amp;VLOOKUP($L$8,$D$2466:$E$2476,2,0)&amp;":"&amp;$M$8)</f>
        <v>#</v>
      </c>
      <c r="K29" s="243" t="str">
        <f>_xll.BLUEMATRIX2("/servlet/excelData",$K28, $B$1,$K$8&amp;":"&amp;$H28&amp;$K27&amp;":"&amp;K$10&amp;":"&amp;VLOOKUP($L$8,$D$2466:$E$2476,2,0)&amp;":"&amp;$M$8)</f>
        <v>#</v>
      </c>
      <c r="L29" s="243" t="str">
        <f>_xll.BLUEMATRIX2("/servlet/excelData",$L28, $B$1,$K$8&amp;":"&amp;$H28&amp;$L27&amp;":"&amp;L$10&amp;":"&amp;VLOOKUP($L$8,$D$2466:$E$2476,2,0)&amp;":"&amp;$M$8)</f>
        <v>#</v>
      </c>
      <c r="M29" s="244" t="str">
        <f>_xll.BLUEMATRIX2("/servlet/excelData",$M28, $B$1,$K$8&amp;":"&amp;$H28&amp;$M27&amp;":"&amp;M$10&amp;":"&amp;VLOOKUP($L$8,$D$2466:$E$2476,2,0)&amp;":"&amp;$M$8)</f>
        <v>UPDATED: 2/17/2026 3:34:09 PM</v>
      </c>
      <c r="N29" s="281"/>
      <c r="O29" s="282"/>
      <c r="P29" s="282"/>
      <c r="Q29" s="282"/>
      <c r="R29" s="282"/>
      <c r="S29" s="282"/>
      <c r="T29" s="283"/>
      <c r="U29" s="280"/>
      <c r="V29" s="280"/>
      <c r="W29" s="280"/>
      <c r="X29" s="280"/>
      <c r="Y29" s="284"/>
      <c r="Z29" s="282"/>
      <c r="AA29" s="282"/>
    </row>
    <row r="30" spans="1:97" s="273" customFormat="1" ht="21" customHeight="1" thickBot="1">
      <c r="A30" s="279"/>
      <c r="B30" s="279"/>
      <c r="C30" s="279"/>
      <c r="D30" s="279"/>
      <c r="E30" s="279"/>
      <c r="F30" s="279"/>
      <c r="H30" s="286"/>
      <c r="I30" s="308"/>
      <c r="J30" s="308"/>
      <c r="K30" s="309"/>
      <c r="L30" s="309"/>
      <c r="M30" s="310"/>
      <c r="T30" s="290"/>
      <c r="Y30" s="291"/>
      <c r="Z30" s="176"/>
      <c r="AA30" s="176"/>
      <c r="CS30" s="166"/>
    </row>
    <row r="31" spans="1:97" s="279" customFormat="1" ht="13.5" thickBot="1">
      <c r="H31" s="185"/>
      <c r="I31" s="185"/>
      <c r="J31" s="185"/>
      <c r="M31" s="292"/>
      <c r="T31" s="293"/>
      <c r="Y31" s="185"/>
      <c r="Z31" s="176"/>
      <c r="AA31" s="176"/>
      <c r="CS31" s="166"/>
    </row>
    <row r="32" spans="1:97" s="279" customFormat="1" ht="21" customHeight="1">
      <c r="H32" s="194" t="s">
        <v>249</v>
      </c>
      <c r="I32" s="195"/>
      <c r="J32" s="946" t="s">
        <v>191</v>
      </c>
      <c r="K32" s="946"/>
      <c r="L32" s="946"/>
      <c r="M32" s="947"/>
      <c r="T32" s="293"/>
      <c r="Y32" s="185"/>
      <c r="Z32" s="176"/>
      <c r="AA32" s="176"/>
      <c r="CS32" s="166"/>
    </row>
    <row r="33" spans="7:97" s="279" customFormat="1" ht="26.25">
      <c r="G33" s="294"/>
      <c r="H33" s="196" t="s">
        <v>193</v>
      </c>
      <c r="I33" s="295"/>
      <c r="J33" s="295"/>
      <c r="K33" s="296" t="s">
        <v>194</v>
      </c>
      <c r="L33" s="297" t="s">
        <v>195</v>
      </c>
      <c r="M33" s="298" t="s">
        <v>196</v>
      </c>
      <c r="T33" s="293"/>
      <c r="Y33" s="185"/>
      <c r="Z33" s="176"/>
      <c r="AA33" s="176"/>
      <c r="CS33" s="166"/>
    </row>
    <row r="34" spans="7:97" s="279" customFormat="1" ht="21" customHeight="1">
      <c r="H34" s="206" t="s">
        <v>250</v>
      </c>
      <c r="I34" s="207"/>
      <c r="J34" s="207"/>
      <c r="K34" s="299" t="str">
        <f>VLOOKUP(H34,$A$2466:$B$2566,2,FALSE)</f>
        <v>Cons. EPS</v>
      </c>
      <c r="L34" s="300" t="s">
        <v>201</v>
      </c>
      <c r="M34" s="301" t="s">
        <v>202</v>
      </c>
      <c r="R34" s="293"/>
      <c r="W34" s="185"/>
      <c r="X34" s="176"/>
      <c r="Y34" s="176"/>
      <c r="CQ34" s="166"/>
    </row>
    <row r="35" spans="7:97" s="279" customFormat="1" ht="21" customHeight="1">
      <c r="G35" s="166"/>
      <c r="H35" s="214"/>
      <c r="I35" s="215" t="s">
        <v>206</v>
      </c>
      <c r="J35" s="215" t="s">
        <v>207</v>
      </c>
      <c r="K35" s="216" t="s">
        <v>208</v>
      </c>
      <c r="L35" s="216" t="s">
        <v>209</v>
      </c>
      <c r="M35" s="217" t="s">
        <v>210</v>
      </c>
      <c r="R35" s="293"/>
      <c r="W35" s="185"/>
      <c r="X35" s="176"/>
      <c r="Y35" s="176"/>
      <c r="CQ35" s="166"/>
    </row>
    <row r="36" spans="7:97" s="279" customFormat="1" ht="21">
      <c r="H36" s="214"/>
      <c r="I36" s="222" t="s">
        <v>213</v>
      </c>
      <c r="J36" s="222" t="s">
        <v>214</v>
      </c>
      <c r="K36" s="222" t="s">
        <v>215</v>
      </c>
      <c r="L36" s="222" t="s">
        <v>216</v>
      </c>
      <c r="M36" s="223" t="s">
        <v>217</v>
      </c>
      <c r="T36" s="293"/>
      <c r="Y36" s="185"/>
      <c r="Z36" s="176"/>
      <c r="AA36" s="176"/>
      <c r="CS36" s="166"/>
    </row>
    <row r="37" spans="7:97" s="279" customFormat="1" ht="21" customHeight="1">
      <c r="H37" s="228" t="s">
        <v>219</v>
      </c>
      <c r="I37" s="229" t="str">
        <f>IF($B$4&amp;$B$3=I$35&amp;$H38,"A",IF($H38&lt;$B$3,"A",IF($H38&gt;$B$3,"E",IF($B$3=$H38,IF(AND($H38&gt;=$B$3,I$35&gt;=$B$4),"E","A")))))</f>
        <v>A</v>
      </c>
      <c r="J37" s="229" t="str">
        <f>IF($B$4&amp;$B$3=J$35&amp;$H38,"A",IF($H38&lt;$B$3,"A",IF($H38&gt;$B$3,"E",IF($B$3=$H38,IF(AND($H38&gt;=$B$3,J$35&gt;=$B$4),"E","A")))))</f>
        <v>A</v>
      </c>
      <c r="K37" s="229" t="str">
        <f>IF($B$4&amp;$B$3=K$35&amp;$H38,"A",IF($H38&lt;$B$3,"A",IF($H38&gt;$B$3,"E",IF($B$3=$H38,IF(AND($H38&gt;=$B$3,K$35&gt;=$B$4),"E","A")))))</f>
        <v>A</v>
      </c>
      <c r="L37" s="229" t="str">
        <f>IF($B$4&amp;$B$3=L$35&amp;$H38,"A",IF($H38&lt;$B$3,"A",IF($H38&gt;$B$3,"E",IF($B$3=$H38,IF(AND($H38&gt;=$B$3,L$35&gt;=$B$4),"E","A")))))</f>
        <v>A</v>
      </c>
      <c r="M37" s="230" t="str">
        <f>IF($H38&lt;$B$3,"A",IF($B$4&amp;$B$3=$L$35&amp;$H38,"A","E"))</f>
        <v>A</v>
      </c>
      <c r="T37" s="293"/>
      <c r="Y37" s="185"/>
      <c r="Z37" s="176"/>
      <c r="AA37" s="176"/>
      <c r="CS37" s="166"/>
    </row>
    <row r="38" spans="7:97" s="279" customFormat="1" ht="21" customHeight="1">
      <c r="H38" s="235">
        <f>$B$2</f>
        <v>2024</v>
      </c>
      <c r="I38" s="267"/>
      <c r="J38" s="267"/>
      <c r="K38" s="268"/>
      <c r="L38" s="268"/>
      <c r="M38" s="371" cm="1">
        <f t="array" ref="M38">_xll.FDS($B$1,"FE_ESTIMATE(EPS,MEAN,ANN_ROLL,"&amp;H38&amp;",NOW,,,'')")</f>
        <v>0.11</v>
      </c>
      <c r="T38" s="293"/>
      <c r="Y38" s="185"/>
      <c r="Z38" s="176"/>
      <c r="AA38" s="176"/>
      <c r="CS38" s="166"/>
    </row>
    <row r="39" spans="7:97" s="279" customFormat="1" ht="21" customHeight="1">
      <c r="H39" s="242" t="s">
        <v>225</v>
      </c>
      <c r="I39" s="243" t="str">
        <f>_xll.BLUEMATRIX2("/servlet/excelData",$I38, $B$1,$K$34&amp;":"&amp;$H38&amp;$I37&amp;":"&amp;I$36&amp;":"&amp;VLOOKUP($L$34,$D$2466:$E$2476,2,0)&amp;":"&amp;$M$34)</f>
        <v>#</v>
      </c>
      <c r="J39" s="243" t="str">
        <f>_xll.BLUEMATRIX2("/servlet/excelData",$J38, $B$1,$K$34&amp;":"&amp;$H38&amp;$J37&amp;":"&amp;J$36&amp;":"&amp;VLOOKUP($L$34,$D$2466:$E$2476,2,0)&amp;":"&amp;$M$34)</f>
        <v>#</v>
      </c>
      <c r="K39" s="243" t="str">
        <f>_xll.BLUEMATRIX2("/servlet/excelData",$K38, $B$1,$K$34&amp;":"&amp;$H38&amp;$K37&amp;":"&amp;K$36&amp;":"&amp;VLOOKUP($L$34,$D$2466:$E$2476,2,0)&amp;":"&amp;$M$34)</f>
        <v>#</v>
      </c>
      <c r="L39" s="243" t="str">
        <f>_xll.BLUEMATRIX2("/servlet/excelData",$L38, $B$1,$K$34&amp;":"&amp;$H38&amp;$L37&amp;":"&amp;L$36&amp;":"&amp;VLOOKUP($L$34,$D$2466:$E$2476,2,0)&amp;":"&amp;$M$34)</f>
        <v>#</v>
      </c>
      <c r="M39" s="244" t="str">
        <f>_xll.BLUEMATRIX2("/servlet/excelData",$M38, $B$1,$K$34&amp;":"&amp;$H38&amp;$M37&amp;":"&amp;M$36&amp;":"&amp;VLOOKUP($L$34,$D$2466:$E$2476,2,0)&amp;":"&amp;$M$34)</f>
        <v>UPDATED: 2/17/2026 3:34:09 PM</v>
      </c>
      <c r="T39" s="293"/>
      <c r="Y39" s="185"/>
      <c r="Z39" s="176"/>
      <c r="AA39" s="176"/>
      <c r="CS39" s="166"/>
    </row>
    <row r="40" spans="7:97" s="279" customFormat="1" ht="9" customHeight="1">
      <c r="H40" s="214"/>
      <c r="I40" s="251"/>
      <c r="J40" s="251"/>
      <c r="K40" s="252"/>
      <c r="L40" s="252"/>
      <c r="M40" s="253"/>
      <c r="T40" s="293"/>
      <c r="Y40" s="185"/>
      <c r="Z40" s="176"/>
      <c r="AA40" s="176"/>
      <c r="CS40" s="166"/>
    </row>
    <row r="41" spans="7:97" s="279" customFormat="1" ht="21" customHeight="1">
      <c r="H41" s="228" t="s">
        <v>219</v>
      </c>
      <c r="I41" s="229" t="str">
        <f>IF($B$4&amp;$B$3=I$35&amp;$H42,"A",IF($H42&lt;$B$3,"A",IF($H42&gt;$B$3,"E",IF($B$3=$H42,IF(AND($H42&gt;=$B$3,I$35&gt;=$B$4),"E","A")))))</f>
        <v>A</v>
      </c>
      <c r="J41" s="229" t="str">
        <f>IF($B$4&amp;$B$3=J$35&amp;$H42,"A",IF($H42&lt;$B$3,"A",IF($H42&gt;$B$3,"E",IF($B$3=$H42,IF(AND($H42&gt;=$B$3,J$35&gt;=$B$4),"E","A")))))</f>
        <v>A</v>
      </c>
      <c r="K41" s="229" t="str">
        <f>IF($B$4&amp;$B$3=K$35&amp;$H42,"A",IF($H42&lt;$B$3,"A",IF($H42&gt;$B$3,"E",IF($B$3=$H42,IF(AND($H42&gt;=$B$3,K$35&gt;=$B$4),"E","A")))))</f>
        <v>A</v>
      </c>
      <c r="L41" s="229" t="str">
        <f>IF($B$4&amp;$B$3=L$35&amp;$H42,"A",IF($H42&lt;$B$3,"A",IF($H42&gt;$B$3,"E",IF($B$3=$H42,IF(AND($H42&gt;=$B$3,L$35&gt;=$B$4),"E","A")))))</f>
        <v>A</v>
      </c>
      <c r="M41" s="230" t="str">
        <f>IF($H42&lt;$B$3,"A",IF($B$4&amp;$B$3=$L$35&amp;$H42,"A","E"))</f>
        <v>A</v>
      </c>
      <c r="T41" s="293"/>
      <c r="Y41" s="185"/>
      <c r="Z41" s="176"/>
      <c r="AA41" s="176"/>
      <c r="CS41" s="166"/>
    </row>
    <row r="42" spans="7:97" s="279" customFormat="1" ht="21" customHeight="1">
      <c r="H42" s="235">
        <f>$B$2+1</f>
        <v>2025</v>
      </c>
      <c r="I42" s="267"/>
      <c r="J42" s="267"/>
      <c r="K42" s="268"/>
      <c r="L42" s="268"/>
      <c r="M42" s="371" cm="1">
        <f t="array" ref="M42">_xll.FDS($B$1,"FE_ESTIMATE(EPS,MEAN,ANN_ROLL,"&amp;H42&amp;",NOW,,,'')")</f>
        <v>0.12</v>
      </c>
      <c r="T42" s="293"/>
      <c r="Y42" s="185"/>
      <c r="Z42" s="176"/>
      <c r="AA42" s="176"/>
      <c r="CS42" s="166"/>
    </row>
    <row r="43" spans="7:97" s="279" customFormat="1" ht="21" customHeight="1">
      <c r="H43" s="242" t="s">
        <v>225</v>
      </c>
      <c r="I43" s="243" t="str">
        <f>_xll.BLUEMATRIX2("/servlet/excelData",$I42, $B$1,$K$34&amp;":"&amp;$H42&amp;$I41&amp;":"&amp;I$36&amp;":"&amp;VLOOKUP($L$34,$D$2466:$E$2476,2,0)&amp;":"&amp;$M$34)</f>
        <v>#</v>
      </c>
      <c r="J43" s="243" t="str">
        <f>_xll.BLUEMATRIX2("/servlet/excelData",$J42, $B$1,$K$34&amp;":"&amp;$H42&amp;$J41&amp;":"&amp;J$36&amp;":"&amp;VLOOKUP($L$34,$D$2466:$E$2476,2,0)&amp;":"&amp;$M$34)</f>
        <v>#</v>
      </c>
      <c r="K43" s="243" t="str">
        <f>_xll.BLUEMATRIX2("/servlet/excelData",$K42, $B$1,$K$34&amp;":"&amp;$H42&amp;K$41&amp;":"&amp;$K36&amp;":"&amp;VLOOKUP($L$34,$D$2466:$E$2476,2,0)&amp;":"&amp;$M$34)</f>
        <v>#</v>
      </c>
      <c r="L43" s="243" t="str">
        <f>_xll.BLUEMATRIX2("/servlet/excelData",$L42, $B$1,$K$34&amp;":"&amp;$H42&amp;$L41&amp;":"&amp;L$36&amp;":"&amp;VLOOKUP($L$34,$D$2466:$E$2476,2,0)&amp;":"&amp;$M$34)</f>
        <v>#</v>
      </c>
      <c r="M43" s="244" t="str">
        <f>_xll.BLUEMATRIX2("/servlet/excelData",$M42, $B$1,$K$34&amp;":"&amp;$H42&amp;$M41&amp;":"&amp;M$36&amp;":"&amp;VLOOKUP($L$34,$D$2466:$E$2476,2,0)&amp;":"&amp;$M$34)</f>
        <v>UPDATED: 2/17/2026 3:34:09 PM</v>
      </c>
      <c r="T43" s="293"/>
      <c r="Y43" s="185"/>
      <c r="Z43" s="176"/>
      <c r="AA43" s="176"/>
      <c r="CS43" s="166"/>
    </row>
    <row r="44" spans="7:97" s="279" customFormat="1" ht="9" customHeight="1">
      <c r="H44" s="214"/>
      <c r="I44" s="251"/>
      <c r="J44" s="251"/>
      <c r="K44" s="252"/>
      <c r="L44" s="252"/>
      <c r="M44" s="253"/>
      <c r="T44" s="293"/>
      <c r="Y44" s="185"/>
      <c r="Z44" s="176"/>
      <c r="AA44" s="176"/>
      <c r="CS44" s="166"/>
    </row>
    <row r="45" spans="7:97" s="279" customFormat="1" ht="21" customHeight="1">
      <c r="H45" s="228" t="s">
        <v>219</v>
      </c>
      <c r="I45" s="229" t="str">
        <f>IF($B$4&amp;$B$3=I$35&amp;$H46,"A",IF($H46&lt;$B$3,"A",IF($H46&gt;$B$3,"E",IF($B$3=$H46,IF(AND($H46&gt;=$B$3,I$35&gt;=$B$4),"E","A")))))</f>
        <v>E</v>
      </c>
      <c r="J45" s="229" t="str">
        <f>IF($B$4&amp;$B$3=J$35&amp;$H46,"A",IF($H46&lt;$B$3,"A",IF($H46&gt;$B$3,"E",IF($B$3=$H46,IF(AND($H46&gt;=$B$3,J$35&gt;=$B$4),"E","A")))))</f>
        <v>E</v>
      </c>
      <c r="K45" s="229" t="str">
        <f>IF($B$4&amp;$B$3=K$35&amp;$H46,"A",IF($H46&lt;$B$3,"A",IF($H46&gt;$B$3,"E",IF($B$3=$H46,IF(AND($H46&gt;=$B$3,K$35&gt;=$B$4),"E","A")))))</f>
        <v>E</v>
      </c>
      <c r="L45" s="229" t="str">
        <f>IF($B$4&amp;$B$3=L$35&amp;$H46,"A",IF($H46&lt;$B$3,"A",IF($H46&gt;$B$3,"E",IF($B$3=$H46,IF(AND($H46&gt;=$B$3,L$35&gt;=$B$4),"E","A")))))</f>
        <v>E</v>
      </c>
      <c r="M45" s="230" t="str">
        <f>IF($H46&lt;$B$3,"A",IF($B$4&amp;$B$3=$L$35&amp;$H46,"A","E"))</f>
        <v>E</v>
      </c>
      <c r="T45" s="293"/>
      <c r="Y45" s="185"/>
      <c r="Z45" s="176"/>
      <c r="AA45" s="176"/>
      <c r="CS45" s="166"/>
    </row>
    <row r="46" spans="7:97" s="279" customFormat="1" ht="21" customHeight="1">
      <c r="H46" s="235">
        <f>$B$2+2</f>
        <v>2026</v>
      </c>
      <c r="I46" s="267"/>
      <c r="J46" s="267"/>
      <c r="K46" s="268"/>
      <c r="L46" s="268"/>
      <c r="M46" s="371" cm="1">
        <f t="array" ref="M46">_xll.FDS($B$1,"FE_ESTIMATE(EPS,MEAN,ANN_ROLL,"&amp;H46&amp;",NOW,,,'')")</f>
        <v>0.16745383999999999</v>
      </c>
      <c r="T46" s="293"/>
      <c r="Y46" s="185"/>
      <c r="Z46" s="176"/>
      <c r="AA46" s="176"/>
      <c r="CS46" s="166"/>
    </row>
    <row r="47" spans="7:97" s="279" customFormat="1" ht="21" customHeight="1">
      <c r="H47" s="242" t="s">
        <v>225</v>
      </c>
      <c r="I47" s="243" t="str">
        <f>_xll.BLUEMATRIX2("/servlet/excelData",$I46, $B$1,$K$34&amp;":"&amp;$H46&amp;$I45&amp;":"&amp;I$36&amp;":"&amp;VLOOKUP($L$34,$D$2466:$E$2476,2,0)&amp;":"&amp;$M$34)</f>
        <v>#</v>
      </c>
      <c r="J47" s="243" t="str">
        <f>_xll.BLUEMATRIX2("/servlet/excelData",$J46, $B$1,$K$34&amp;":"&amp;$H46&amp;$J45&amp;":"&amp;J$36&amp;":"&amp;VLOOKUP($L$34,$D$2466:$E$2476,2,0)&amp;":"&amp;$M$34)</f>
        <v>#</v>
      </c>
      <c r="K47" s="243" t="str">
        <f>_xll.BLUEMATRIX2("/servlet/excelData",$K46, $B$1,$K$34&amp;":"&amp;$H46&amp;$K45&amp;":"&amp;K$36&amp;":"&amp;VLOOKUP($L$34,$D$2466:$E$2476,2,0)&amp;":"&amp;$M$34)</f>
        <v>#</v>
      </c>
      <c r="L47" s="243" t="str">
        <f>_xll.BLUEMATRIX2("/servlet/excelData",$L46, $B$1,$K$34&amp;":"&amp;$H46&amp;$L45&amp;":"&amp;L$36&amp;":"&amp;VLOOKUP($L$34,$D$2466:$E$2476,2,0)&amp;":"&amp;$M$34)</f>
        <v>#</v>
      </c>
      <c r="M47" s="244" t="str">
        <f>_xll.BLUEMATRIX2("/servlet/excelData",$M46, $B$1,$K$34&amp;":"&amp;$H46&amp;$M45&amp;":"&amp;M$36&amp;":"&amp;VLOOKUP($L$34,$D$2466:$E$2476,2,0)&amp;":"&amp;$M$34)</f>
        <v>UPDATED: 2/17/2026 3:34:09 PM</v>
      </c>
      <c r="T47" s="293"/>
      <c r="Y47" s="185"/>
      <c r="Z47" s="176"/>
      <c r="AA47" s="176"/>
      <c r="CS47" s="166"/>
    </row>
    <row r="48" spans="7:97" s="279" customFormat="1" ht="9" customHeight="1">
      <c r="H48" s="214"/>
      <c r="I48" s="251"/>
      <c r="J48" s="251"/>
      <c r="K48" s="252"/>
      <c r="L48" s="252"/>
      <c r="M48" s="253"/>
      <c r="T48" s="293"/>
      <c r="Y48" s="185"/>
      <c r="Z48" s="176"/>
      <c r="AA48" s="176"/>
      <c r="CS48" s="166"/>
    </row>
    <row r="49" spans="7:97" s="279" customFormat="1" ht="21" customHeight="1">
      <c r="H49" s="228" t="s">
        <v>219</v>
      </c>
      <c r="I49" s="229" t="str">
        <f>IF($B$4&amp;$B$3=I$35&amp;$H50,"A",IF($H50&lt;$B$3,"A",IF($H50&gt;$B$3,"E",IF($B$3=$H50,IF(AND($H50&gt;=$B$3,I$35&gt;=$B$4),"E","A")))))</f>
        <v>E</v>
      </c>
      <c r="J49" s="229" t="str">
        <f>IF($B$4&amp;$B$3=J$35&amp;$H50,"A",IF($H50&lt;$B$3,"A",IF($H50&gt;$B$3,"E",IF($B$3=$H50,IF(AND($H50&gt;=$B$3,J$35&gt;=$B$4),"E","A")))))</f>
        <v>E</v>
      </c>
      <c r="K49" s="229" t="str">
        <f>IF($B$4&amp;$B$3=K$35&amp;$H50,"A",IF($H50&lt;$B$3,"A",IF($H50&gt;$B$3,"E",IF($B$3=$H50,IF(AND($H50&gt;=$B$3,K$35&gt;=$B$4),"E","A")))))</f>
        <v>E</v>
      </c>
      <c r="L49" s="229" t="str">
        <f>IF($B$4&amp;$B$3=L$35&amp;$H50,"A",IF($H50&lt;$B$3,"A",IF($H50&gt;$B$3,"E",IF($B$3=$H50,IF(AND($H50&gt;=$B$3,L$35&gt;=$B$4),"E","A")))))</f>
        <v>E</v>
      </c>
      <c r="M49" s="230" t="str">
        <f>IF($H50&lt;$B$3,"A",IF($B$4&amp;$B$3=$L$35&amp;$H50,"A","E"))</f>
        <v>E</v>
      </c>
      <c r="T49" s="293"/>
      <c r="Y49" s="185"/>
      <c r="Z49" s="176"/>
      <c r="AA49" s="176"/>
      <c r="CS49" s="166"/>
    </row>
    <row r="50" spans="7:97" s="279" customFormat="1" ht="21" customHeight="1">
      <c r="H50" s="235">
        <f>$B$2+3</f>
        <v>2027</v>
      </c>
      <c r="I50" s="267"/>
      <c r="J50" s="267"/>
      <c r="K50" s="268"/>
      <c r="L50" s="268"/>
      <c r="M50" s="371" cm="1">
        <f t="array" ref="M50">_xll.FDS($B$1,"FE_ESTIMATE(EPS,MEAN,ANN_ROLL,"&amp;H50&amp;",NOW,,,'')")</f>
        <v>0.35399999999999998</v>
      </c>
      <c r="T50" s="293"/>
      <c r="Y50" s="185"/>
      <c r="Z50" s="176"/>
      <c r="AA50" s="176"/>
      <c r="CS50" s="166"/>
    </row>
    <row r="51" spans="7:97" s="279" customFormat="1" ht="21" customHeight="1">
      <c r="H51" s="242" t="s">
        <v>225</v>
      </c>
      <c r="I51" s="243" t="str">
        <f>_xll.BLUEMATRIX2("/servlet/excelData",$I50, $B$1,$K$34&amp;":"&amp;$H50&amp;$I49&amp;":"&amp;I$36&amp;":"&amp;VLOOKUP($L$34,$D$2466:$E$2476,2,0)&amp;":"&amp;$M$34)</f>
        <v>#</v>
      </c>
      <c r="J51" s="243" t="str">
        <f>_xll.BLUEMATRIX2("/servlet/excelData",$J50, $B$1,$K$34&amp;":"&amp;$H50&amp;$J49&amp;":"&amp;J$36&amp;":"&amp;VLOOKUP($L$34,$D$2466:$E$2476,2,0)&amp;":"&amp;$M$34)</f>
        <v>#</v>
      </c>
      <c r="K51" s="243" t="str">
        <f>_xll.BLUEMATRIX2("/servlet/excelData",$K50, $B$1,$K$34&amp;":"&amp;$H50&amp;$K49&amp;":"&amp;K$36&amp;":"&amp;VLOOKUP($L$34,$D$2466:$E$2476,2,0)&amp;":"&amp;$M$34)</f>
        <v>#</v>
      </c>
      <c r="L51" s="243" t="str">
        <f>_xll.BLUEMATRIX2("/servlet/excelData",$L50, $B$1,$K$34&amp;":"&amp;$H50&amp;$L49&amp;":"&amp;L$36&amp;":"&amp;VLOOKUP($L$34,$D$2466:$E$2476,2,0)&amp;":"&amp;$M$34)</f>
        <v>#</v>
      </c>
      <c r="M51" s="244" t="str">
        <f>_xll.BLUEMATRIX2("/servlet/excelData",$M50, $B$1,$K$34&amp;":"&amp;$H50&amp;$M49&amp;":"&amp;M$36&amp;":"&amp;VLOOKUP($L$34,$D$2466:$E$2476,2,0)&amp;":"&amp;$M$34)</f>
        <v>UPDATED: 2/17/2026 3:34:09 PM</v>
      </c>
      <c r="T51" s="293"/>
      <c r="Y51" s="185"/>
      <c r="Z51" s="176"/>
      <c r="AA51" s="176"/>
      <c r="CS51" s="166"/>
    </row>
    <row r="52" spans="7:97" s="279" customFormat="1" ht="9" customHeight="1">
      <c r="H52" s="214"/>
      <c r="I52" s="251"/>
      <c r="J52" s="251"/>
      <c r="K52" s="252"/>
      <c r="L52" s="252"/>
      <c r="M52" s="253"/>
      <c r="T52" s="293"/>
      <c r="Y52" s="185"/>
      <c r="Z52" s="176"/>
      <c r="AA52" s="176"/>
      <c r="CS52" s="166"/>
    </row>
    <row r="53" spans="7:97" s="279" customFormat="1" ht="21" customHeight="1">
      <c r="H53" s="228" t="s">
        <v>219</v>
      </c>
      <c r="I53" s="229" t="str">
        <f>IF($B$4&amp;$B$3=I$35&amp;$H54,"A",IF($H54&lt;$B$3,"A",IF($H54&gt;$B$3,"E",IF($B$3=$H54,IF(AND($H54&gt;=$B$3,I$35&gt;=$B$4),"E","A")))))</f>
        <v>E</v>
      </c>
      <c r="J53" s="229" t="str">
        <f>IF($B$4&amp;$B$3=J$35&amp;$H54,"A",IF($H54&lt;$B$3,"A",IF($H54&gt;$B$3,"E",IF($B$3=$H54,IF(AND($H54&gt;=$B$3,J$35&gt;=$B$4),"E","A")))))</f>
        <v>E</v>
      </c>
      <c r="K53" s="229" t="str">
        <f>IF($B$4&amp;$B$3=K$35&amp;$H54,"A",IF($H54&lt;$B$3,"A",IF($H54&gt;$B$3,"E",IF($B$3=$H54,IF(AND($H54&gt;=$B$3,K$35&gt;=$B$4),"E","A")))))</f>
        <v>E</v>
      </c>
      <c r="L53" s="229" t="str">
        <f>IF($B$4&amp;$B$3=L$35&amp;$H54,"A",IF($H54&lt;$B$3,"A",IF($H54&gt;$B$3,"E",IF($B$3=$H54,IF(AND($H54&gt;=$B$3,L$35&gt;=$B$4),"E","A")))))</f>
        <v>E</v>
      </c>
      <c r="M53" s="230" t="str">
        <f>IF($H54&lt;$B$3,"A",IF($B$4&amp;$B$3=$L$35&amp;$H54,"A","E"))</f>
        <v>E</v>
      </c>
      <c r="T53" s="293"/>
      <c r="Y53" s="185"/>
      <c r="Z53" s="176"/>
      <c r="AA53" s="176"/>
      <c r="CS53" s="166"/>
    </row>
    <row r="54" spans="7:97" s="279" customFormat="1" ht="21" customHeight="1">
      <c r="H54" s="235">
        <f>$B$2+4</f>
        <v>2028</v>
      </c>
      <c r="I54" s="267"/>
      <c r="J54" s="267"/>
      <c r="K54" s="268"/>
      <c r="L54" s="268"/>
      <c r="M54" s="371" cm="1">
        <f t="array" ref="M54">_xll.FDS($B$1,"FE_ESTIMATE(EPS,MEAN,ANN_ROLL,"&amp;H54&amp;",NOW,,,'')")</f>
        <v>0.45</v>
      </c>
      <c r="T54" s="293"/>
      <c r="Y54" s="185"/>
      <c r="Z54" s="176"/>
      <c r="AA54" s="176"/>
      <c r="CS54" s="166"/>
    </row>
    <row r="55" spans="7:97" s="279" customFormat="1" ht="25.5" customHeight="1">
      <c r="H55" s="242" t="s">
        <v>225</v>
      </c>
      <c r="I55" s="243" t="str">
        <f>_xll.BLUEMATRIX2("/servlet/excelData",$I54, $B$1,$K$34&amp;":"&amp;$H54&amp;$I53&amp;":"&amp;I$36&amp;":"&amp;VLOOKUP($L$34,$D$2466:$E$2476,2,0)&amp;":"&amp;$M$34)</f>
        <v>#</v>
      </c>
      <c r="J55" s="243" t="str">
        <f>_xll.BLUEMATRIX2("/servlet/excelData",$J54, $B$1,$K$34&amp;":"&amp;$H54&amp;$J53&amp;":"&amp;J$36&amp;":"&amp;VLOOKUP($L$34,$D$2466:$E$2476,2,0)&amp;":"&amp;$M$34)</f>
        <v>#</v>
      </c>
      <c r="K55" s="243" t="str">
        <f>_xll.BLUEMATRIX2("/servlet/excelData",$K54, $B$1,$K$34&amp;":"&amp;$H54&amp;$K53&amp;":"&amp;K$36&amp;":"&amp;VLOOKUP($L$34,$D$2466:$E$2476,2,0)&amp;":"&amp;$M$34)</f>
        <v>#</v>
      </c>
      <c r="L55" s="243" t="str">
        <f>_xll.BLUEMATRIX2("/servlet/excelData",$L54, $B$1,$K$34&amp;":"&amp;$H54&amp;$L53&amp;":"&amp;L$36&amp;":"&amp;VLOOKUP($L$34,$D$2466:$E$2476,2,0)&amp;":"&amp;$M$34)</f>
        <v>#</v>
      </c>
      <c r="M55" s="244" t="str">
        <f>_xll.BLUEMATRIX2("/servlet/excelData",$M54, $B$1,$K$34&amp;":"&amp;$H54&amp;$M53&amp;":"&amp;M$36&amp;":"&amp;VLOOKUP($L$34,$D$2466:$E$2476,2,0)&amp;":"&amp;$M$34)</f>
        <v>UPDATED: 2/17/2026 3:34:09 PM</v>
      </c>
      <c r="T55" s="293"/>
      <c r="Y55" s="185"/>
      <c r="Z55" s="176"/>
      <c r="AA55" s="176"/>
      <c r="CS55" s="166"/>
    </row>
    <row r="56" spans="7:97" s="279" customFormat="1" ht="6" customHeight="1" thickBot="1">
      <c r="H56" s="286"/>
      <c r="I56" s="287"/>
      <c r="J56" s="287"/>
      <c r="K56" s="288"/>
      <c r="L56" s="288"/>
      <c r="M56" s="289"/>
      <c r="T56" s="293"/>
      <c r="Y56" s="185"/>
      <c r="Z56" s="176"/>
      <c r="AA56" s="176"/>
      <c r="CS56" s="166"/>
    </row>
    <row r="57" spans="7:97" s="279" customFormat="1" ht="9" customHeight="1" thickBot="1">
      <c r="H57" s="185"/>
      <c r="I57" s="185"/>
      <c r="J57" s="185"/>
      <c r="M57" s="292"/>
      <c r="T57" s="293"/>
      <c r="Y57" s="185"/>
      <c r="Z57" s="176"/>
      <c r="AA57" s="176"/>
      <c r="CS57" s="166"/>
    </row>
    <row r="58" spans="7:97" s="279" customFormat="1" ht="21" customHeight="1">
      <c r="H58" s="302" t="s">
        <v>251</v>
      </c>
      <c r="I58" s="195"/>
      <c r="J58" s="946" t="s">
        <v>191</v>
      </c>
      <c r="K58" s="946"/>
      <c r="L58" s="946"/>
      <c r="M58" s="947"/>
      <c r="T58" s="293"/>
      <c r="Y58" s="185"/>
      <c r="Z58" s="176"/>
      <c r="AA58" s="176"/>
      <c r="CS58" s="166"/>
    </row>
    <row r="59" spans="7:97" s="279" customFormat="1" ht="26.25">
      <c r="G59" s="294"/>
      <c r="H59" s="196" t="s">
        <v>193</v>
      </c>
      <c r="I59" s="295"/>
      <c r="J59" s="295"/>
      <c r="K59" s="296" t="s">
        <v>194</v>
      </c>
      <c r="L59" s="297" t="s">
        <v>195</v>
      </c>
      <c r="M59" s="298" t="s">
        <v>196</v>
      </c>
      <c r="T59" s="293"/>
      <c r="Y59" s="185"/>
      <c r="Z59" s="176"/>
      <c r="AA59" s="176"/>
      <c r="CS59" s="166"/>
    </row>
    <row r="60" spans="7:97" s="279" customFormat="1" ht="21" customHeight="1">
      <c r="H60" s="303" t="s">
        <v>252</v>
      </c>
      <c r="I60" s="304"/>
      <c r="J60" s="304"/>
      <c r="K60" s="370" t="str">
        <f>VLOOKUP(H60,$A$2466:$B$2566,2,FALSE)</f>
        <v>EPS</v>
      </c>
      <c r="L60" s="306" t="s">
        <v>273</v>
      </c>
      <c r="M60" s="307" t="s">
        <v>202</v>
      </c>
      <c r="R60" s="293"/>
      <c r="W60" s="185"/>
      <c r="X60" s="176"/>
      <c r="Y60" s="176"/>
      <c r="CQ60" s="166"/>
    </row>
    <row r="61" spans="7:97" s="279" customFormat="1" ht="21" customHeight="1">
      <c r="G61" s="166"/>
      <c r="H61" s="214"/>
      <c r="I61" s="215" t="s">
        <v>206</v>
      </c>
      <c r="J61" s="215" t="s">
        <v>207</v>
      </c>
      <c r="K61" s="216" t="s">
        <v>208</v>
      </c>
      <c r="L61" s="216" t="s">
        <v>209</v>
      </c>
      <c r="M61" s="217" t="s">
        <v>210</v>
      </c>
      <c r="R61" s="293"/>
      <c r="W61" s="185"/>
      <c r="X61" s="176"/>
      <c r="Y61" s="176"/>
      <c r="CQ61" s="166"/>
    </row>
    <row r="62" spans="7:97" s="279" customFormat="1" ht="21">
      <c r="H62" s="214"/>
      <c r="I62" s="222" t="s">
        <v>213</v>
      </c>
      <c r="J62" s="222" t="s">
        <v>214</v>
      </c>
      <c r="K62" s="222" t="s">
        <v>215</v>
      </c>
      <c r="L62" s="222" t="s">
        <v>216</v>
      </c>
      <c r="M62" s="223" t="s">
        <v>217</v>
      </c>
      <c r="T62" s="293"/>
      <c r="Y62" s="185"/>
      <c r="Z62" s="176"/>
      <c r="AA62" s="176"/>
      <c r="CS62" s="166"/>
    </row>
    <row r="63" spans="7:97" s="279" customFormat="1" ht="21" customHeight="1">
      <c r="H63" s="228" t="s">
        <v>219</v>
      </c>
      <c r="I63" s="229" t="str">
        <f>IF($B$4&amp;$B$3=I$61&amp;$H64,"A",IF($H64&lt;$B$3,"A",IF($H64&gt;$B$3,"E",IF($B$3=$H64,IF(AND($H64&gt;=$B$3,I$61&gt;=$B$4),"E","A")))))</f>
        <v>A</v>
      </c>
      <c r="J63" s="229" t="str">
        <f>IF($B$4&amp;$B$3=J$61&amp;$H64,"A",IF($H64&lt;$B$3,"A",IF($H64&gt;$B$3,"E",IF($B$3=$H64,IF(AND($H64&gt;=$B$3,J$61&gt;=$B$4),"E","A")))))</f>
        <v>A</v>
      </c>
      <c r="K63" s="229" t="str">
        <f>IF($B$4&amp;$B$3=K$61&amp;$H64,"A",IF($H64&lt;$B$3,"A",IF($H64&gt;$B$3,"E",IF($B$3=$H64,IF(AND($H64&gt;=$B$3,K$61&gt;=$B$4),"E","A")))))</f>
        <v>A</v>
      </c>
      <c r="L63" s="229" t="str">
        <f>IF($B$4&amp;$B$3=L$61&amp;$H64,"A",IF($H64&lt;$B$3,"A",IF($H64&gt;$B$3,"E",IF($B$3=$H64,IF(AND($H64&gt;=$B$3,L$61&gt;=$B$4),"E","A")))))</f>
        <v>A</v>
      </c>
      <c r="M63" s="230" t="str">
        <f>IF($H64&lt;$B$3,"A",IF($B$4&amp;$B$3=$L$61&amp;$H64,"A","E"))</f>
        <v>A</v>
      </c>
      <c r="T63" s="293"/>
      <c r="Y63" s="185"/>
      <c r="Z63" s="176"/>
      <c r="AA63" s="176"/>
      <c r="CS63" s="166"/>
    </row>
    <row r="64" spans="7:97" s="279" customFormat="1" ht="21" customHeight="1">
      <c r="H64" s="235">
        <f>$B$2</f>
        <v>2024</v>
      </c>
      <c r="I64" s="371">
        <f>IS!ER68</f>
        <v>-2.0965657238464462E-2</v>
      </c>
      <c r="J64" s="371">
        <f>IS!ES68</f>
        <v>3.4998615561093419E-2</v>
      </c>
      <c r="K64" s="371">
        <f>IS!ET68</f>
        <v>5.4602884532071079E-2</v>
      </c>
      <c r="L64" s="371">
        <f>IS!EU68</f>
        <v>4.3685121107266502E-2</v>
      </c>
      <c r="M64" s="371">
        <f>IS!EV68</f>
        <v>0.11264258461319883</v>
      </c>
      <c r="T64" s="293"/>
      <c r="Y64" s="185"/>
      <c r="Z64" s="176"/>
      <c r="AA64" s="176"/>
      <c r="CS64" s="166"/>
    </row>
    <row r="65" spans="8:97" s="279" customFormat="1" ht="21" customHeight="1">
      <c r="H65" s="242" t="s">
        <v>225</v>
      </c>
      <c r="I65" s="243" t="str">
        <f>_xll.BLUEMATRIX2("/servlet/excelData",$I64, $B$1,$K$60&amp;":"&amp;$H64&amp;$I63&amp;":"&amp;I$62&amp;":"&amp;VLOOKUP($L$60,$D$2466:$E$2476,2,0)&amp;":"&amp;$M$60)</f>
        <v>UPDATED: 2/17/2026 3:34:09 PM</v>
      </c>
      <c r="J65" s="243" t="str">
        <f>_xll.BLUEMATRIX2("/servlet/excelData",$J64, $B$1,$K$60&amp;":"&amp;$H64&amp;$J63&amp;":"&amp;J$62&amp;":"&amp;VLOOKUP($L$60,$D$2466:$E$2476,2,0)&amp;":"&amp;$M$60)</f>
        <v>UPDATED: 2/17/2026 3:34:09 PM</v>
      </c>
      <c r="K65" s="243" t="str">
        <f>_xll.BLUEMATRIX2("/servlet/excelData",$K64, $B$1,$K$60&amp;":"&amp;$H64&amp;$K63&amp;":"&amp;K$62&amp;":"&amp;VLOOKUP($L$60,$D$2466:$E$2476,2,0)&amp;":"&amp;$M$60)</f>
        <v>UPDATED: 2/17/2026 3:34:09 PM</v>
      </c>
      <c r="L65" s="243" t="str">
        <f>_xll.BLUEMATRIX2("/servlet/excelData",$L64, $B$1,$K$60&amp;":"&amp;$H64&amp;$L63&amp;":"&amp;L$62&amp;":"&amp;VLOOKUP($L$60,$D$2466:$E$2476,2,0)&amp;":"&amp;$M$60)</f>
        <v>UPDATED: 2/17/2026 3:34:09 PM</v>
      </c>
      <c r="M65" s="243" t="str">
        <f>_xll.BLUEMATRIX2("/servlet/excelData",$M64, $B$1,$K$60&amp;":"&amp;$H64&amp;$M63&amp;":"&amp;M$62&amp;":"&amp;VLOOKUP($L$60,$D$2466:$E$2476,2,0)&amp;":"&amp;$M$60)</f>
        <v>UPDATED: 2/17/2026 3:34:09 PM</v>
      </c>
      <c r="T65" s="293"/>
      <c r="Y65" s="185"/>
      <c r="Z65" s="176"/>
      <c r="AA65" s="176"/>
      <c r="CS65" s="166"/>
    </row>
    <row r="66" spans="8:97" s="279" customFormat="1" ht="9" customHeight="1">
      <c r="H66" s="214"/>
      <c r="I66" s="251"/>
      <c r="J66" s="251"/>
      <c r="K66" s="252"/>
      <c r="L66" s="252"/>
      <c r="M66" s="253"/>
      <c r="T66" s="293"/>
      <c r="Y66" s="185"/>
      <c r="Z66" s="176"/>
      <c r="AA66" s="176"/>
      <c r="CS66" s="166"/>
    </row>
    <row r="67" spans="8:97" s="279" customFormat="1" ht="21" customHeight="1">
      <c r="H67" s="228" t="s">
        <v>219</v>
      </c>
      <c r="I67" s="229" t="str">
        <f>IF($B$4&amp;$B$3=I$61&amp;$H68,"A",IF($H68&lt;$B$3,"A",IF($H68&gt;$B$3,"E",IF($B$3=$H68,IF(AND($H68&gt;=$B$3,I$61&gt;=$B$4),"E","A")))))</f>
        <v>A</v>
      </c>
      <c r="J67" s="229" t="str">
        <f>IF($B$4&amp;$B$3=J$61&amp;$H68,"A",IF($H68&lt;$B$3,"A",IF($H68&gt;$B$3,"E",IF($B$3=$H68,IF(AND($H68&gt;=$B$3,J$61&gt;=$B$4),"E","A")))))</f>
        <v>A</v>
      </c>
      <c r="K67" s="229" t="str">
        <f>IF($B$4&amp;$B$3=K$61&amp;$H68,"A",IF($H68&lt;$B$3,"A",IF($H68&gt;$B$3,"E",IF($B$3=$H68,IF(AND($H68&gt;=$B$3,K$61&gt;=$B$4),"E","A")))))</f>
        <v>A</v>
      </c>
      <c r="L67" s="229" t="str">
        <f>IF($B$4&amp;$B$3=L$61&amp;$H68,"A",IF($H68&lt;$B$3,"A",IF($H68&gt;$B$3,"E",IF($B$3=$H68,IF(AND($H68&gt;=$B$3,L$61&gt;=$B$4),"E","A")))))</f>
        <v>A</v>
      </c>
      <c r="M67" s="230" t="str">
        <f>IF($H68&lt;$B$3,"A",IF($B$4&amp;$B$3=$L$61&amp;$H68,"A","E"))</f>
        <v>A</v>
      </c>
      <c r="T67" s="293"/>
      <c r="Y67" s="185"/>
      <c r="Z67" s="176"/>
      <c r="AA67" s="176"/>
      <c r="CS67" s="166"/>
    </row>
    <row r="68" spans="8:97" s="279" customFormat="1" ht="21" customHeight="1">
      <c r="H68" s="235">
        <f>$B$2+1</f>
        <v>2025</v>
      </c>
      <c r="I68" s="371">
        <f>IS!EX68</f>
        <v>-3.6035045848510729E-3</v>
      </c>
      <c r="J68" s="371">
        <f>IS!EY68</f>
        <v>2.8050238767008927E-2</v>
      </c>
      <c r="K68" s="371">
        <f>IS!EZ68</f>
        <v>2.8415683526067822E-2</v>
      </c>
      <c r="L68" s="371">
        <f>IS!FA68</f>
        <v>6.2584865108122903E-2</v>
      </c>
      <c r="M68" s="371">
        <f>IS!FB68</f>
        <v>0.1158360660214855</v>
      </c>
      <c r="T68" s="293"/>
      <c r="Y68" s="185"/>
      <c r="Z68" s="176"/>
      <c r="AA68" s="176"/>
      <c r="CS68" s="166"/>
    </row>
    <row r="69" spans="8:97" s="279" customFormat="1" ht="21" customHeight="1">
      <c r="H69" s="242" t="s">
        <v>225</v>
      </c>
      <c r="I69" s="243" t="str">
        <f>_xll.BLUEMATRIX2("/servlet/excelData",$I68, $B$1,$K$60&amp;":"&amp;$H68&amp;$I67&amp;":"&amp;I$62&amp;":"&amp;VLOOKUP($L$60,$D$2466:$E$2476,2,0)&amp;":"&amp;$M$60)</f>
        <v>UPDATED: 2/17/2026 3:34:09 PM</v>
      </c>
      <c r="J69" s="243" t="str">
        <f>_xll.BLUEMATRIX2("/servlet/excelData",$J68, $B$1,$K$60&amp;":"&amp;$H68&amp;$J67&amp;":"&amp;J$62&amp;":"&amp;VLOOKUP($L$60,$D$2466:$E$2476,2,0)&amp;":"&amp;$M$60)</f>
        <v>UPDATED: 2/17/2026 3:34:09 PM</v>
      </c>
      <c r="K69" s="243" t="str">
        <f>_xll.BLUEMATRIX2("/servlet/excelData",$K68, $B$1,$K$60&amp;":"&amp;$H68&amp;$K67&amp;":"&amp;K$62&amp;":"&amp;VLOOKUP($L$60,$D$2466:$E$2476,2,0)&amp;":"&amp;$M$60)</f>
        <v>UPDATED: 2/17/2026 3:34:09 PM</v>
      </c>
      <c r="L69" s="243" t="str">
        <f>_xll.BLUEMATRIX2("/servlet/excelData",$L68, $B$1,$K$60&amp;":"&amp;$H68&amp;$L67&amp;":"&amp;L$62&amp;":"&amp;VLOOKUP($L$60,$D$2466:$E$2476,2,0)&amp;":"&amp;$M$60)</f>
        <v>UPDATED: 2/17/2026 3:34:09 PM</v>
      </c>
      <c r="M69" s="244" t="str">
        <f>_xll.BLUEMATRIX2("/servlet/excelData",$M68, $B$1,$K$60&amp;":"&amp;$H68&amp;$M67&amp;":"&amp;M$62&amp;":"&amp;VLOOKUP($L$60,$D$2466:$E$2476,2,0)&amp;":"&amp;$M$60)</f>
        <v>UPDATED: 2/17/2026 3:34:09 PM</v>
      </c>
      <c r="T69" s="293"/>
      <c r="Y69" s="185"/>
      <c r="Z69" s="176"/>
      <c r="AA69" s="176"/>
      <c r="CS69" s="166"/>
    </row>
    <row r="70" spans="8:97" s="279" customFormat="1" ht="9" customHeight="1">
      <c r="H70" s="214"/>
      <c r="I70" s="171"/>
      <c r="J70" s="171"/>
      <c r="K70" s="263"/>
      <c r="L70" s="263"/>
      <c r="M70" s="264"/>
      <c r="T70" s="293"/>
      <c r="Y70" s="185"/>
      <c r="Z70" s="176"/>
      <c r="AA70" s="176"/>
      <c r="CS70" s="166"/>
    </row>
    <row r="71" spans="8:97" s="279" customFormat="1" ht="21" customHeight="1">
      <c r="H71" s="228" t="s">
        <v>219</v>
      </c>
      <c r="I71" s="229" t="str">
        <f>IF($B$4&amp;$B$3=I$61&amp;$H72,"A",IF($H72&lt;$B$3,"A",IF($H72&gt;$B$3,"E",IF($B$3=$H72,IF(AND($H72&gt;=$B$3,I$61&gt;=$B$4),"E","A")))))</f>
        <v>E</v>
      </c>
      <c r="J71" s="229" t="str">
        <f>IF($B$4&amp;$B$3=J$61&amp;$H72,"A",IF($H72&lt;$B$3,"A",IF($H72&gt;$B$3,"E",IF($B$3=$H72,IF(AND($H72&gt;=$B$3,J$61&gt;=$B$4),"E","A")))))</f>
        <v>E</v>
      </c>
      <c r="K71" s="229" t="str">
        <f>IF($B$4&amp;$B$3=K$61&amp;$H72,"A",IF($H72&lt;$B$3,"A",IF($H72&gt;$B$3,"E",IF($B$3=$H72,IF(AND($H72&gt;=$B$3,K$61&gt;=$B$4),"E","A")))))</f>
        <v>E</v>
      </c>
      <c r="L71" s="229" t="str">
        <f>IF($B$4&amp;$B$3=L$61&amp;$H72,"A",IF($H72&lt;$B$3,"A",IF($H72&gt;$B$3,"E",IF($B$3=$H72,IF(AND($H72&gt;=$B$3,L$61&gt;=$B$4),"E","A")))))</f>
        <v>E</v>
      </c>
      <c r="M71" s="230" t="str">
        <f>IF($H72&lt;$B$3,"A",IF($B$4&amp;$B$3=$L$61&amp;$H72,"A","E"))</f>
        <v>E</v>
      </c>
      <c r="T71" s="293"/>
      <c r="Y71" s="185"/>
      <c r="Z71" s="176"/>
      <c r="AA71" s="176"/>
      <c r="CS71" s="166"/>
    </row>
    <row r="72" spans="8:97" s="279" customFormat="1" ht="21" customHeight="1">
      <c r="H72" s="235">
        <f>$B$2+2</f>
        <v>2026</v>
      </c>
      <c r="I72" s="371">
        <f>IS!FD68</f>
        <v>-6.5662617309505174E-4</v>
      </c>
      <c r="J72" s="371">
        <f>IS!FE68</f>
        <v>2.10747941299495E-2</v>
      </c>
      <c r="K72" s="371">
        <f>IS!FF68</f>
        <v>5.8043439115124162E-2</v>
      </c>
      <c r="L72" s="371">
        <f>IS!FG68</f>
        <v>7.480666486749743E-2</v>
      </c>
      <c r="M72" s="371">
        <f>IS!FH68</f>
        <v>0.15362635745998199</v>
      </c>
      <c r="T72" s="293"/>
      <c r="Y72" s="185"/>
      <c r="Z72" s="176"/>
      <c r="AA72" s="176"/>
      <c r="CS72" s="166"/>
    </row>
    <row r="73" spans="8:97" s="279" customFormat="1" ht="21" customHeight="1">
      <c r="H73" s="242" t="s">
        <v>225</v>
      </c>
      <c r="I73" s="243" t="e">
        <f ca="1">_xll.BLUEMATRIX2("/servlet/excelData",$I72, $B$1,$K$60&amp;":"&amp;$H72&amp;$I71&amp;":"&amp;I$62&amp;":"&amp;VLOOKUP($L$60,$D$2466:$E$2476,2,0)&amp;":"&amp;$M$60)</f>
        <v>#NAME?</v>
      </c>
      <c r="J73" s="243" t="e">
        <f ca="1">_xll.BLUEMATRIX2("/servlet/excelData",$J72, $B$1,$K$60&amp;":"&amp;$H72&amp;$J71&amp;":"&amp;J$62&amp;":"&amp;VLOOKUP($L$60,$D$2466:$E$2476,2,0)&amp;":"&amp;$M$60)</f>
        <v>#NAME?</v>
      </c>
      <c r="K73" s="243" t="e">
        <f ca="1">_xll.BLUEMATRIX2("/servlet/excelData",$K72, $B$1,$K$60&amp;":"&amp;$H72&amp;$K71&amp;":"&amp;K$62&amp;":"&amp;VLOOKUP($L$60,$D$2466:$E$2476,2,0)&amp;":"&amp;$M$60)</f>
        <v>#NAME?</v>
      </c>
      <c r="L73" s="243" t="e">
        <f ca="1">_xll.BLUEMATRIX2("/servlet/excelData",$L72, $B$1,$K$60&amp;":"&amp;$H72&amp;$L71&amp;":"&amp;L$62&amp;":"&amp;VLOOKUP($L$60,$D$2466:$E$2476,2,0)&amp;":"&amp;$M$60)</f>
        <v>#NAME?</v>
      </c>
      <c r="M73" s="244" t="e">
        <f ca="1">_xll.BLUEMATRIX2("/servlet/excelData",$M72, $B$1,$K$60&amp;":"&amp;$H72&amp;$M71&amp;":"&amp;M$62&amp;":"&amp;VLOOKUP($L$60,$D$2466:$E$2476,2,0)&amp;":"&amp;$M$60)</f>
        <v>#NAME?</v>
      </c>
      <c r="T73" s="293"/>
      <c r="Y73" s="185"/>
      <c r="Z73" s="176"/>
      <c r="AA73" s="176"/>
      <c r="CS73" s="166"/>
    </row>
    <row r="74" spans="8:97" s="279" customFormat="1" ht="9" customHeight="1">
      <c r="H74" s="214"/>
      <c r="I74" s="171"/>
      <c r="J74" s="171"/>
      <c r="K74" s="263"/>
      <c r="L74" s="263"/>
      <c r="M74" s="264"/>
      <c r="T74" s="293"/>
      <c r="Y74" s="185"/>
      <c r="Z74" s="176"/>
      <c r="AA74" s="176"/>
      <c r="CS74" s="166"/>
    </row>
    <row r="75" spans="8:97" s="279" customFormat="1" ht="21" customHeight="1">
      <c r="H75" s="228" t="s">
        <v>219</v>
      </c>
      <c r="I75" s="229" t="str">
        <f>IF($B$4&amp;$B$3=I$61&amp;$H76,"A",IF($H76&lt;$B$3,"A",IF($H76&gt;$B$3,"E",IF($B$3=$H76,IF(AND($H76&gt;=$B$3,I$61&gt;=$B$4),"E","A")))))</f>
        <v>E</v>
      </c>
      <c r="J75" s="229" t="str">
        <f>IF($B$4&amp;$B$3=J$61&amp;$H76,"A",IF($H76&lt;$B$3,"A",IF($H76&gt;$B$3,"E",IF($B$3=$H76,IF(AND($H76&gt;=$B$3,J$61&gt;=$B$4),"E","A")))))</f>
        <v>E</v>
      </c>
      <c r="K75" s="229" t="str">
        <f>IF($B$4&amp;$B$3=K$61&amp;$H76,"A",IF($H76&lt;$B$3,"A",IF($H76&gt;$B$3,"E",IF($B$3=$H76,IF(AND($H76&gt;=$B$3,K$61&gt;=$B$4),"E","A")))))</f>
        <v>E</v>
      </c>
      <c r="L75" s="229" t="str">
        <f>IF($B$4&amp;$B$3=L$61&amp;$H76,"A",IF($H76&lt;$B$3,"A",IF($H76&gt;$B$3,"E",IF($B$3=$H76,IF(AND($H76&gt;=$B$3,L$61&gt;=$B$4),"E","A")))))</f>
        <v>E</v>
      </c>
      <c r="M75" s="230" t="str">
        <f>IF($H76&lt;$B$3,"A",IF($B$4&amp;$B$3=$L$61&amp;$H76,"A","E"))</f>
        <v>E</v>
      </c>
      <c r="T75" s="293"/>
      <c r="Y75" s="185"/>
      <c r="Z75" s="176"/>
      <c r="AA75" s="176"/>
      <c r="CS75" s="166"/>
    </row>
    <row r="76" spans="8:97" s="279" customFormat="1" ht="21" customHeight="1">
      <c r="H76" s="235">
        <f>$B$2+3</f>
        <v>2027</v>
      </c>
      <c r="I76" s="371">
        <f>IS!FJ68</f>
        <v>7.1185903438561349E-2</v>
      </c>
      <c r="J76" s="371">
        <f>IS!FK68</f>
        <v>7.5699363904653566E-2</v>
      </c>
      <c r="K76" s="371">
        <f>IS!FL68</f>
        <v>7.9073325164144712E-2</v>
      </c>
      <c r="L76" s="371">
        <f>IS!FM68</f>
        <v>6.4739093391977615E-2</v>
      </c>
      <c r="M76" s="371">
        <f>IS!FN68</f>
        <v>0.29067923547662267</v>
      </c>
      <c r="T76" s="293"/>
      <c r="Y76" s="185"/>
      <c r="Z76" s="176"/>
      <c r="AA76" s="176"/>
      <c r="CS76" s="166"/>
    </row>
    <row r="77" spans="8:97" s="279" customFormat="1" ht="21" customHeight="1">
      <c r="H77" s="242" t="s">
        <v>225</v>
      </c>
      <c r="I77" s="243" t="e">
        <f ca="1">_xll.BLUEMATRIX2("/servlet/excelData",$I76, $B$1,$K$60&amp;":"&amp;$H76&amp;$I75&amp;":"&amp;I$62&amp;":"&amp;VLOOKUP($L$60,$D$2466:$E$2476,2,0)&amp;":"&amp;$M$60)</f>
        <v>#NAME?</v>
      </c>
      <c r="J77" s="243" t="e">
        <f ca="1">_xll.BLUEMATRIX2("/servlet/excelData",$J76, $B$1,$K$60&amp;":"&amp;$H76&amp;$J75&amp;":"&amp;J$62&amp;":"&amp;VLOOKUP($L$60,$D$2466:$E$2476,2,0)&amp;":"&amp;$M$60)</f>
        <v>#NAME?</v>
      </c>
      <c r="K77" s="243" t="e">
        <f ca="1">_xll.BLUEMATRIX2("/servlet/excelData",$K76, $B$1,$K$60&amp;":"&amp;$H76&amp;$K75&amp;":"&amp;K$62&amp;":"&amp;VLOOKUP($L$60,$D$2466:$E$2476,2,0)&amp;":"&amp;$M$60)</f>
        <v>#NAME?</v>
      </c>
      <c r="L77" s="243" t="e">
        <f ca="1">_xll.BLUEMATRIX2("/servlet/excelData",$L76, $B$1,$K$60&amp;":"&amp;$H76&amp;$L75&amp;":"&amp;L$62&amp;":"&amp;VLOOKUP($L$60,$D$2466:$E$2476,2,0)&amp;":"&amp;$M$60)</f>
        <v>#NAME?</v>
      </c>
      <c r="M77" s="244" t="e">
        <f ca="1">_xll.BLUEMATRIX2("/servlet/excelData",$M76, $B$1,$K$60&amp;":"&amp;$H76&amp;$M75&amp;":"&amp;M$62&amp;":"&amp;VLOOKUP($L$60,$D$2466:$E$2476,2,0)&amp;":"&amp;$M$60)</f>
        <v>#NAME?</v>
      </c>
      <c r="T77" s="293"/>
      <c r="Y77" s="185"/>
      <c r="Z77" s="176"/>
      <c r="AA77" s="176"/>
      <c r="CS77" s="166"/>
    </row>
    <row r="78" spans="8:97" s="279" customFormat="1" ht="9" customHeight="1">
      <c r="H78" s="214"/>
      <c r="I78" s="171"/>
      <c r="J78" s="171"/>
      <c r="K78" s="263"/>
      <c r="L78" s="263"/>
      <c r="M78" s="264"/>
      <c r="T78" s="293"/>
      <c r="Y78" s="185"/>
      <c r="Z78" s="176"/>
      <c r="AA78" s="176"/>
      <c r="CS78" s="166"/>
    </row>
    <row r="79" spans="8:97" s="279" customFormat="1" ht="21" customHeight="1">
      <c r="H79" s="228" t="s">
        <v>219</v>
      </c>
      <c r="I79" s="229" t="str">
        <f>IF($B$4&amp;$B$3=I$61&amp;$H80,"A",IF($H80&lt;$B$3,"A",IF($H80&gt;$B$3,"E",IF($B$3=$H80,IF(AND($H80&gt;=$B$3,I$61&gt;=$B$4),"E","A")))))</f>
        <v>E</v>
      </c>
      <c r="J79" s="229" t="str">
        <f>IF($B$4&amp;$B$3=J$61&amp;$H80,"A",IF($H80&lt;$B$3,"A",IF($H80&gt;$B$3,"E",IF($B$3=$H80,IF(AND($H80&gt;=$B$3,J$61&gt;=$B$4),"E","A")))))</f>
        <v>E</v>
      </c>
      <c r="K79" s="229" t="str">
        <f>IF($B$4&amp;$B$3=K$61&amp;$H80,"A",IF($H80&lt;$B$3,"A",IF($H80&gt;$B$3,"E",IF($B$3=$H80,IF(AND($H80&gt;=$B$3,K$61&gt;=$B$4),"E","A")))))</f>
        <v>E</v>
      </c>
      <c r="L79" s="229" t="str">
        <f>IF($B$4&amp;$B$3=L$61&amp;$H80,"A",IF($H80&lt;$B$3,"A",IF($H80&gt;$B$3,"E",IF($B$3=$H80,IF(AND($H80&gt;=$B$3,L$61&gt;=$B$4),"E","A")))))</f>
        <v>E</v>
      </c>
      <c r="M79" s="230" t="str">
        <f>IF($H80&lt;$B$3,"A",IF($B$4&amp;$B$3=$L$61&amp;$H80,"A","E"))</f>
        <v>E</v>
      </c>
      <c r="T79" s="293"/>
      <c r="Y79" s="185"/>
      <c r="Z79" s="176"/>
      <c r="AA79" s="176"/>
      <c r="CS79" s="166"/>
    </row>
    <row r="80" spans="8:97" s="279" customFormat="1" ht="21" customHeight="1">
      <c r="H80" s="235">
        <f>$B$2+4</f>
        <v>2028</v>
      </c>
      <c r="I80" s="267"/>
      <c r="J80" s="267"/>
      <c r="K80" s="268"/>
      <c r="L80" s="268"/>
      <c r="M80" s="731">
        <f>IS!FT68</f>
        <v>0.43262686239593079</v>
      </c>
      <c r="T80" s="293"/>
      <c r="Y80" s="185"/>
      <c r="Z80" s="176"/>
      <c r="AA80" s="176"/>
      <c r="CS80" s="166"/>
    </row>
    <row r="81" spans="7:97" s="279" customFormat="1" ht="25.5" customHeight="1">
      <c r="H81" s="242" t="s">
        <v>225</v>
      </c>
      <c r="I81" s="243" t="str">
        <f>_xll.BLUEMATRIX2("/servlet/excelData",$I80, $B$1,$K$60&amp;":"&amp;$H80&amp;$I79&amp;":"&amp;I$62&amp;":"&amp;VLOOKUP($L$60,$D$2466:$E$2476,2,0)&amp;":"&amp;$M$60)</f>
        <v>#</v>
      </c>
      <c r="J81" s="243" t="str">
        <f>_xll.BLUEMATRIX2("/servlet/excelData",$J80, $B$1,$K$60&amp;":"&amp;$H80&amp;$J79&amp;":"&amp;J$62&amp;":"&amp;VLOOKUP($L$60,$D$2466:$E$2476,2,0)&amp;":"&amp;$M$60)</f>
        <v>#</v>
      </c>
      <c r="K81" s="243" t="str">
        <f>_xll.BLUEMATRIX2("/servlet/excelData",$K80, $B$1,$K$60&amp;":"&amp;$H80&amp;$K79&amp;":"&amp;K$62&amp;":"&amp;VLOOKUP($L$60,$D$2466:$E$2476,2,0)&amp;":"&amp;$M$60)</f>
        <v>#</v>
      </c>
      <c r="L81" s="243" t="str">
        <f>_xll.BLUEMATRIX2("/servlet/excelData",$L80, $B$1,$K$60&amp;":"&amp;$H80&amp;$L79&amp;":"&amp;L$62&amp;":"&amp;VLOOKUP($L$60,$D$2466:$E$2476,2,0)&amp;":"&amp;$M$60)</f>
        <v>#</v>
      </c>
      <c r="M81" s="244" t="e">
        <f ca="1">_xll.BLUEMATRIX2("/servlet/excelData",$M80, $B$1,$K$60&amp;":"&amp;$H80&amp;$M79&amp;":"&amp;M$62&amp;":"&amp;VLOOKUP($L$60,$D$2466:$E$2476,2,0)&amp;":"&amp;$M$60)</f>
        <v>#NAME?</v>
      </c>
      <c r="T81" s="293"/>
      <c r="Y81" s="185"/>
      <c r="Z81" s="176"/>
      <c r="AA81" s="176"/>
      <c r="CS81" s="166"/>
    </row>
    <row r="82" spans="7:97" s="279" customFormat="1" ht="6" customHeight="1" thickBot="1">
      <c r="H82" s="286"/>
      <c r="I82" s="308"/>
      <c r="J82" s="308"/>
      <c r="K82" s="309"/>
      <c r="L82" s="309"/>
      <c r="M82" s="310"/>
      <c r="T82" s="293"/>
      <c r="Y82" s="185"/>
      <c r="Z82" s="176"/>
      <c r="AA82" s="176"/>
      <c r="CS82" s="166"/>
    </row>
    <row r="83" spans="7:97" s="279" customFormat="1" ht="21" customHeight="1" thickBot="1">
      <c r="H83" s="185"/>
      <c r="I83" s="185"/>
      <c r="J83" s="185"/>
      <c r="M83" s="292"/>
      <c r="T83" s="293"/>
      <c r="Y83" s="185"/>
      <c r="Z83" s="176"/>
      <c r="AA83" s="176"/>
      <c r="CS83" s="166"/>
    </row>
    <row r="84" spans="7:97" s="279" customFormat="1" ht="21" customHeight="1">
      <c r="H84" s="302" t="s">
        <v>253</v>
      </c>
      <c r="I84" s="195"/>
      <c r="J84" s="946" t="s">
        <v>191</v>
      </c>
      <c r="K84" s="946"/>
      <c r="L84" s="946"/>
      <c r="M84" s="947"/>
      <c r="T84" s="293"/>
      <c r="Y84" s="185"/>
      <c r="Z84" s="176"/>
      <c r="AA84" s="176"/>
      <c r="CS84" s="166"/>
    </row>
    <row r="85" spans="7:97" s="279" customFormat="1" ht="26.25">
      <c r="G85" s="294"/>
      <c r="H85" s="196" t="s">
        <v>193</v>
      </c>
      <c r="I85" s="295"/>
      <c r="J85" s="295"/>
      <c r="K85" s="296" t="s">
        <v>194</v>
      </c>
      <c r="L85" s="297" t="s">
        <v>195</v>
      </c>
      <c r="M85" s="298" t="s">
        <v>196</v>
      </c>
      <c r="T85" s="293"/>
      <c r="Y85" s="185"/>
      <c r="Z85" s="176"/>
      <c r="AA85" s="176"/>
      <c r="CS85" s="166"/>
    </row>
    <row r="86" spans="7:97" s="279" customFormat="1" ht="21" customHeight="1">
      <c r="H86" s="311" t="s">
        <v>321</v>
      </c>
      <c r="I86" s="304"/>
      <c r="J86" s="304"/>
      <c r="K86" s="312" t="str">
        <f>VLOOKUP(H86,$A$2466:$B$2566,2,FALSE)</f>
        <v>Cons. Rev.</v>
      </c>
      <c r="L86" s="313" t="s">
        <v>201</v>
      </c>
      <c r="M86" s="314" t="s">
        <v>202</v>
      </c>
      <c r="R86" s="293"/>
      <c r="W86" s="185"/>
      <c r="X86" s="176"/>
      <c r="Y86" s="176"/>
      <c r="CQ86" s="166"/>
    </row>
    <row r="87" spans="7:97" s="279" customFormat="1" ht="21" customHeight="1">
      <c r="G87" s="166"/>
      <c r="H87" s="214"/>
      <c r="I87" s="215" t="s">
        <v>206</v>
      </c>
      <c r="J87" s="215" t="s">
        <v>207</v>
      </c>
      <c r="K87" s="216" t="s">
        <v>208</v>
      </c>
      <c r="L87" s="216" t="s">
        <v>209</v>
      </c>
      <c r="M87" s="217" t="s">
        <v>210</v>
      </c>
      <c r="R87" s="293"/>
      <c r="W87" s="185"/>
      <c r="X87" s="176"/>
      <c r="Y87" s="176"/>
      <c r="CQ87" s="166"/>
    </row>
    <row r="88" spans="7:97" s="279" customFormat="1" ht="21">
      <c r="H88" s="214"/>
      <c r="I88" s="222" t="s">
        <v>213</v>
      </c>
      <c r="J88" s="222" t="s">
        <v>214</v>
      </c>
      <c r="K88" s="222" t="s">
        <v>215</v>
      </c>
      <c r="L88" s="222" t="s">
        <v>216</v>
      </c>
      <c r="M88" s="223" t="s">
        <v>217</v>
      </c>
      <c r="T88" s="293"/>
      <c r="Y88" s="185"/>
      <c r="Z88" s="176"/>
      <c r="AA88" s="176"/>
      <c r="CS88" s="166"/>
    </row>
    <row r="89" spans="7:97" s="279" customFormat="1" ht="21" customHeight="1">
      <c r="H89" s="228" t="s">
        <v>219</v>
      </c>
      <c r="I89" s="229" t="str">
        <f>IF($B$4&amp;$B$3=I$87&amp;$H90,"A",IF($H90&lt;$B$3,"A",IF($H90&gt;$B$3,"E",IF($B$3=$H90,IF(AND($H90&gt;=$B$3,I$87&gt;=$B$4),"E","A")))))</f>
        <v>A</v>
      </c>
      <c r="J89" s="229" t="str">
        <f>IF($B$4&amp;$B$3=J$87&amp;$H90,"A",IF($H90&lt;$B$3,"A",IF($H90&gt;$B$3,"E",IF($B$3=$H90,IF(AND($H90&gt;=$B$3,J$87&gt;=$B$4),"E","A")))))</f>
        <v>A</v>
      </c>
      <c r="K89" s="229" t="str">
        <f>IF($B$4&amp;$B$3=K$87&amp;$H90,"A",IF($H90&lt;$B$3,"A",IF($H90&gt;$B$3,"E",IF($B$3=$H90,IF(AND($H90&gt;=$B$3,K$87&gt;=$B$4),"E","A")))))</f>
        <v>A</v>
      </c>
      <c r="L89" s="229" t="str">
        <f>IF($B$4&amp;$B$3=L$87&amp;$H90,"A",IF($H90&lt;$B$3,"A",IF($H90&gt;$B$3,"E",IF($B$3=$H90,IF(AND($H90&gt;=$B$3,L$87&gt;=$B$4),"E","A")))))</f>
        <v>A</v>
      </c>
      <c r="M89" s="230" t="str">
        <f>IF($H90&lt;$B$3,"A",IF($B$4&amp;$B$3=$L$87&amp;$H90,"A","E"))</f>
        <v>A</v>
      </c>
      <c r="T89" s="293"/>
      <c r="Y89" s="185"/>
      <c r="Z89" s="176"/>
      <c r="AA89" s="176"/>
      <c r="CS89" s="166"/>
    </row>
    <row r="90" spans="7:97" s="279" customFormat="1" ht="21" customHeight="1">
      <c r="H90" s="235">
        <f>$B$2</f>
        <v>2024</v>
      </c>
      <c r="I90" s="267"/>
      <c r="J90" s="267"/>
      <c r="K90" s="268"/>
      <c r="L90" s="268"/>
      <c r="M90" s="371" cm="1">
        <f t="array" ref="M90">_xll.FDS($B$1,"FE_ESTIMATE(SALES,MEAN,ANN_ROLL,"&amp;H90&amp;",NOW,,,'')")</f>
        <v>660.56600000000003</v>
      </c>
      <c r="T90" s="293"/>
      <c r="Y90" s="185"/>
      <c r="Z90" s="176"/>
      <c r="AA90" s="176"/>
      <c r="CS90" s="166"/>
    </row>
    <row r="91" spans="7:97" s="279" customFormat="1" ht="21" customHeight="1">
      <c r="H91" s="242" t="s">
        <v>225</v>
      </c>
      <c r="I91" s="243" t="str">
        <f>_xll.BLUEMATRIX2("/servlet/excelData",$I90, $B$1,$K$86&amp;":"&amp;$H90&amp;$I89&amp;":"&amp;I$88&amp;":"&amp;VLOOKUP($L$86,$D$2466:$E$2476,2,0)&amp;":"&amp;$M$86)</f>
        <v>#</v>
      </c>
      <c r="J91" s="243" t="str">
        <f>_xll.BLUEMATRIX2("/servlet/excelData",$J90, $B$1,$K$86&amp;":"&amp;$H90&amp;$J89&amp;":"&amp;J$88&amp;":"&amp;VLOOKUP($L$86,$D$2466:$E$2476,2,0)&amp;":"&amp;$M$86)</f>
        <v>#</v>
      </c>
      <c r="K91" s="243" t="str">
        <f>_xll.BLUEMATRIX2("/servlet/excelData",$K90, $B$1,$K$86&amp;":"&amp;$H90&amp;$K89&amp;":"&amp;K$88&amp;":"&amp;VLOOKUP($L$86,$D$2466:$E$2476,2,0)&amp;":"&amp;$M$86)</f>
        <v>#</v>
      </c>
      <c r="L91" s="243" t="str">
        <f>_xll.BLUEMATRIX2("/servlet/excelData",$L90, $B$1,$K$86&amp;":"&amp;$H90&amp;$L89&amp;":"&amp;L$88&amp;":"&amp;VLOOKUP($L$86,$D$2466:$E$2476,2,0)&amp;":"&amp;$M$86)</f>
        <v>#</v>
      </c>
      <c r="M91" s="244" t="str">
        <f>_xll.BLUEMATRIX2("/servlet/excelData",$M90, $B$1,$K$86&amp;":"&amp;$H90&amp;$M89&amp;":"&amp;M$88&amp;":"&amp;VLOOKUP($L$86,$D$2466:$E$2476,2,0)&amp;":"&amp;$M$86)</f>
        <v>UPDATED: 2/17/2026 3:34:09 PM</v>
      </c>
      <c r="T91" s="293"/>
      <c r="Y91" s="185"/>
      <c r="Z91" s="176"/>
      <c r="AA91" s="176"/>
      <c r="CS91" s="166"/>
    </row>
    <row r="92" spans="7:97" s="279" customFormat="1" ht="9" customHeight="1">
      <c r="H92" s="214"/>
      <c r="I92" s="171"/>
      <c r="J92" s="171"/>
      <c r="K92" s="263"/>
      <c r="L92" s="263"/>
      <c r="M92" s="264"/>
      <c r="T92" s="293"/>
      <c r="Y92" s="185"/>
      <c r="Z92" s="176"/>
      <c r="AA92" s="176"/>
      <c r="CS92" s="166"/>
    </row>
    <row r="93" spans="7:97" s="279" customFormat="1" ht="21" customHeight="1">
      <c r="H93" s="228" t="s">
        <v>219</v>
      </c>
      <c r="I93" s="229" t="str">
        <f>IF($B$4&amp;$B$3=I$87&amp;$H94,"A",IF($H94&lt;$B$3,"A",IF($H94&gt;$B$3,"E",IF($B$3=$H94,IF(AND($H94&gt;=$B$3,I$87&gt;=$B$4),"E","A")))))</f>
        <v>A</v>
      </c>
      <c r="J93" s="229" t="str">
        <f>IF($B$4&amp;$B$3=J$87&amp;$H94,"A",IF($H94&lt;$B$3,"A",IF($H94&gt;$B$3,"E",IF($B$3=$H94,IF(AND($H94&gt;=$B$3,J$87&gt;=$B$4),"E","A")))))</f>
        <v>A</v>
      </c>
      <c r="K93" s="229" t="str">
        <f>IF($B$4&amp;$B$3=K$87&amp;$H94,"A",IF($H94&lt;$B$3,"A",IF($H94&gt;$B$3,"E",IF($B$3=$H94,IF(AND($H94&gt;=$B$3,K$87&gt;=$B$4),"E","A")))))</f>
        <v>A</v>
      </c>
      <c r="L93" s="229" t="str">
        <f>IF($B$4&amp;$B$3=L$87&amp;$H94,"A",IF($H94&lt;$B$3,"A",IF($H94&gt;$B$3,"E",IF($B$3=$H94,IF(AND($H94&gt;=$B$3,L$87&gt;=$B$4),"E","A")))))</f>
        <v>A</v>
      </c>
      <c r="M93" s="230" t="str">
        <f>IF($H94&lt;$B$3,"A",IF($B$4&amp;$B$3=$L$87&amp;$H94,"A","E"))</f>
        <v>A</v>
      </c>
      <c r="T93" s="293"/>
      <c r="Y93" s="185"/>
      <c r="Z93" s="176"/>
      <c r="AA93" s="176"/>
      <c r="CS93" s="166"/>
    </row>
    <row r="94" spans="7:97" s="279" customFormat="1" ht="21" customHeight="1">
      <c r="H94" s="235">
        <f>$B$2+1</f>
        <v>2025</v>
      </c>
      <c r="I94" s="267"/>
      <c r="J94" s="267"/>
      <c r="K94" s="268"/>
      <c r="L94" s="268"/>
      <c r="M94" s="371" cm="1">
        <f t="array" ref="M94">_xll.FDS($B$1,"FE_ESTIMATE(SALES,MEAN,ANN_ROLL,"&amp;H94&amp;",NOW,,,'')")</f>
        <v>727.33199999999999</v>
      </c>
      <c r="T94" s="293"/>
      <c r="Y94" s="185"/>
      <c r="Z94" s="176"/>
      <c r="AA94" s="176"/>
      <c r="CS94" s="166"/>
    </row>
    <row r="95" spans="7:97" s="279" customFormat="1" ht="21" customHeight="1">
      <c r="H95" s="242" t="s">
        <v>225</v>
      </c>
      <c r="I95" s="243" t="str">
        <f>_xll.BLUEMATRIX2("/servlet/excelData",$I94, $B$1,$K$86&amp;":"&amp;$H94&amp;$I93&amp;":"&amp;I$88&amp;":"&amp;VLOOKUP($L$86,$D$2466:$E$2476,2,0)&amp;":"&amp;$M$86)</f>
        <v>#</v>
      </c>
      <c r="J95" s="243" t="str">
        <f>_xll.BLUEMATRIX2("/servlet/excelData",$J94, $B$1,$K$86&amp;":"&amp;$H94&amp;$J93&amp;":"&amp;J$88&amp;":"&amp;VLOOKUP($L$86,$D$2466:$E$2476,2,0)&amp;":"&amp;$M$86)</f>
        <v>#</v>
      </c>
      <c r="K95" s="243" t="str">
        <f>_xll.BLUEMATRIX2("/servlet/excelData",$K94, $B$1,$K$86&amp;":"&amp;$H94&amp;$K93&amp;":"&amp;K$88&amp;":"&amp;VLOOKUP($L$86,$D$2466:$E$2476,2,0)&amp;":"&amp;$M$86)</f>
        <v>#</v>
      </c>
      <c r="L95" s="243" t="str">
        <f>_xll.BLUEMATRIX2("/servlet/excelData",$L94, $B$1,$K$86&amp;":"&amp;$H94&amp;$L93&amp;":"&amp;L$88&amp;":"&amp;VLOOKUP($L$86,$D$2466:$E$2476,2,0)&amp;":"&amp;$M$86)</f>
        <v>#</v>
      </c>
      <c r="M95" s="244" t="str">
        <f>_xll.BLUEMATRIX2("/servlet/excelData",$M94, $B$1,$K$86&amp;":"&amp;$H94&amp;$M93&amp;":"&amp;M$88&amp;":"&amp;VLOOKUP($L$86,$D$2466:$E$2476,2,0)&amp;":"&amp;$M$86)</f>
        <v>UPDATED: 2/17/2026 3:34:09 PM</v>
      </c>
      <c r="T95" s="293"/>
      <c r="Y95" s="185"/>
      <c r="Z95" s="176"/>
      <c r="AA95" s="176"/>
      <c r="CS95" s="166"/>
    </row>
    <row r="96" spans="7:97" s="279" customFormat="1" ht="9" customHeight="1">
      <c r="H96" s="214"/>
      <c r="I96" s="171"/>
      <c r="J96" s="171"/>
      <c r="K96" s="263"/>
      <c r="L96" s="263"/>
      <c r="M96" s="264"/>
      <c r="T96" s="293"/>
      <c r="Y96" s="185"/>
      <c r="Z96" s="176"/>
      <c r="AA96" s="176"/>
      <c r="CS96" s="166"/>
    </row>
    <row r="97" spans="7:97" s="279" customFormat="1" ht="21" customHeight="1">
      <c r="H97" s="228" t="s">
        <v>219</v>
      </c>
      <c r="I97" s="229" t="str">
        <f>IF($B$4&amp;$B$3=I$87&amp;$H98,"A",IF($H98&lt;$B$3,"A",IF($H98&gt;$B$3,"E",IF($B$3=$H98,IF(AND($H98&gt;=$B$3,I$87&gt;=$B$4),"E","A")))))</f>
        <v>E</v>
      </c>
      <c r="J97" s="229" t="str">
        <f>IF($B$4&amp;$B$3=J$87&amp;$H98,"A",IF($H98&lt;$B$3,"A",IF($H98&gt;$B$3,"E",IF($B$3=$H98,IF(AND($H98&gt;=$B$3,J$87&gt;=$B$4),"E","A")))))</f>
        <v>E</v>
      </c>
      <c r="K97" s="229" t="str">
        <f>IF($B$4&amp;$B$3=K$87&amp;$H98,"A",IF($H98&lt;$B$3,"A",IF($H98&gt;$B$3,"E",IF($B$3=$H98,IF(AND($H98&gt;=$B$3,K$87&gt;=$B$4),"E","A")))))</f>
        <v>E</v>
      </c>
      <c r="L97" s="229" t="str">
        <f>IF($B$4&amp;$B$3=L$87&amp;$H98,"A",IF($H98&lt;$B$3,"A",IF($H98&gt;$B$3,"E",IF($B$3=$H98,IF(AND($H98&gt;=$B$3,L$87&gt;=$B$4),"E","A")))))</f>
        <v>E</v>
      </c>
      <c r="M97" s="230" t="str">
        <f>IF($H98&lt;$B$3,"A",IF($B$4&amp;$B$3=$L$87&amp;$H98,"A","E"))</f>
        <v>E</v>
      </c>
      <c r="T97" s="293"/>
      <c r="Y97" s="185"/>
      <c r="Z97" s="176"/>
      <c r="AA97" s="176"/>
      <c r="CS97" s="166"/>
    </row>
    <row r="98" spans="7:97" s="279" customFormat="1" ht="21" customHeight="1">
      <c r="H98" s="235">
        <f>$B$2+2</f>
        <v>2026</v>
      </c>
      <c r="I98" s="267"/>
      <c r="J98" s="267"/>
      <c r="K98" s="268"/>
      <c r="L98" s="268"/>
      <c r="M98" s="371" cm="1">
        <f t="array" ref="M98">_xll.FDS($B$1,"FE_ESTIMATE(SALES,MEAN,ANN_ROLL,"&amp;H98&amp;",NOW,,,'')")</f>
        <v>796.66223000000002</v>
      </c>
      <c r="T98" s="293"/>
      <c r="Y98" s="185"/>
      <c r="Z98" s="176"/>
      <c r="AA98" s="176"/>
      <c r="CS98" s="166"/>
    </row>
    <row r="99" spans="7:97" s="279" customFormat="1" ht="21" customHeight="1">
      <c r="H99" s="242" t="s">
        <v>225</v>
      </c>
      <c r="I99" s="243" t="str">
        <f>_xll.BLUEMATRIX2("/servlet/excelData",$I98, $B$1,$K$86&amp;":"&amp;$H98&amp;$I97&amp;":"&amp;I$88&amp;":"&amp;VLOOKUP($L$86,$D$2466:$E$2476,2,0)&amp;":"&amp;$M$86)</f>
        <v>#</v>
      </c>
      <c r="J99" s="243" t="str">
        <f>_xll.BLUEMATRIX2("/servlet/excelData",$J98, $B$1,$K$86&amp;":"&amp;$H98&amp;$J97&amp;":"&amp;J$88&amp;":"&amp;VLOOKUP($L$86,$D$2466:$E$2476,2,0)&amp;":"&amp;$M$86)</f>
        <v>#</v>
      </c>
      <c r="K99" s="243" t="str">
        <f>_xll.BLUEMATRIX2("/servlet/excelData",$K98, $B$1,$K$86&amp;":"&amp;$H98&amp;$K97&amp;":"&amp;K$88&amp;":"&amp;VLOOKUP($L$86,$D$2466:$E$2476,2,0)&amp;":"&amp;$M$86)</f>
        <v>#</v>
      </c>
      <c r="L99" s="243" t="str">
        <f>_xll.BLUEMATRIX2("/servlet/excelData",$L98, $B$1,$K$86&amp;":"&amp;$H98&amp;$L97&amp;":"&amp;L$88&amp;":"&amp;VLOOKUP($L$86,$D$2466:$E$2476,2,0)&amp;":"&amp;$M$86)</f>
        <v>#</v>
      </c>
      <c r="M99" s="244" t="str">
        <f>_xll.BLUEMATRIX2("/servlet/excelData",$M98, $B$1,$K$86&amp;":"&amp;$H98&amp;$M97&amp;":"&amp;M$88&amp;":"&amp;VLOOKUP($L$86,$D$2466:$E$2476,2,0)&amp;":"&amp;$M$86)</f>
        <v>UPDATED: 2/17/2026 3:34:09 PM</v>
      </c>
      <c r="T99" s="293"/>
      <c r="Y99" s="185"/>
      <c r="Z99" s="176"/>
      <c r="AA99" s="176"/>
      <c r="CS99" s="166"/>
    </row>
    <row r="100" spans="7:97" s="279" customFormat="1" ht="9" customHeight="1">
      <c r="H100" s="214"/>
      <c r="I100" s="171"/>
      <c r="J100" s="171"/>
      <c r="K100" s="263"/>
      <c r="L100" s="263"/>
      <c r="M100" s="264"/>
      <c r="T100" s="293"/>
      <c r="Y100" s="185"/>
      <c r="Z100" s="176"/>
      <c r="AA100" s="176"/>
      <c r="CS100" s="166"/>
    </row>
    <row r="101" spans="7:97" s="279" customFormat="1" ht="21" customHeight="1">
      <c r="H101" s="228" t="s">
        <v>219</v>
      </c>
      <c r="I101" s="229" t="str">
        <f>IF($B$4&amp;$B$3=I$87&amp;$H102,"A",IF($H102&lt;$B$3,"A",IF($H102&gt;$B$3,"E",IF($B$3=$H102,IF(AND($H102&gt;=$B$3,I$87&gt;=$B$4),"E","A")))))</f>
        <v>E</v>
      </c>
      <c r="J101" s="229" t="str">
        <f>IF($B$4&amp;$B$3=J$87&amp;$H102,"A",IF($H102&lt;$B$3,"A",IF($H102&gt;$B$3,"E",IF($B$3=$H102,IF(AND($H102&gt;=$B$3,J$87&gt;=$B$4),"E","A")))))</f>
        <v>E</v>
      </c>
      <c r="K101" s="229" t="str">
        <f>IF($B$4&amp;$B$3=K$87&amp;$H102,"A",IF($H102&lt;$B$3,"A",IF($H102&gt;$B$3,"E",IF($B$3=$H102,IF(AND($H102&gt;=$B$3,K$87&gt;=$B$4),"E","A")))))</f>
        <v>E</v>
      </c>
      <c r="L101" s="229" t="str">
        <f>IF($B$4&amp;$B$3=L$87&amp;$H102,"A",IF($H102&lt;$B$3,"A",IF($H102&gt;$B$3,"E",IF($B$3=$H102,IF(AND($H102&gt;=$B$3,L$87&gt;=$B$4),"E","A")))))</f>
        <v>E</v>
      </c>
      <c r="M101" s="230" t="str">
        <f>IF($H102&lt;$B$3,"A",IF($B$4&amp;$B$3=$L$87&amp;$H102,"A","E"))</f>
        <v>E</v>
      </c>
      <c r="T101" s="293"/>
      <c r="Y101" s="185"/>
      <c r="Z101" s="176"/>
      <c r="AA101" s="176"/>
      <c r="CS101" s="166"/>
    </row>
    <row r="102" spans="7:97" s="279" customFormat="1" ht="21" customHeight="1">
      <c r="H102" s="235">
        <f>$B$2+3</f>
        <v>2027</v>
      </c>
      <c r="I102" s="267"/>
      <c r="J102" s="267"/>
      <c r="K102" s="268"/>
      <c r="L102" s="268"/>
      <c r="M102" s="371" cm="1">
        <f t="array" ref="M102">_xll.FDS($B$1,"FE_ESTIMATE(SALES,MEAN,ANN_ROLL,"&amp;H102&amp;",NOW,,,'')")</f>
        <v>871.84429999999998</v>
      </c>
      <c r="T102" s="293"/>
      <c r="Y102" s="185"/>
      <c r="Z102" s="176"/>
      <c r="AA102" s="176"/>
      <c r="CS102" s="166"/>
    </row>
    <row r="103" spans="7:97" s="279" customFormat="1" ht="21" customHeight="1">
      <c r="H103" s="242" t="s">
        <v>225</v>
      </c>
      <c r="I103" s="243" t="str">
        <f>_xll.BLUEMATRIX2("/servlet/excelData",$I102, $B$1,$K$86&amp;":"&amp;$H102&amp;$I101&amp;":"&amp;I$88&amp;":"&amp;VLOOKUP($L$86,$D$2466:$E$2476,2,0)&amp;":"&amp;$M$86)</f>
        <v>#</v>
      </c>
      <c r="J103" s="243" t="str">
        <f>_xll.BLUEMATRIX2("/servlet/excelData",$J102, $B$1,$K$86&amp;":"&amp;$H102&amp;$J101&amp;":"&amp;J$88&amp;":"&amp;VLOOKUP($L$86,$D$2466:$E$2476,2,0)&amp;":"&amp;$M$86)</f>
        <v>#</v>
      </c>
      <c r="K103" s="243" t="str">
        <f>_xll.BLUEMATRIX2("/servlet/excelData",$K102, $B$1,$K$86&amp;":"&amp;$H102&amp;$K101&amp;":"&amp;K$88&amp;":"&amp;VLOOKUP($L$86,$D$2466:$E$2476,2,0)&amp;":"&amp;$M$86)</f>
        <v>#</v>
      </c>
      <c r="L103" s="243" t="str">
        <f>_xll.BLUEMATRIX2("/servlet/excelData",$L102, $B$1,$K$86&amp;":"&amp;$H102&amp;$L101&amp;":"&amp;L$88&amp;":"&amp;VLOOKUP($L$86,$D$2466:$E$2476,2,0)&amp;":"&amp;$M$86)</f>
        <v>#</v>
      </c>
      <c r="M103" s="244" t="str">
        <f>_xll.BLUEMATRIX2("/servlet/excelData",$M102, $B$1,$K$86&amp;":"&amp;$H102&amp;$M101&amp;":"&amp;M$88&amp;":"&amp;VLOOKUP($L$86,$D$2466:$E$2476,2,0)&amp;":"&amp;$M$86)</f>
        <v>UPDATED: 2/17/2026 3:34:09 PM</v>
      </c>
      <c r="T103" s="293"/>
      <c r="Y103" s="185"/>
      <c r="Z103" s="176"/>
      <c r="AA103" s="176"/>
      <c r="CS103" s="166"/>
    </row>
    <row r="104" spans="7:97" s="279" customFormat="1" ht="9" customHeight="1">
      <c r="H104" s="214"/>
      <c r="I104" s="251"/>
      <c r="J104" s="251"/>
      <c r="K104" s="252"/>
      <c r="L104" s="252"/>
      <c r="M104" s="253"/>
      <c r="T104" s="293"/>
      <c r="Y104" s="185"/>
      <c r="Z104" s="176"/>
      <c r="AA104" s="176"/>
      <c r="CS104" s="166"/>
    </row>
    <row r="105" spans="7:97" s="279" customFormat="1" ht="21" customHeight="1">
      <c r="H105" s="228" t="s">
        <v>219</v>
      </c>
      <c r="I105" s="229" t="str">
        <f>IF($B$4&amp;$B$3=I$87&amp;$H106,"A",IF($H106&lt;$B$3,"A",IF($H106&gt;$B$3,"E",IF($B$3=$H106,IF(AND($H106&gt;=$B$3,I$87&gt;=$B$4),"E","A")))))</f>
        <v>E</v>
      </c>
      <c r="J105" s="229" t="str">
        <f>IF($B$4&amp;$B$3=J$87&amp;$H106,"A",IF($H106&lt;$B$3,"A",IF($H106&gt;$B$3,"E",IF($B$3=$H106,IF(AND($H106&gt;=$B$3,J$87&gt;=$B$4),"E","A")))))</f>
        <v>E</v>
      </c>
      <c r="K105" s="229" t="str">
        <f>IF($B$4&amp;$B$3=K$87&amp;$H106,"A",IF($H106&lt;$B$3,"A",IF($H106&gt;$B$3,"E",IF($B$3=$H106,IF(AND($H106&gt;=$B$3,K$87&gt;=$B$4),"E","A")))))</f>
        <v>E</v>
      </c>
      <c r="L105" s="229" t="str">
        <f>IF($B$4&amp;$B$3=L$87&amp;$H106,"A",IF($H106&lt;$B$3,"A",IF($H106&gt;$B$3,"E",IF($B$3=$H106,IF(AND($H106&gt;=$B$3,L$87&gt;=$B$4),"E","A")))))</f>
        <v>E</v>
      </c>
      <c r="M105" s="230" t="str">
        <f>IF($H106&lt;$B$3,"A",IF($B$4&amp;$B$3=$L$87&amp;$H106,"A","E"))</f>
        <v>E</v>
      </c>
      <c r="T105" s="293"/>
      <c r="Y105" s="185"/>
      <c r="Z105" s="176"/>
      <c r="AA105" s="176"/>
      <c r="CS105" s="166"/>
    </row>
    <row r="106" spans="7:97" s="279" customFormat="1" ht="21" customHeight="1">
      <c r="H106" s="235">
        <f>$B$2+4</f>
        <v>2028</v>
      </c>
      <c r="I106" s="267"/>
      <c r="J106" s="267"/>
      <c r="K106" s="268"/>
      <c r="L106" s="268"/>
      <c r="M106" s="371" cm="1">
        <f t="array" ref="M106">_xll.FDS($B$1,"FE_ESTIMATE(SALES,MEAN,ANN_ROLL,"&amp;H106&amp;",NOW,,,'')")</f>
        <v>961.19299999999998</v>
      </c>
      <c r="T106" s="293"/>
      <c r="Y106" s="185"/>
      <c r="Z106" s="176"/>
      <c r="AA106" s="176"/>
      <c r="CS106" s="166"/>
    </row>
    <row r="107" spans="7:97" s="279" customFormat="1" ht="21" customHeight="1">
      <c r="H107" s="242" t="s">
        <v>225</v>
      </c>
      <c r="I107" s="243" t="str">
        <f>_xll.BLUEMATRIX2("/servlet/excelData",$I106, $B$1,$K$86&amp;":"&amp;$H106&amp;$I105&amp;":"&amp;I$88&amp;":"&amp;VLOOKUP($L$86,$D$2466:$E$2476,2,0)&amp;":"&amp;$M$86)</f>
        <v>#</v>
      </c>
      <c r="J107" s="243" t="str">
        <f>_xll.BLUEMATRIX2("/servlet/excelData",$J106, $B$1,$K$86&amp;":"&amp;$H106&amp;$J105&amp;":"&amp;J$88&amp;":"&amp;VLOOKUP($L$86,$D$2466:$E$2476,2,0)&amp;":"&amp;$M$86)</f>
        <v>#</v>
      </c>
      <c r="K107" s="243" t="str">
        <f>_xll.BLUEMATRIX2("/servlet/excelData",$K106, $B$1,$K$86&amp;":"&amp;$H106&amp;$K105&amp;":"&amp;K$88&amp;":"&amp;VLOOKUP($L$86,$D$2466:$E$2476,2,0)&amp;":"&amp;$M$86)</f>
        <v>#</v>
      </c>
      <c r="L107" s="243" t="str">
        <f>_xll.BLUEMATRIX2("/servlet/excelData",$L106, $B$1,$K$86&amp;":"&amp;$H106&amp;$L105&amp;":"&amp;L$88&amp;":"&amp;VLOOKUP($L$86,$D$2466:$E$2476,2,0)&amp;":"&amp;$M$86)</f>
        <v>#</v>
      </c>
      <c r="M107" s="244" t="str">
        <f>_xll.BLUEMATRIX2("/servlet/excelData",$M106, $B$1,$K$86&amp;":"&amp;$H106&amp;$M105&amp;":"&amp;M$88&amp;":"&amp;VLOOKUP($L$86,$D$2466:$E$2476,2,0)&amp;":"&amp;$M$86)</f>
        <v>UPDATED: 2/17/2026 3:34:09 PM</v>
      </c>
      <c r="T107" s="293"/>
      <c r="Y107" s="185"/>
      <c r="Z107" s="176"/>
      <c r="AA107" s="176"/>
      <c r="CS107" s="166"/>
    </row>
    <row r="108" spans="7:97" s="279" customFormat="1" ht="13.5" thickBot="1">
      <c r="H108" s="286"/>
      <c r="I108" s="287"/>
      <c r="J108" s="287"/>
      <c r="K108" s="288"/>
      <c r="L108" s="288"/>
      <c r="M108" s="289"/>
      <c r="T108" s="293"/>
      <c r="Y108" s="185"/>
      <c r="Z108" s="176"/>
      <c r="AA108" s="176"/>
      <c r="CS108" s="166"/>
    </row>
    <row r="109" spans="7:97" s="279" customFormat="1" ht="15.95" customHeight="1" thickBot="1">
      <c r="J109" s="187"/>
      <c r="M109" s="292"/>
      <c r="T109" s="293"/>
      <c r="Y109" s="185"/>
      <c r="Z109" s="176"/>
      <c r="AA109" s="176"/>
      <c r="CS109" s="166"/>
    </row>
    <row r="110" spans="7:97" s="279" customFormat="1">
      <c r="H110" s="302" t="s">
        <v>687</v>
      </c>
      <c r="I110" s="195"/>
      <c r="J110" s="946" t="s">
        <v>191</v>
      </c>
      <c r="K110" s="946"/>
      <c r="L110" s="946"/>
      <c r="M110" s="947"/>
      <c r="T110" s="293"/>
      <c r="Y110" s="185"/>
      <c r="Z110" s="176"/>
      <c r="AA110" s="176"/>
      <c r="CS110" s="166"/>
    </row>
    <row r="111" spans="7:97" s="279" customFormat="1" ht="26.25">
      <c r="H111" s="196" t="s">
        <v>193</v>
      </c>
      <c r="I111" s="295"/>
      <c r="J111" s="295"/>
      <c r="K111" s="296" t="s">
        <v>194</v>
      </c>
      <c r="L111" s="297" t="s">
        <v>195</v>
      </c>
      <c r="M111" s="298" t="s">
        <v>196</v>
      </c>
      <c r="T111" s="293"/>
      <c r="Y111" s="185"/>
      <c r="Z111" s="176"/>
      <c r="AA111" s="176"/>
      <c r="CS111" s="166"/>
    </row>
    <row r="112" spans="7:97" s="279" customFormat="1" ht="21">
      <c r="G112" s="294"/>
      <c r="H112" s="311" t="s">
        <v>254</v>
      </c>
      <c r="I112" s="304"/>
      <c r="J112" s="304"/>
      <c r="K112" s="312" t="str">
        <f>VLOOKUP(H112,$A$2466:$B$2566,2,FALSE)</f>
        <v>EBITDA (MM)</v>
      </c>
      <c r="L112" s="313" t="s">
        <v>201</v>
      </c>
      <c r="M112" s="314" t="s">
        <v>202</v>
      </c>
      <c r="T112" s="293"/>
      <c r="Y112" s="185"/>
      <c r="Z112" s="176"/>
      <c r="AA112" s="176"/>
      <c r="CS112" s="166"/>
    </row>
    <row r="113" spans="1:97" s="279" customFormat="1">
      <c r="H113" s="214"/>
      <c r="I113" s="215" t="s">
        <v>206</v>
      </c>
      <c r="J113" s="215" t="s">
        <v>207</v>
      </c>
      <c r="K113" s="216" t="s">
        <v>208</v>
      </c>
      <c r="L113" s="216" t="s">
        <v>209</v>
      </c>
      <c r="M113" s="217" t="s">
        <v>210</v>
      </c>
      <c r="R113" s="293"/>
      <c r="W113" s="185"/>
      <c r="X113" s="176"/>
      <c r="Y113" s="176"/>
      <c r="CQ113" s="166"/>
    </row>
    <row r="114" spans="1:97" s="279" customFormat="1" ht="21">
      <c r="G114" s="166"/>
      <c r="H114" s="214"/>
      <c r="I114" s="222" t="s">
        <v>213</v>
      </c>
      <c r="J114" s="222" t="s">
        <v>214</v>
      </c>
      <c r="K114" s="222" t="s">
        <v>215</v>
      </c>
      <c r="L114" s="222" t="s">
        <v>216</v>
      </c>
      <c r="M114" s="223" t="s">
        <v>217</v>
      </c>
      <c r="R114" s="293"/>
      <c r="W114" s="185"/>
      <c r="X114" s="176"/>
      <c r="Y114" s="176"/>
      <c r="CQ114" s="166"/>
    </row>
    <row r="115" spans="1:97" s="279" customFormat="1">
      <c r="H115" s="228" t="s">
        <v>219</v>
      </c>
      <c r="I115" s="229" t="str">
        <f>IF($B$4&amp;$B$3=I$87&amp;$H116,"A",IF($H116&lt;$B$3,"A",IF($H116&gt;$B$3,"E",IF($B$3=$H116,IF(AND($H116&gt;=$B$3,I$87&gt;=$B$4),"E","A")))))</f>
        <v>A</v>
      </c>
      <c r="J115" s="229" t="str">
        <f>IF($B$4&amp;$B$3=J$87&amp;$H116,"A",IF($H116&lt;$B$3,"A",IF($H116&gt;$B$3,"E",IF($B$3=$H116,IF(AND($H116&gt;=$B$3,J$87&gt;=$B$4),"E","A")))))</f>
        <v>A</v>
      </c>
      <c r="K115" s="229" t="str">
        <f>IF($B$4&amp;$B$3=K$87&amp;$H116,"A",IF($H116&lt;$B$3,"A",IF($H116&gt;$B$3,"E",IF($B$3=$H116,IF(AND($H116&gt;=$B$3,K$87&gt;=$B$4),"E","A")))))</f>
        <v>A</v>
      </c>
      <c r="L115" s="229" t="str">
        <f>IF($B$4&amp;$B$3=L$87&amp;$H116,"A",IF($H116&lt;$B$3,"A",IF($H116&gt;$B$3,"E",IF($B$3=$H116,IF(AND($H116&gt;=$B$3,L$87&gt;=$B$4),"E","A")))))</f>
        <v>A</v>
      </c>
      <c r="M115" s="230" t="str">
        <f>IF($H116&lt;$B$3,"A",IF($B$4&amp;$B$3=$L$87&amp;$H116,"A","E"))</f>
        <v>A</v>
      </c>
      <c r="T115" s="293"/>
      <c r="Y115" s="185"/>
      <c r="Z115" s="176"/>
      <c r="AA115" s="176"/>
      <c r="CS115" s="166"/>
    </row>
    <row r="116" spans="1:97" s="279" customFormat="1" ht="21">
      <c r="H116" s="235">
        <f>$B$2</f>
        <v>2024</v>
      </c>
      <c r="I116" s="371">
        <f>IS!ER70</f>
        <v>3.492000000000008</v>
      </c>
      <c r="J116" s="371">
        <f>IS!ES70</f>
        <v>10.869000000000014</v>
      </c>
      <c r="K116" s="371">
        <f>IS!ET70</f>
        <v>13.374000000000025</v>
      </c>
      <c r="L116" s="371">
        <f>IS!EU70</f>
        <v>11.873000000000005</v>
      </c>
      <c r="M116" s="371">
        <f>IS!EV70</f>
        <v>39.608000000000054</v>
      </c>
      <c r="T116" s="293"/>
      <c r="Y116" s="185"/>
      <c r="Z116" s="176"/>
      <c r="AA116" s="176"/>
      <c r="CS116" s="166"/>
    </row>
    <row r="117" spans="1:97" s="279" customFormat="1">
      <c r="H117" s="242" t="s">
        <v>225</v>
      </c>
      <c r="I117" s="243" t="str">
        <f>_xll.BLUEMATRIX2("/servlet/excelData",I116, $B$1,$K$112&amp;":"&amp;$H116&amp;I115&amp;":"&amp;I$114&amp;":"&amp;VLOOKUP($L$112,$D$2466:$E$2476,2,0)&amp;":"&amp;$M$112)</f>
        <v>UPDATED: 2/17/2026 3:34:09 PM</v>
      </c>
      <c r="J117" s="243" t="str">
        <f>_xll.BLUEMATRIX2("/servlet/excelData",J116, $B$1,$K$112&amp;":"&amp;$H116&amp;J115&amp;":"&amp;J$114&amp;":"&amp;VLOOKUP($L$112,$D$2466:$E$2476,2,0)&amp;":"&amp;$M$112)</f>
        <v>UPDATED: 2/17/2026 3:34:09 PM</v>
      </c>
      <c r="K117" s="243" t="str">
        <f>_xll.BLUEMATRIX2("/servlet/excelData",K116, $B$1,$K$112&amp;":"&amp;$H116&amp;K115&amp;":"&amp;K$114&amp;":"&amp;VLOOKUP($L$112,$D$2466:$E$2476,2,0)&amp;":"&amp;$M$112)</f>
        <v>UPDATED: 2/17/2026 3:34:09 PM</v>
      </c>
      <c r="L117" s="243" t="str">
        <f>_xll.BLUEMATRIX2("/servlet/excelData",L116, $B$1,$K$112&amp;":"&amp;$H116&amp;L115&amp;":"&amp;L$114&amp;":"&amp;VLOOKUP($L$112,$D$2466:$E$2476,2,0)&amp;":"&amp;$M$112)</f>
        <v>UPDATED: 2/17/2026 3:34:09 PM</v>
      </c>
      <c r="M117" s="243" t="str">
        <f>_xll.BLUEMATRIX2("/servlet/excelData",M116, $B$1,$K$112&amp;":"&amp;$H116&amp;M115&amp;":"&amp;M$114&amp;":"&amp;VLOOKUP($L$112,$D$2466:$E$2476,2,0)&amp;":"&amp;$M$112)</f>
        <v>UPDATED: 2/17/2026 3:34:09 PM</v>
      </c>
      <c r="T117" s="293"/>
      <c r="Y117" s="185"/>
      <c r="Z117" s="176"/>
      <c r="AA117" s="176"/>
      <c r="CS117" s="166"/>
    </row>
    <row r="118" spans="1:97" s="279" customFormat="1">
      <c r="H118" s="214"/>
      <c r="I118" s="171"/>
      <c r="J118" s="171"/>
      <c r="K118" s="263"/>
      <c r="L118" s="263"/>
      <c r="M118" s="264"/>
      <c r="T118" s="293"/>
      <c r="Y118" s="185"/>
      <c r="Z118" s="176"/>
      <c r="AA118" s="176"/>
      <c r="CS118" s="166"/>
    </row>
    <row r="119" spans="1:97" s="279" customFormat="1">
      <c r="H119" s="228" t="s">
        <v>219</v>
      </c>
      <c r="I119" s="229" t="str">
        <f>IF($B$4&amp;$B$3=I$87&amp;$H120,"A",IF($H120&lt;$B$3,"A",IF($H120&gt;$B$3,"E",IF($B$3=$H120,IF(AND($H120&gt;=$B$3,I$87&gt;=$B$4),"E","A")))))</f>
        <v>A</v>
      </c>
      <c r="J119" s="229" t="str">
        <f>IF($B$4&amp;$B$3=J$87&amp;$H120,"A",IF($H120&lt;$B$3,"A",IF($H120&gt;$B$3,"E",IF($B$3=$H120,IF(AND($H120&gt;=$B$3,J$87&gt;=$B$4),"E","A")))))</f>
        <v>A</v>
      </c>
      <c r="K119" s="229" t="str">
        <f>IF($B$4&amp;$B$3=K$87&amp;$H120,"A",IF($H120&lt;$B$3,"A",IF($H120&gt;$B$3,"E",IF($B$3=$H120,IF(AND($H120&gt;=$B$3,K$87&gt;=$B$4),"E","A")))))</f>
        <v>A</v>
      </c>
      <c r="L119" s="229" t="str">
        <f>IF($B$4&amp;$B$3=L$87&amp;$H120,"A",IF($H120&lt;$B$3,"A",IF($H120&gt;$B$3,"E",IF($B$3=$H120,IF(AND($H120&gt;=$B$3,L$87&gt;=$B$4),"E","A")))))</f>
        <v>A</v>
      </c>
      <c r="M119" s="230" t="str">
        <f>IF($H120&lt;$B$3,"A",IF($B$4&amp;$B$3=$L$87&amp;$H120,"A","E"))</f>
        <v>A</v>
      </c>
      <c r="T119" s="293"/>
      <c r="Y119" s="185"/>
      <c r="Z119" s="176"/>
      <c r="AA119" s="176"/>
      <c r="CS119" s="166"/>
    </row>
    <row r="120" spans="1:97" s="279" customFormat="1" ht="21">
      <c r="H120" s="235">
        <f>$B$2+1</f>
        <v>2025</v>
      </c>
      <c r="I120" s="371">
        <f>IS!EX70</f>
        <v>7.0700000000000101</v>
      </c>
      <c r="J120" s="371">
        <f>IS!EY70</f>
        <v>10.675000000000026</v>
      </c>
      <c r="K120" s="371">
        <f>IS!EZ70</f>
        <v>12.231999999999996</v>
      </c>
      <c r="L120" s="371">
        <f>IS!FA70</f>
        <v>13.379999999999987</v>
      </c>
      <c r="M120" s="371">
        <f>IS!FB70</f>
        <v>43.357000000000021</v>
      </c>
      <c r="T120" s="293"/>
      <c r="Y120" s="185"/>
      <c r="Z120" s="176"/>
      <c r="AA120" s="176"/>
      <c r="CS120" s="166"/>
    </row>
    <row r="121" spans="1:97" s="279" customFormat="1">
      <c r="H121" s="242" t="s">
        <v>225</v>
      </c>
      <c r="I121" s="243" t="str">
        <f>_xll.BLUEMATRIX2("/servlet/excelData",I120, $B$1,$K$112&amp;":"&amp;$H120&amp;I119&amp;":"&amp;I$114&amp;":"&amp;VLOOKUP($L$112,$D$2466:$E$2476,2,0)&amp;":"&amp;$M$112)</f>
        <v>UPDATED: 2/17/2026 3:34:09 PM</v>
      </c>
      <c r="J121" s="243" t="str">
        <f>_xll.BLUEMATRIX2("/servlet/excelData",J120, $B$1,$K$112&amp;":"&amp;$H120&amp;J119&amp;":"&amp;J$114&amp;":"&amp;VLOOKUP($L$112,$D$2466:$E$2476,2,0)&amp;":"&amp;$M$112)</f>
        <v>UPDATED: 2/17/2026 3:34:09 PM</v>
      </c>
      <c r="K121" s="243" t="str">
        <f>_xll.BLUEMATRIX2("/servlet/excelData",K120, $B$1,$K$112&amp;":"&amp;$H120&amp;K119&amp;":"&amp;K$114&amp;":"&amp;VLOOKUP($L$112,$D$2466:$E$2476,2,0)&amp;":"&amp;$M$112)</f>
        <v>UPDATED: 2/17/2026 3:34:09 PM</v>
      </c>
      <c r="L121" s="243" t="str">
        <f>_xll.BLUEMATRIX2("/servlet/excelData",L120, $B$1,$K$112&amp;":"&amp;$H120&amp;L119&amp;":"&amp;L$114&amp;":"&amp;VLOOKUP($L$112,$D$2466:$E$2476,2,0)&amp;":"&amp;$M$112)</f>
        <v>UPDATED: 2/17/2026 3:34:09 PM</v>
      </c>
      <c r="M121" s="243" t="str">
        <f>_xll.BLUEMATRIX2("/servlet/excelData",M120, $B$1,$K$112&amp;":"&amp;$H120&amp;M119&amp;":"&amp;M$114&amp;":"&amp;VLOOKUP($L$112,$D$2466:$E$2476,2,0)&amp;":"&amp;$M$112)</f>
        <v>UPDATED: 2/17/2026 3:34:09 PM</v>
      </c>
      <c r="T121" s="293"/>
      <c r="Y121" s="185"/>
      <c r="Z121" s="176"/>
      <c r="AA121" s="176"/>
      <c r="CS121" s="166"/>
    </row>
    <row r="122" spans="1:97" s="279" customFormat="1">
      <c r="H122" s="214"/>
      <c r="I122" s="171"/>
      <c r="J122" s="171"/>
      <c r="K122" s="263"/>
      <c r="L122" s="263"/>
      <c r="M122" s="264"/>
      <c r="T122" s="293"/>
      <c r="Y122" s="185"/>
      <c r="Z122" s="176"/>
      <c r="AA122" s="176"/>
      <c r="CS122" s="166"/>
    </row>
    <row r="123" spans="1:97" s="279" customFormat="1">
      <c r="H123" s="228" t="s">
        <v>219</v>
      </c>
      <c r="I123" s="229" t="str">
        <f>IF($B$4&amp;$B$3=I$87&amp;$H124,"A",IF($H124&lt;$B$3,"A",IF($H124&gt;$B$3,"E",IF($B$3=$H124,IF(AND($H124&gt;=$B$3,I$87&gt;=$B$4),"E","A")))))</f>
        <v>E</v>
      </c>
      <c r="J123" s="229" t="str">
        <f>IF($B$4&amp;$B$3=J$87&amp;$H124,"A",IF($H124&lt;$B$3,"A",IF($H124&gt;$B$3,"E",IF($B$3=$H124,IF(AND($H124&gt;=$B$3,J$87&gt;=$B$4),"E","A")))))</f>
        <v>E</v>
      </c>
      <c r="K123" s="229" t="str">
        <f>IF($B$4&amp;$B$3=K$87&amp;$H124,"A",IF($H124&lt;$B$3,"A",IF($H124&gt;$B$3,"E",IF($B$3=$H124,IF(AND($H124&gt;=$B$3,K$87&gt;=$B$4),"E","A")))))</f>
        <v>E</v>
      </c>
      <c r="L123" s="229" t="str">
        <f>IF($B$4&amp;$B$3=L$87&amp;$H124,"A",IF($H124&lt;$B$3,"A",IF($H124&gt;$B$3,"E",IF($B$3=$H124,IF(AND($H124&gt;=$B$3,L$87&gt;=$B$4),"E","A")))))</f>
        <v>E</v>
      </c>
      <c r="M123" s="230" t="str">
        <f>IF($H124&lt;$B$3,"A",IF($B$4&amp;$B$3=$L$87&amp;$H124,"A","E"))</f>
        <v>E</v>
      </c>
      <c r="T123" s="293"/>
      <c r="Y123" s="185"/>
      <c r="Z123" s="176"/>
      <c r="AA123" s="176"/>
      <c r="CS123" s="166"/>
    </row>
    <row r="124" spans="1:97" s="279" customFormat="1" ht="21">
      <c r="H124" s="235">
        <f>$B$2+2</f>
        <v>2026</v>
      </c>
      <c r="I124" s="371">
        <f>IS!FD70</f>
        <v>9.0872575071845212</v>
      </c>
      <c r="J124" s="371">
        <f>IS!FE70</f>
        <v>11.806547685200181</v>
      </c>
      <c r="K124" s="371">
        <f>IS!FF70</f>
        <v>16.539810497484552</v>
      </c>
      <c r="L124" s="371">
        <f>IS!FG70</f>
        <v>18.633801130905447</v>
      </c>
      <c r="M124" s="371">
        <f>IS!FH70</f>
        <v>56.067416820774703</v>
      </c>
      <c r="T124" s="293"/>
      <c r="Y124" s="185"/>
      <c r="Z124" s="176"/>
      <c r="AA124" s="176"/>
      <c r="CS124" s="166"/>
    </row>
    <row r="125" spans="1:97" s="279" customFormat="1">
      <c r="H125" s="242" t="s">
        <v>225</v>
      </c>
      <c r="I125" s="243" t="str">
        <f>_xll.BLUEMATRIX2("/servlet/excelData",I124, $B$1,$K$112&amp;":"&amp;$H124&amp;I123&amp;":"&amp;I$114&amp;":"&amp;VLOOKUP($L$112,$D$2466:$E$2476,2,0)&amp;":"&amp;$M$112)</f>
        <v>UPDATED: 2/17/2026 3:34:09 PM</v>
      </c>
      <c r="J125" s="243" t="str">
        <f>_xll.BLUEMATRIX2("/servlet/excelData",J124, $B$1,$K$112&amp;":"&amp;$H124&amp;J123&amp;":"&amp;J$114&amp;":"&amp;VLOOKUP($L$112,$D$2466:$E$2476,2,0)&amp;":"&amp;$M$112)</f>
        <v>UPDATED: 2/17/2026 3:34:09 PM</v>
      </c>
      <c r="K125" s="243" t="str">
        <f>_xll.BLUEMATRIX2("/servlet/excelData",K124, $B$1,$K$112&amp;":"&amp;$H124&amp;K123&amp;":"&amp;K$114&amp;":"&amp;VLOOKUP($L$112,$D$2466:$E$2476,2,0)&amp;":"&amp;$M$112)</f>
        <v>UPDATED: 2/17/2026 3:34:09 PM</v>
      </c>
      <c r="L125" s="243" t="str">
        <f>_xll.BLUEMATRIX2("/servlet/excelData",L124, $B$1,$K$112&amp;":"&amp;$H124&amp;L123&amp;":"&amp;L$114&amp;":"&amp;VLOOKUP($L$112,$D$2466:$E$2476,2,0)&amp;":"&amp;$M$112)</f>
        <v>UPDATED: 2/17/2026 3:34:09 PM</v>
      </c>
      <c r="M125" s="243" t="str">
        <f>_xll.BLUEMATRIX2("/servlet/excelData",M124, $B$1,$K$112&amp;":"&amp;$H124&amp;M123&amp;":"&amp;M$114&amp;":"&amp;VLOOKUP($L$112,$D$2466:$E$2476,2,0)&amp;":"&amp;$M$112)</f>
        <v>UPDATED: 2/17/2026 3:34:09 PM</v>
      </c>
      <c r="T125" s="293"/>
      <c r="Y125" s="185"/>
      <c r="Z125" s="176"/>
      <c r="AA125" s="176"/>
      <c r="CS125" s="166"/>
    </row>
    <row r="126" spans="1:97" s="279" customFormat="1">
      <c r="H126" s="214"/>
      <c r="I126" s="171"/>
      <c r="J126" s="171"/>
      <c r="K126" s="263"/>
      <c r="L126" s="263"/>
      <c r="M126" s="264"/>
      <c r="T126" s="293"/>
      <c r="Y126" s="185"/>
      <c r="Z126" s="176"/>
      <c r="AA126" s="176"/>
      <c r="CS126" s="166"/>
    </row>
    <row r="127" spans="1:97" s="279" customFormat="1">
      <c r="H127" s="228" t="s">
        <v>219</v>
      </c>
      <c r="I127" s="229" t="str">
        <f>IF($B$4&amp;$B$3=I$87&amp;$H128,"A",IF($H128&lt;$B$3,"A",IF($H128&gt;$B$3,"E",IF($B$3=$H128,IF(AND($H128&gt;=$B$3,I$87&gt;=$B$4),"E","A")))))</f>
        <v>E</v>
      </c>
      <c r="J127" s="229" t="str">
        <f>IF($B$4&amp;$B$3=J$87&amp;$H128,"A",IF($H128&lt;$B$3,"A",IF($H128&gt;$B$3,"E",IF($B$3=$H128,IF(AND($H128&gt;=$B$3,J$87&gt;=$B$4),"E","A")))))</f>
        <v>E</v>
      </c>
      <c r="K127" s="229" t="str">
        <f>IF($B$4&amp;$B$3=K$87&amp;$H128,"A",IF($H128&lt;$B$3,"A",IF($H128&gt;$B$3,"E",IF($B$3=$H128,IF(AND($H128&gt;=$B$3,K$87&gt;=$B$4),"E","A")))))</f>
        <v>E</v>
      </c>
      <c r="L127" s="229" t="str">
        <f>IF($B$4&amp;$B$3=L$87&amp;$H128,"A",IF($H128&lt;$B$3,"A",IF($H128&gt;$B$3,"E",IF($B$3=$H128,IF(AND($H128&gt;=$B$3,L$87&gt;=$B$4),"E","A")))))</f>
        <v>E</v>
      </c>
      <c r="M127" s="230" t="str">
        <f>IF($H128&lt;$B$3,"A",IF($B$4&amp;$B$3=$L$87&amp;$H128,"A","E"))</f>
        <v>E</v>
      </c>
      <c r="T127" s="293"/>
      <c r="Y127" s="185"/>
      <c r="Z127" s="176"/>
      <c r="AA127" s="176"/>
      <c r="CS127" s="166"/>
    </row>
    <row r="128" spans="1:97" s="279" customFormat="1" ht="21">
      <c r="A128" s="185"/>
      <c r="B128" s="185"/>
      <c r="C128" s="185"/>
      <c r="H128" s="235">
        <f>$B$2+3</f>
        <v>2027</v>
      </c>
      <c r="I128" s="371">
        <f>IS!FJ70</f>
        <v>17.732715774384324</v>
      </c>
      <c r="J128" s="371">
        <f>IS!FK70</f>
        <v>18.249163923393187</v>
      </c>
      <c r="K128" s="371">
        <f>IS!FL70</f>
        <v>18.67734226890185</v>
      </c>
      <c r="L128" s="371">
        <f>IS!FM70</f>
        <v>18.928886625081997</v>
      </c>
      <c r="M128" s="371">
        <f>IS!FN70</f>
        <v>73.588108591761369</v>
      </c>
      <c r="T128" s="293"/>
      <c r="Y128" s="185"/>
      <c r="Z128" s="176"/>
      <c r="AA128" s="176"/>
      <c r="CS128" s="166"/>
    </row>
    <row r="129" spans="1:97" s="279" customFormat="1">
      <c r="A129" s="185"/>
      <c r="B129" s="185"/>
      <c r="C129" s="185"/>
      <c r="H129" s="242" t="s">
        <v>225</v>
      </c>
      <c r="I129" s="243" t="str">
        <f>_xll.BLUEMATRIX2("/servlet/excelData",I128, $B$1,$K$112&amp;":"&amp;$H128&amp;I127&amp;":"&amp;I$114&amp;":"&amp;VLOOKUP($L$112,$D$2466:$E$2476,2,0)&amp;":"&amp;$M$112)</f>
        <v>UPDATED: 2/17/2026 3:34:09 PM</v>
      </c>
      <c r="J129" s="243" t="str">
        <f>_xll.BLUEMATRIX2("/servlet/excelData",J128, $B$1,$K$112&amp;":"&amp;$H128&amp;J127&amp;":"&amp;J$114&amp;":"&amp;VLOOKUP($L$112,$D$2466:$E$2476,2,0)&amp;":"&amp;$M$112)</f>
        <v>UPDATED: 2/17/2026 3:34:09 PM</v>
      </c>
      <c r="K129" s="243" t="str">
        <f>_xll.BLUEMATRIX2("/servlet/excelData",K128, $B$1,$K$112&amp;":"&amp;$H128&amp;K127&amp;":"&amp;K$114&amp;":"&amp;VLOOKUP($L$112,$D$2466:$E$2476,2,0)&amp;":"&amp;$M$112)</f>
        <v>#</v>
      </c>
      <c r="L129" s="243" t="str">
        <f>_xll.BLUEMATRIX2("/servlet/excelData",L128, $B$1,$K$112&amp;":"&amp;$H128&amp;L127&amp;":"&amp;L$114&amp;":"&amp;VLOOKUP($L$112,$D$2466:$E$2476,2,0)&amp;":"&amp;$M$112)</f>
        <v>UPDATED: 2/17/2026 3:34:09 PM</v>
      </c>
      <c r="M129" s="243" t="str">
        <f>_xll.BLUEMATRIX2("/servlet/excelData",M128, $B$1,$K$112&amp;":"&amp;$H128&amp;M127&amp;":"&amp;M$114&amp;":"&amp;VLOOKUP($L$112,$D$2466:$E$2476,2,0)&amp;":"&amp;$M$112)</f>
        <v>UPDATED: 2/17/2026 3:34:09 PM</v>
      </c>
      <c r="T129" s="293"/>
      <c r="Y129" s="185"/>
      <c r="Z129" s="176"/>
      <c r="AA129" s="176"/>
      <c r="CS129" s="166"/>
    </row>
    <row r="130" spans="1:97" s="279" customFormat="1">
      <c r="A130" s="166"/>
      <c r="B130" s="166"/>
      <c r="C130" s="166"/>
      <c r="D130" s="315"/>
      <c r="E130" s="316"/>
      <c r="F130" s="166"/>
      <c r="H130" s="214"/>
      <c r="I130" s="251"/>
      <c r="J130" s="251"/>
      <c r="K130" s="252"/>
      <c r="L130" s="252"/>
      <c r="M130" s="253"/>
      <c r="T130" s="293"/>
      <c r="Y130" s="185"/>
      <c r="Z130" s="176"/>
      <c r="AA130" s="176"/>
      <c r="CS130" s="166"/>
    </row>
    <row r="131" spans="1:97" s="279" customFormat="1">
      <c r="A131" s="166"/>
      <c r="B131" s="166"/>
      <c r="C131" s="166"/>
      <c r="D131" s="315"/>
      <c r="E131" s="316"/>
      <c r="F131" s="166"/>
      <c r="H131" s="228" t="s">
        <v>219</v>
      </c>
      <c r="I131" s="229" t="str">
        <f>IF($B$4&amp;$B$3=I$87&amp;$H132,"A",IF($H132&lt;$B$3,"A",IF($H132&gt;$B$3,"E",IF($B$3=$H132,IF(AND($H132&gt;=$B$3,I$87&gt;=$B$4),"E","A")))))</f>
        <v>E</v>
      </c>
      <c r="J131" s="229" t="str">
        <f>IF($B$4&amp;$B$3=J$87&amp;$H132,"A",IF($H132&lt;$B$3,"A",IF($H132&gt;$B$3,"E",IF($B$3=$H132,IF(AND($H132&gt;=$B$3,J$87&gt;=$B$4),"E","A")))))</f>
        <v>E</v>
      </c>
      <c r="K131" s="229" t="str">
        <f>IF($B$4&amp;$B$3=K$87&amp;$H132,"A",IF($H132&lt;$B$3,"A",IF($H132&gt;$B$3,"E",IF($B$3=$H132,IF(AND($H132&gt;=$B$3,K$87&gt;=$B$4),"E","A")))))</f>
        <v>E</v>
      </c>
      <c r="L131" s="229" t="str">
        <f>IF($B$4&amp;$B$3=L$87&amp;$H132,"A",IF($H132&lt;$B$3,"A",IF($H132&gt;$B$3,"E",IF($B$3=$H132,IF(AND($H132&gt;=$B$3,L$87&gt;=$B$4),"E","A")))))</f>
        <v>E</v>
      </c>
      <c r="M131" s="230" t="str">
        <f>IF($H132&lt;$B$3,"A",IF($B$4&amp;$B$3=$L$87&amp;$H132,"A","E"))</f>
        <v>E</v>
      </c>
      <c r="T131" s="293"/>
      <c r="Y131" s="185"/>
      <c r="Z131" s="176"/>
      <c r="AA131" s="176"/>
      <c r="CS131" s="166"/>
    </row>
    <row r="132" spans="1:97" s="279" customFormat="1" ht="21">
      <c r="A132" s="166"/>
      <c r="B132" s="166"/>
      <c r="C132" s="166"/>
      <c r="D132" s="315"/>
      <c r="E132" s="316"/>
      <c r="F132" s="166"/>
      <c r="H132" s="235">
        <f>$B$2+4</f>
        <v>2028</v>
      </c>
      <c r="I132" s="371">
        <f>IS!FP70</f>
        <v>23.094320202643797</v>
      </c>
      <c r="J132" s="371">
        <f>IS!FQ70</f>
        <v>24.011234747069395</v>
      </c>
      <c r="K132" s="371">
        <f>IS!FR70</f>
        <v>24.773497776260207</v>
      </c>
      <c r="L132" s="371">
        <f>IS!FS70</f>
        <v>25.240054987039997</v>
      </c>
      <c r="M132" s="371">
        <f>IS!FT70</f>
        <v>97.119107713013392</v>
      </c>
      <c r="T132" s="293"/>
      <c r="Y132" s="185"/>
      <c r="Z132" s="176"/>
      <c r="AA132" s="176"/>
      <c r="CS132" s="166"/>
    </row>
    <row r="133" spans="1:97" s="279" customFormat="1">
      <c r="A133" s="166"/>
      <c r="B133" s="166"/>
      <c r="C133" s="166"/>
      <c r="D133" s="315"/>
      <c r="E133" s="316"/>
      <c r="F133" s="166"/>
      <c r="H133" s="242" t="s">
        <v>225</v>
      </c>
      <c r="I133" s="243" t="str">
        <f>_xll.BLUEMATRIX2("/servlet/excelData",I132, $B$1,$K$112&amp;":"&amp;$H132&amp;I131&amp;":"&amp;I$114&amp;":"&amp;VLOOKUP($L$112,$D$2466:$E$2476,2,0)&amp;":"&amp;$M$112)</f>
        <v>UPDATED: 2/17/2026 3:34:09 PM</v>
      </c>
      <c r="J133" s="243" t="str">
        <f>_xll.BLUEMATRIX2("/servlet/excelData",J132, $B$1,$K$112&amp;":"&amp;$H132&amp;J131&amp;":"&amp;J$114&amp;":"&amp;VLOOKUP($L$112,$D$2466:$E$2476,2,0)&amp;":"&amp;$M$112)</f>
        <v>UPDATED: 2/17/2026 3:34:09 PM</v>
      </c>
      <c r="K133" s="243" t="str">
        <f>_xll.BLUEMATRIX2("/servlet/excelData",K132, $B$1,$K$112&amp;":"&amp;$H132&amp;K131&amp;":"&amp;K$114&amp;":"&amp;VLOOKUP($L$112,$D$2466:$E$2476,2,0)&amp;":"&amp;$M$112)</f>
        <v>UPDATED: 2/17/2026 3:34:09 PM</v>
      </c>
      <c r="L133" s="243" t="str">
        <f>_xll.BLUEMATRIX2("/servlet/excelData",L132, $B$1,$K$112&amp;":"&amp;$H132&amp;L131&amp;":"&amp;L$114&amp;":"&amp;VLOOKUP($L$112,$D$2466:$E$2476,2,0)&amp;":"&amp;$M$112)</f>
        <v>UPDATED: 2/17/2026 3:34:09 PM</v>
      </c>
      <c r="M133" s="243" t="str">
        <f>_xll.BLUEMATRIX2("/servlet/excelData",M132, $B$1,$K$112&amp;":"&amp;$H132&amp;M131&amp;":"&amp;M$114&amp;":"&amp;VLOOKUP($L$112,$D$2466:$E$2476,2,0)&amp;":"&amp;$M$112)</f>
        <v>UPDATED: 2/17/2026 3:34:09 PM</v>
      </c>
      <c r="T133" s="293"/>
      <c r="Y133" s="185"/>
      <c r="Z133" s="176"/>
      <c r="AA133" s="176"/>
      <c r="CS133" s="166"/>
    </row>
    <row r="134" spans="1:97" s="279" customFormat="1" ht="22.5" customHeight="1" thickBot="1">
      <c r="A134" s="166"/>
      <c r="B134" s="166"/>
      <c r="C134" s="166"/>
      <c r="D134" s="315"/>
      <c r="E134" s="316"/>
      <c r="F134" s="166"/>
      <c r="J134" s="187"/>
      <c r="M134" s="292"/>
      <c r="T134" s="293"/>
      <c r="Y134" s="185"/>
      <c r="Z134" s="176"/>
      <c r="AA134" s="176"/>
      <c r="CS134" s="166"/>
    </row>
    <row r="135" spans="1:97" s="279" customFormat="1">
      <c r="A135" s="166"/>
      <c r="B135" s="166"/>
      <c r="C135" s="166"/>
      <c r="D135" s="315"/>
      <c r="E135" s="316"/>
      <c r="F135" s="166"/>
      <c r="H135" s="302" t="s">
        <v>688</v>
      </c>
      <c r="I135" s="195"/>
      <c r="J135" s="946" t="s">
        <v>191</v>
      </c>
      <c r="K135" s="946"/>
      <c r="L135" s="946"/>
      <c r="M135" s="947"/>
      <c r="T135" s="293"/>
      <c r="Y135" s="185"/>
      <c r="Z135" s="176"/>
      <c r="AA135" s="176"/>
      <c r="CS135" s="166"/>
    </row>
    <row r="136" spans="1:97" s="279" customFormat="1" ht="26.25">
      <c r="A136" s="166"/>
      <c r="B136" s="166"/>
      <c r="C136" s="166"/>
      <c r="D136" s="315"/>
      <c r="E136" s="316"/>
      <c r="F136" s="166"/>
      <c r="H136" s="196" t="s">
        <v>193</v>
      </c>
      <c r="I136" s="295"/>
      <c r="J136" s="295"/>
      <c r="K136" s="296" t="s">
        <v>194</v>
      </c>
      <c r="L136" s="297" t="s">
        <v>195</v>
      </c>
      <c r="M136" s="298" t="s">
        <v>196</v>
      </c>
      <c r="T136" s="293"/>
      <c r="Y136" s="185"/>
      <c r="Z136" s="176"/>
      <c r="AA136" s="176"/>
      <c r="CS136" s="166"/>
    </row>
    <row r="137" spans="1:97" s="279" customFormat="1" ht="21">
      <c r="A137" s="166"/>
      <c r="B137" s="166"/>
      <c r="C137" s="166"/>
      <c r="D137" s="315"/>
      <c r="E137" s="316"/>
      <c r="F137" s="166"/>
      <c r="H137" s="311" t="s">
        <v>313</v>
      </c>
      <c r="I137" s="304"/>
      <c r="J137" s="304"/>
      <c r="K137" s="312" t="str">
        <f>VLOOKUP(H137,$A$2466:$B$2566,2,FALSE)</f>
        <v>Cons. EBITDA</v>
      </c>
      <c r="L137" s="313" t="s">
        <v>201</v>
      </c>
      <c r="M137" s="314" t="s">
        <v>202</v>
      </c>
      <c r="T137" s="293"/>
      <c r="Y137" s="185"/>
      <c r="Z137" s="176"/>
      <c r="AA137" s="176"/>
      <c r="CS137" s="166"/>
    </row>
    <row r="138" spans="1:97" s="279" customFormat="1">
      <c r="A138" s="166"/>
      <c r="B138" s="166"/>
      <c r="C138" s="166"/>
      <c r="D138" s="315"/>
      <c r="E138" s="316"/>
      <c r="F138" s="166"/>
      <c r="H138" s="214"/>
      <c r="I138" s="215" t="s">
        <v>206</v>
      </c>
      <c r="J138" s="215" t="s">
        <v>207</v>
      </c>
      <c r="K138" s="216" t="s">
        <v>208</v>
      </c>
      <c r="L138" s="216" t="s">
        <v>209</v>
      </c>
      <c r="M138" s="217" t="s">
        <v>210</v>
      </c>
      <c r="T138" s="293"/>
      <c r="Y138" s="185"/>
      <c r="Z138" s="176"/>
      <c r="AA138" s="176"/>
      <c r="CS138" s="166"/>
    </row>
    <row r="139" spans="1:97" ht="21">
      <c r="D139" s="315"/>
      <c r="E139" s="316"/>
      <c r="H139" s="214"/>
      <c r="I139" s="222" t="s">
        <v>213</v>
      </c>
      <c r="J139" s="222" t="s">
        <v>214</v>
      </c>
      <c r="K139" s="222" t="s">
        <v>215</v>
      </c>
      <c r="L139" s="222" t="s">
        <v>216</v>
      </c>
      <c r="M139" s="223" t="s">
        <v>217</v>
      </c>
      <c r="W139" s="317"/>
      <c r="Z139" s="176"/>
      <c r="AA139" s="176"/>
    </row>
    <row r="140" spans="1:97">
      <c r="D140" s="315"/>
      <c r="E140" s="316"/>
      <c r="H140" s="228" t="s">
        <v>219</v>
      </c>
      <c r="I140" s="229" t="str">
        <f>IF($B$4&amp;$B$3=I$87&amp;$H141,"A",IF($H141&lt;$B$3,"A",IF($H141&gt;$B$3,"E",IF($B$3=$H141,IF(AND($H141&gt;=$B$3,I$87&gt;=$B$4),"E","A")))))</f>
        <v>A</v>
      </c>
      <c r="J140" s="229" t="str">
        <f>IF($B$4&amp;$B$3=J$87&amp;$H141,"A",IF($H141&lt;$B$3,"A",IF($H141&gt;$B$3,"E",IF($B$3=$H141,IF(AND($H141&gt;=$B$3,J$87&gt;=$B$4),"E","A")))))</f>
        <v>A</v>
      </c>
      <c r="K140" s="229" t="str">
        <f>IF($B$4&amp;$B$3=K$87&amp;$H141,"A",IF($H141&lt;$B$3,"A",IF($H141&gt;$B$3,"E",IF($B$3=$H141,IF(AND($H141&gt;=$B$3,K$87&gt;=$B$4),"E","A")))))</f>
        <v>A</v>
      </c>
      <c r="L140" s="229" t="str">
        <f>IF($B$4&amp;$B$3=L$87&amp;$H141,"A",IF($H141&lt;$B$3,"A",IF($H141&gt;$B$3,"E",IF($B$3=$H141,IF(AND($H141&gt;=$B$3,L$87&gt;=$B$4),"E","A")))))</f>
        <v>A</v>
      </c>
      <c r="M140" s="230" t="str">
        <f>IF($H141&lt;$B$3,"A",IF($B$4&amp;$B$3=$L$87&amp;$H141,"A","E"))</f>
        <v>A</v>
      </c>
      <c r="W140" s="317"/>
      <c r="Z140" s="176"/>
      <c r="AA140" s="176"/>
    </row>
    <row r="141" spans="1:97" ht="21">
      <c r="D141" s="315"/>
      <c r="E141" s="316"/>
      <c r="H141" s="235">
        <f>$B$2</f>
        <v>2024</v>
      </c>
      <c r="I141" s="267"/>
      <c r="J141" s="267"/>
      <c r="K141" s="268"/>
      <c r="L141" s="268"/>
      <c r="M141" s="371" cm="1">
        <f t="array" ref="M141">_xll.FDS($B$1,"FE_ESTIMATE(EBITDA,MEAN,ANN_ROLL,"&amp;H141&amp;",NOW,,,'')")</f>
        <v>39.607999999999997</v>
      </c>
      <c r="W141" s="317"/>
      <c r="Z141" s="176"/>
      <c r="AA141" s="176"/>
    </row>
    <row r="142" spans="1:97">
      <c r="D142" s="315"/>
      <c r="E142" s="316"/>
      <c r="H142" s="242" t="s">
        <v>225</v>
      </c>
      <c r="I142" s="243" t="str">
        <f>_xll.BLUEMATRIX2("/servlet/excelData",I141, $B$1,$K$137&amp;":"&amp;$H141&amp;I140&amp;":"&amp;I$139&amp;":"&amp;VLOOKUP($L$137,$D$2466:$E$2476,2,0)&amp;":"&amp;$M$137)</f>
        <v>#</v>
      </c>
      <c r="J142" s="243" t="str">
        <f>_xll.BLUEMATRIX2("/servlet/excelData",J141, $B$1,$K$137&amp;":"&amp;$H141&amp;J140&amp;":"&amp;J$139&amp;":"&amp;VLOOKUP($L$137,$D$2466:$E$2476,2,0)&amp;":"&amp;$M$137)</f>
        <v>#</v>
      </c>
      <c r="K142" s="243" t="str">
        <f>_xll.BLUEMATRIX2("/servlet/excelData",K141, $B$1,$K$137&amp;":"&amp;$H141&amp;K140&amp;":"&amp;K$139&amp;":"&amp;VLOOKUP($L$137,$D$2466:$E$2476,2,0)&amp;":"&amp;$M$137)</f>
        <v>#</v>
      </c>
      <c r="L142" s="243" t="str">
        <f>_xll.BLUEMATRIX2("/servlet/excelData",L141, $B$1,$K$137&amp;":"&amp;$H141&amp;L140&amp;":"&amp;L$139&amp;":"&amp;VLOOKUP($L$137,$D$2466:$E$2476,2,0)&amp;":"&amp;$M$137)</f>
        <v>#</v>
      </c>
      <c r="M142" s="243" t="str">
        <f>_xll.BLUEMATRIX2("/servlet/excelData",M141, $B$1,$K$137&amp;":"&amp;$H141&amp;M140&amp;":"&amp;M$139&amp;":"&amp;VLOOKUP($L$137,$D$2466:$E$2476,2,0)&amp;":"&amp;$M$137)</f>
        <v>UPDATED: 2/17/2026 3:34:09 PM</v>
      </c>
      <c r="W142" s="317"/>
      <c r="Z142" s="176"/>
      <c r="AA142" s="176"/>
    </row>
    <row r="143" spans="1:97">
      <c r="D143" s="315"/>
      <c r="E143" s="316"/>
      <c r="H143" s="214"/>
      <c r="I143" s="171"/>
      <c r="J143" s="171"/>
      <c r="K143" s="263"/>
      <c r="L143" s="263"/>
      <c r="M143" s="264"/>
      <c r="W143" s="317"/>
      <c r="Z143" s="176"/>
      <c r="AA143" s="176"/>
    </row>
    <row r="144" spans="1:97">
      <c r="D144" s="315"/>
      <c r="E144" s="316"/>
      <c r="H144" s="228" t="s">
        <v>219</v>
      </c>
      <c r="I144" s="229" t="str">
        <f>IF($B$4&amp;$B$3=I$87&amp;$H145,"A",IF($H145&lt;$B$3,"A",IF($H145&gt;$B$3,"E",IF($B$3=$H145,IF(AND($H145&gt;=$B$3,I$87&gt;=$B$4),"E","A")))))</f>
        <v>A</v>
      </c>
      <c r="J144" s="229" t="str">
        <f>IF($B$4&amp;$B$3=J$87&amp;$H145,"A",IF($H145&lt;$B$3,"A",IF($H145&gt;$B$3,"E",IF($B$3=$H145,IF(AND($H145&gt;=$B$3,J$87&gt;=$B$4),"E","A")))))</f>
        <v>A</v>
      </c>
      <c r="K144" s="229" t="str">
        <f>IF($B$4&amp;$B$3=K$87&amp;$H145,"A",IF($H145&lt;$B$3,"A",IF($H145&gt;$B$3,"E",IF($B$3=$H145,IF(AND($H145&gt;=$B$3,K$87&gt;=$B$4),"E","A")))))</f>
        <v>A</v>
      </c>
      <c r="L144" s="229" t="str">
        <f>IF($B$4&amp;$B$3=L$87&amp;$H145,"A",IF($H145&lt;$B$3,"A",IF($H145&gt;$B$3,"E",IF($B$3=$H145,IF(AND($H145&gt;=$B$3,L$87&gt;=$B$4),"E","A")))))</f>
        <v>A</v>
      </c>
      <c r="M144" s="230" t="str">
        <f>IF($H145&lt;$B$3,"A",IF($B$4&amp;$B$3=$L$87&amp;$H145,"A","E"))</f>
        <v>A</v>
      </c>
      <c r="W144" s="317"/>
      <c r="Z144" s="176"/>
      <c r="AA144" s="176"/>
    </row>
    <row r="145" spans="4:27" ht="21">
      <c r="D145" s="315"/>
      <c r="E145" s="316"/>
      <c r="H145" s="235">
        <f>$B$2+1</f>
        <v>2025</v>
      </c>
      <c r="I145" s="371"/>
      <c r="J145" s="371"/>
      <c r="K145" s="371"/>
      <c r="L145" s="371"/>
      <c r="M145" s="371" cm="1">
        <f t="array" ref="M145">_xll.FDS($B$1,"FE_ESTIMATE(EBITDA,MEAN,ANN_ROLL,"&amp;H145&amp;",NOW,,,'')")</f>
        <v>43.356999999999999</v>
      </c>
      <c r="W145" s="317"/>
      <c r="Z145" s="176"/>
      <c r="AA145" s="176"/>
    </row>
    <row r="146" spans="4:27">
      <c r="D146" s="315"/>
      <c r="E146" s="316"/>
      <c r="H146" s="242" t="s">
        <v>225</v>
      </c>
      <c r="I146" s="243" t="str">
        <f>_xll.BLUEMATRIX2("/servlet/excelData",I145, $B$1,$K$137&amp;":"&amp;$H145&amp;I144&amp;":"&amp;I$139&amp;":"&amp;VLOOKUP($L$137,$D$2466:$E$2476,2,0)&amp;":"&amp;$M$137)</f>
        <v>#</v>
      </c>
      <c r="J146" s="243" t="str">
        <f>_xll.BLUEMATRIX2("/servlet/excelData",J145, $B$1,$K$137&amp;":"&amp;$H145&amp;J144&amp;":"&amp;J$139&amp;":"&amp;VLOOKUP($L$137,$D$2466:$E$2476,2,0)&amp;":"&amp;$M$137)</f>
        <v>#</v>
      </c>
      <c r="K146" s="243" t="str">
        <f>_xll.BLUEMATRIX2("/servlet/excelData",K145, $B$1,$K$137&amp;":"&amp;$H145&amp;K144&amp;":"&amp;K$139&amp;":"&amp;VLOOKUP($L$137,$D$2466:$E$2476,2,0)&amp;":"&amp;$M$137)</f>
        <v>#</v>
      </c>
      <c r="L146" s="243" t="str">
        <f>_xll.BLUEMATRIX2("/servlet/excelData",L145, $B$1,$K$137&amp;":"&amp;$H145&amp;L144&amp;":"&amp;L$139&amp;":"&amp;VLOOKUP($L$137,$D$2466:$E$2476,2,0)&amp;":"&amp;$M$137)</f>
        <v>#</v>
      </c>
      <c r="M146" s="243" t="str">
        <f>_xll.BLUEMATRIX2("/servlet/excelData",M145, $B$1,$K$137&amp;":"&amp;$H145&amp;M144&amp;":"&amp;M$139&amp;":"&amp;VLOOKUP($L$137,$D$2466:$E$2476,2,0)&amp;":"&amp;$M$137)</f>
        <v>UPDATED: 2/17/2026 3:34:09 PM</v>
      </c>
      <c r="W146" s="317"/>
      <c r="Z146" s="176"/>
      <c r="AA146" s="176"/>
    </row>
    <row r="147" spans="4:27">
      <c r="D147" s="315"/>
      <c r="E147" s="316"/>
      <c r="H147" s="214"/>
      <c r="I147" s="171"/>
      <c r="J147" s="171"/>
      <c r="K147" s="263"/>
      <c r="L147" s="263"/>
      <c r="M147" s="264"/>
      <c r="W147" s="317"/>
      <c r="Z147" s="176"/>
      <c r="AA147" s="176"/>
    </row>
    <row r="148" spans="4:27">
      <c r="D148" s="315"/>
      <c r="E148" s="316"/>
      <c r="H148" s="228" t="s">
        <v>219</v>
      </c>
      <c r="I148" s="229" t="str">
        <f>IF($B$4&amp;$B$3=I$87&amp;$H149,"A",IF($H149&lt;$B$3,"A",IF($H149&gt;$B$3,"E",IF($B$3=$H149,IF(AND($H149&gt;=$B$3,I$87&gt;=$B$4),"E","A")))))</f>
        <v>E</v>
      </c>
      <c r="J148" s="229" t="str">
        <f>IF($B$4&amp;$B$3=J$87&amp;$H149,"A",IF($H149&lt;$B$3,"A",IF($H149&gt;$B$3,"E",IF($B$3=$H149,IF(AND($H149&gt;=$B$3,J$87&gt;=$B$4),"E","A")))))</f>
        <v>E</v>
      </c>
      <c r="K148" s="229" t="str">
        <f>IF($B$4&amp;$B$3=K$87&amp;$H149,"A",IF($H149&lt;$B$3,"A",IF($H149&gt;$B$3,"E",IF($B$3=$H149,IF(AND($H149&gt;=$B$3,K$87&gt;=$B$4),"E","A")))))</f>
        <v>E</v>
      </c>
      <c r="L148" s="229" t="str">
        <f>IF($B$4&amp;$B$3=L$87&amp;$H149,"A",IF($H149&lt;$B$3,"A",IF($H149&gt;$B$3,"E",IF($B$3=$H149,IF(AND($H149&gt;=$B$3,L$87&gt;=$B$4),"E","A")))))</f>
        <v>E</v>
      </c>
      <c r="M148" s="230" t="str">
        <f>IF($H149&lt;$B$3,"A",IF($B$4&amp;$B$3=$L$87&amp;$H149,"A","E"))</f>
        <v>E</v>
      </c>
      <c r="W148" s="317"/>
      <c r="Z148" s="176"/>
      <c r="AA148" s="176"/>
    </row>
    <row r="149" spans="4:27" ht="21">
      <c r="D149" s="315"/>
      <c r="E149" s="316"/>
      <c r="H149" s="235">
        <f>$B$2+2</f>
        <v>2026</v>
      </c>
      <c r="I149" s="371"/>
      <c r="J149" s="371"/>
      <c r="K149" s="371"/>
      <c r="L149" s="371"/>
      <c r="M149" s="371" cm="1">
        <f t="array" ref="M149">_xll.FDS($B$1,"FE_ESTIMATE(EBITDA,MEAN,ANN_ROLL,"&amp;H149&amp;",NOW,,,'')")</f>
        <v>55.167929999999998</v>
      </c>
      <c r="W149" s="317"/>
      <c r="Z149" s="176"/>
      <c r="AA149" s="176"/>
    </row>
    <row r="150" spans="4:27">
      <c r="D150" s="315"/>
      <c r="E150" s="316"/>
      <c r="H150" s="242" t="s">
        <v>225</v>
      </c>
      <c r="I150" s="243" t="str">
        <f>_xll.BLUEMATRIX2("/servlet/excelData",I149, $B$1,$K$137&amp;":"&amp;$H149&amp;I148&amp;":"&amp;I$139&amp;":"&amp;VLOOKUP($L$137,$D$2466:$E$2476,2,0)&amp;":"&amp;$M$137)</f>
        <v>#</v>
      </c>
      <c r="J150" s="243" t="str">
        <f>_xll.BLUEMATRIX2("/servlet/excelData",J149, $B$1,$K$137&amp;":"&amp;$H149&amp;J148&amp;":"&amp;J$139&amp;":"&amp;VLOOKUP($L$137,$D$2466:$E$2476,2,0)&amp;":"&amp;$M$137)</f>
        <v>#</v>
      </c>
      <c r="K150" s="243" t="str">
        <f>_xll.BLUEMATRIX2("/servlet/excelData",K149, $B$1,$K$137&amp;":"&amp;$H149&amp;K148&amp;":"&amp;K$139&amp;":"&amp;VLOOKUP($L$137,$D$2466:$E$2476,2,0)&amp;":"&amp;$M$137)</f>
        <v>#</v>
      </c>
      <c r="L150" s="243" t="str">
        <f>_xll.BLUEMATRIX2("/servlet/excelData",L149, $B$1,$K$137&amp;":"&amp;$H149&amp;L148&amp;":"&amp;L$139&amp;":"&amp;VLOOKUP($L$137,$D$2466:$E$2476,2,0)&amp;":"&amp;$M$137)</f>
        <v>#</v>
      </c>
      <c r="M150" s="243" t="str">
        <f>_xll.BLUEMATRIX2("/servlet/excelData",M149, $B$1,$K$137&amp;":"&amp;$H149&amp;M148&amp;":"&amp;M$139&amp;":"&amp;VLOOKUP($L$137,$D$2466:$E$2476,2,0)&amp;":"&amp;$M$137)</f>
        <v>UPDATED: 2/17/2026 3:34:09 PM</v>
      </c>
      <c r="W150" s="317"/>
      <c r="Z150" s="176"/>
      <c r="AA150" s="176"/>
    </row>
    <row r="151" spans="4:27">
      <c r="D151" s="315"/>
      <c r="E151" s="316"/>
      <c r="H151" s="214"/>
      <c r="I151" s="171"/>
      <c r="J151" s="171"/>
      <c r="K151" s="263"/>
      <c r="L151" s="263"/>
      <c r="M151" s="264"/>
      <c r="W151" s="317"/>
      <c r="Z151" s="176"/>
      <c r="AA151" s="176"/>
    </row>
    <row r="152" spans="4:27">
      <c r="D152" s="315"/>
      <c r="E152" s="316"/>
      <c r="H152" s="228" t="s">
        <v>219</v>
      </c>
      <c r="I152" s="229" t="str">
        <f>IF($B$4&amp;$B$3=I$87&amp;$H153,"A",IF($H153&lt;$B$3,"A",IF($H153&gt;$B$3,"E",IF($B$3=$H153,IF(AND($H153&gt;=$B$3,I$87&gt;=$B$4),"E","A")))))</f>
        <v>E</v>
      </c>
      <c r="J152" s="229" t="str">
        <f>IF($B$4&amp;$B$3=J$87&amp;$H153,"A",IF($H153&lt;$B$3,"A",IF($H153&gt;$B$3,"E",IF($B$3=$H153,IF(AND($H153&gt;=$B$3,J$87&gt;=$B$4),"E","A")))))</f>
        <v>E</v>
      </c>
      <c r="K152" s="229" t="str">
        <f>IF($B$4&amp;$B$3=K$87&amp;$H153,"A",IF($H153&lt;$B$3,"A",IF($H153&gt;$B$3,"E",IF($B$3=$H153,IF(AND($H153&gt;=$B$3,K$87&gt;=$B$4),"E","A")))))</f>
        <v>E</v>
      </c>
      <c r="L152" s="229" t="str">
        <f>IF($B$4&amp;$B$3=L$87&amp;$H153,"A",IF($H153&lt;$B$3,"A",IF($H153&gt;$B$3,"E",IF($B$3=$H153,IF(AND($H153&gt;=$B$3,L$87&gt;=$B$4),"E","A")))))</f>
        <v>E</v>
      </c>
      <c r="M152" s="230" t="str">
        <f>IF($H153&lt;$B$3,"A",IF($B$4&amp;$B$3=$L$87&amp;$H153,"A","E"))</f>
        <v>E</v>
      </c>
      <c r="W152" s="317"/>
      <c r="Z152" s="176"/>
      <c r="AA152" s="176"/>
    </row>
    <row r="153" spans="4:27" ht="21">
      <c r="D153" s="315"/>
      <c r="E153" s="316"/>
      <c r="H153" s="235">
        <f>$B$2+3</f>
        <v>2027</v>
      </c>
      <c r="I153" s="371"/>
      <c r="J153" s="371"/>
      <c r="K153" s="371"/>
      <c r="L153" s="371"/>
      <c r="M153" s="371" cm="1">
        <f t="array" ref="M153">_xll.FDS($B$1,"FE_ESTIMATE(EBITDA,MEAN,ANN_ROLL,"&amp;H153&amp;",NOW,,,'')")</f>
        <v>79.534706</v>
      </c>
      <c r="W153" s="317"/>
      <c r="Z153" s="176"/>
      <c r="AA153" s="176"/>
    </row>
    <row r="154" spans="4:27">
      <c r="D154" s="315"/>
      <c r="E154" s="316"/>
      <c r="H154" s="242" t="s">
        <v>225</v>
      </c>
      <c r="I154" s="243" t="str">
        <f>_xll.BLUEMATRIX2("/servlet/excelData",I153, $B$1,$K$137&amp;":"&amp;$H153&amp;I152&amp;":"&amp;I$139&amp;":"&amp;VLOOKUP($L$137,$D$2466:$E$2476,2,0)&amp;":"&amp;$M$137)</f>
        <v>#</v>
      </c>
      <c r="J154" s="243" t="str">
        <f>_xll.BLUEMATRIX2("/servlet/excelData",J153, $B$1,$K$137&amp;":"&amp;$H153&amp;J152&amp;":"&amp;J$139&amp;":"&amp;VLOOKUP($L$137,$D$2466:$E$2476,2,0)&amp;":"&amp;$M$137)</f>
        <v>#</v>
      </c>
      <c r="K154" s="243" t="str">
        <f>_xll.BLUEMATRIX2("/servlet/excelData",K153, $B$1,$K$137&amp;":"&amp;$H153&amp;K152&amp;":"&amp;K$139&amp;":"&amp;VLOOKUP($L$137,$D$2466:$E$2476,2,0)&amp;":"&amp;$M$137)</f>
        <v>#</v>
      </c>
      <c r="L154" s="243" t="str">
        <f>_xll.BLUEMATRIX2("/servlet/excelData",L153, $B$1,$K$137&amp;":"&amp;$H153&amp;L152&amp;":"&amp;L$139&amp;":"&amp;VLOOKUP($L$137,$D$2466:$E$2476,2,0)&amp;":"&amp;$M$137)</f>
        <v>#</v>
      </c>
      <c r="M154" s="243" t="str">
        <f>_xll.BLUEMATRIX2("/servlet/excelData",M153, $B$1,$K$137&amp;":"&amp;$H153&amp;M152&amp;":"&amp;M$139&amp;":"&amp;VLOOKUP($L$137,$D$2466:$E$2476,2,0)&amp;":"&amp;$M$137)</f>
        <v>UPDATED: 2/17/2026 3:34:09 PM</v>
      </c>
      <c r="W154" s="317"/>
      <c r="Z154" s="176"/>
      <c r="AA154" s="176"/>
    </row>
    <row r="155" spans="4:27">
      <c r="D155" s="315"/>
      <c r="E155" s="316"/>
      <c r="H155" s="214"/>
      <c r="I155" s="251"/>
      <c r="J155" s="251"/>
      <c r="K155" s="252"/>
      <c r="L155" s="252"/>
      <c r="M155" s="253"/>
      <c r="W155" s="317"/>
      <c r="Z155" s="176"/>
      <c r="AA155" s="176"/>
    </row>
    <row r="156" spans="4:27">
      <c r="D156" s="315"/>
      <c r="E156" s="316"/>
      <c r="H156" s="228" t="s">
        <v>219</v>
      </c>
      <c r="I156" s="229" t="str">
        <f>IF($B$4&amp;$B$3=I$87&amp;$H157,"A",IF($H157&lt;$B$3,"A",IF($H157&gt;$B$3,"E",IF($B$3=$H157,IF(AND($H157&gt;=$B$3,I$87&gt;=$B$4),"E","A")))))</f>
        <v>E</v>
      </c>
      <c r="J156" s="229" t="str">
        <f>IF($B$4&amp;$B$3=J$87&amp;$H157,"A",IF($H157&lt;$B$3,"A",IF($H157&gt;$B$3,"E",IF($B$3=$H157,IF(AND($H157&gt;=$B$3,J$87&gt;=$B$4),"E","A")))))</f>
        <v>E</v>
      </c>
      <c r="K156" s="229" t="str">
        <f>IF($B$4&amp;$B$3=K$87&amp;$H157,"A",IF($H157&lt;$B$3,"A",IF($H157&gt;$B$3,"E",IF($B$3=$H157,IF(AND($H157&gt;=$B$3,K$87&gt;=$B$4),"E","A")))))</f>
        <v>E</v>
      </c>
      <c r="L156" s="229" t="str">
        <f>IF($B$4&amp;$B$3=L$87&amp;$H157,"A",IF($H157&lt;$B$3,"A",IF($H157&gt;$B$3,"E",IF($B$3=$H157,IF(AND($H157&gt;=$B$3,L$87&gt;=$B$4),"E","A")))))</f>
        <v>E</v>
      </c>
      <c r="M156" s="230" t="str">
        <f>IF($H157&lt;$B$3,"A",IF($B$4&amp;$B$3=$L$87&amp;$H157,"A","E"))</f>
        <v>E</v>
      </c>
      <c r="W156" s="317"/>
      <c r="Z156" s="176"/>
      <c r="AA156" s="176"/>
    </row>
    <row r="157" spans="4:27" ht="21">
      <c r="D157" s="315"/>
      <c r="E157" s="316"/>
      <c r="H157" s="235">
        <f>$B$2+4</f>
        <v>2028</v>
      </c>
      <c r="I157" s="371"/>
      <c r="J157" s="371"/>
      <c r="K157" s="371"/>
      <c r="L157" s="371"/>
      <c r="M157" s="371" cm="1">
        <f t="array" ref="M157">_xll.FDS($B$1,"FE_ESTIMATE(EBITDA,MEAN,ANN_ROLL,"&amp;H157&amp;",NOW,,,'')")</f>
        <v>99.858000000000004</v>
      </c>
      <c r="W157" s="317"/>
      <c r="Z157" s="176"/>
      <c r="AA157" s="176"/>
    </row>
    <row r="158" spans="4:27">
      <c r="D158" s="315"/>
      <c r="E158" s="316"/>
      <c r="H158" s="242" t="s">
        <v>225</v>
      </c>
      <c r="I158" s="243" t="str">
        <f>_xll.BLUEMATRIX2("/servlet/excelData",I157, $B$1,$K$137&amp;":"&amp;$H157&amp;I156&amp;":"&amp;I$139&amp;":"&amp;VLOOKUP($L$137,$D$2466:$E$2476,2,0)&amp;":"&amp;$M$137)</f>
        <v>#</v>
      </c>
      <c r="J158" s="243" t="str">
        <f>_xll.BLUEMATRIX2("/servlet/excelData",J157, $B$1,$K$137&amp;":"&amp;$H157&amp;J156&amp;":"&amp;J$139&amp;":"&amp;VLOOKUP($L$137,$D$2466:$E$2476,2,0)&amp;":"&amp;$M$137)</f>
        <v>#</v>
      </c>
      <c r="K158" s="243" t="str">
        <f>_xll.BLUEMATRIX2("/servlet/excelData",K157, $B$1,$K$137&amp;":"&amp;$H157&amp;K156&amp;":"&amp;K$139&amp;":"&amp;VLOOKUP($L$137,$D$2466:$E$2476,2,0)&amp;":"&amp;$M$137)</f>
        <v>#</v>
      </c>
      <c r="L158" s="243" t="str">
        <f>_xll.BLUEMATRIX2("/servlet/excelData",L157, $B$1,$K$137&amp;":"&amp;$H157&amp;L156&amp;":"&amp;L$139&amp;":"&amp;VLOOKUP($L$137,$D$2466:$E$2476,2,0)&amp;":"&amp;$M$137)</f>
        <v>#</v>
      </c>
      <c r="M158" s="243" t="str">
        <f>_xll.BLUEMATRIX2("/servlet/excelData",M157, $B$1,$K$137&amp;":"&amp;$H157&amp;M156&amp;":"&amp;M$139&amp;":"&amp;VLOOKUP($L$137,$D$2466:$E$2476,2,0)&amp;":"&amp;$M$137)</f>
        <v>UPDATED: 2/17/2026 3:34:09 PM</v>
      </c>
      <c r="W158" s="317"/>
      <c r="Z158" s="176"/>
      <c r="AA158" s="176"/>
    </row>
    <row r="159" spans="4:27">
      <c r="D159" s="315"/>
      <c r="E159" s="316"/>
      <c r="H159" s="256"/>
      <c r="J159" s="256"/>
      <c r="W159" s="317"/>
      <c r="Z159" s="176"/>
      <c r="AA159" s="176"/>
    </row>
    <row r="160" spans="4:27">
      <c r="D160" s="315"/>
      <c r="E160" s="316"/>
      <c r="H160" s="256"/>
      <c r="J160" s="256"/>
      <c r="W160" s="317"/>
      <c r="Z160" s="176"/>
      <c r="AA160" s="176"/>
    </row>
    <row r="161" spans="4:27">
      <c r="D161" s="315"/>
      <c r="E161" s="316"/>
      <c r="H161" s="256"/>
      <c r="J161" s="256"/>
      <c r="W161" s="317"/>
      <c r="Z161" s="176"/>
      <c r="AA161" s="176"/>
    </row>
    <row r="162" spans="4:27">
      <c r="D162" s="315"/>
      <c r="E162" s="316"/>
      <c r="H162" s="256"/>
      <c r="J162" s="256"/>
      <c r="W162" s="317"/>
      <c r="Z162" s="176"/>
      <c r="AA162" s="176"/>
    </row>
    <row r="163" spans="4:27">
      <c r="D163" s="315"/>
      <c r="E163" s="316"/>
      <c r="H163" s="256"/>
      <c r="J163" s="256"/>
      <c r="W163" s="317"/>
      <c r="Z163" s="176"/>
      <c r="AA163" s="176"/>
    </row>
    <row r="164" spans="4:27">
      <c r="D164" s="315"/>
      <c r="E164" s="316"/>
      <c r="H164" s="256"/>
      <c r="J164" s="256"/>
      <c r="W164" s="317"/>
      <c r="Z164" s="176"/>
      <c r="AA164" s="176"/>
    </row>
    <row r="165" spans="4:27">
      <c r="D165" s="315"/>
      <c r="E165" s="316"/>
      <c r="H165" s="256"/>
      <c r="J165" s="256"/>
      <c r="W165" s="317"/>
      <c r="Z165" s="176"/>
      <c r="AA165" s="176"/>
    </row>
    <row r="166" spans="4:27">
      <c r="D166" s="315"/>
      <c r="E166" s="316"/>
      <c r="H166" s="256"/>
      <c r="J166" s="256"/>
      <c r="W166" s="317"/>
      <c r="Z166" s="176"/>
      <c r="AA166" s="176"/>
    </row>
    <row r="167" spans="4:27">
      <c r="D167" s="315"/>
      <c r="E167" s="316"/>
      <c r="H167" s="256"/>
      <c r="J167" s="256"/>
      <c r="W167" s="317"/>
      <c r="Z167" s="176"/>
      <c r="AA167" s="176"/>
    </row>
    <row r="168" spans="4:27">
      <c r="D168" s="315"/>
      <c r="E168" s="316"/>
      <c r="H168" s="256"/>
      <c r="J168" s="256"/>
      <c r="W168" s="317"/>
      <c r="Z168" s="176"/>
      <c r="AA168" s="176"/>
    </row>
    <row r="169" spans="4:27">
      <c r="D169" s="315"/>
      <c r="E169" s="316"/>
      <c r="H169" s="256"/>
      <c r="J169" s="256"/>
      <c r="W169" s="317"/>
      <c r="Z169" s="176"/>
      <c r="AA169" s="176"/>
    </row>
    <row r="170" spans="4:27">
      <c r="D170" s="315"/>
      <c r="E170" s="316"/>
      <c r="H170" s="256"/>
      <c r="J170" s="256"/>
      <c r="W170" s="317"/>
      <c r="Z170" s="176"/>
      <c r="AA170" s="176"/>
    </row>
    <row r="171" spans="4:27">
      <c r="D171" s="315"/>
      <c r="E171" s="316"/>
      <c r="H171" s="256"/>
      <c r="J171" s="256"/>
      <c r="W171" s="317"/>
      <c r="Z171" s="176"/>
      <c r="AA171" s="176"/>
    </row>
    <row r="172" spans="4:27">
      <c r="D172" s="315"/>
      <c r="E172" s="316"/>
      <c r="H172" s="256"/>
      <c r="J172" s="256"/>
      <c r="W172" s="317"/>
      <c r="Z172" s="176"/>
      <c r="AA172" s="176"/>
    </row>
    <row r="173" spans="4:27">
      <c r="D173" s="315"/>
      <c r="E173" s="316"/>
      <c r="H173" s="256"/>
      <c r="J173" s="256"/>
      <c r="W173" s="317"/>
      <c r="Z173" s="176"/>
      <c r="AA173" s="176"/>
    </row>
    <row r="174" spans="4:27">
      <c r="D174" s="315"/>
      <c r="E174" s="316"/>
      <c r="H174" s="256"/>
      <c r="J174" s="256"/>
      <c r="W174" s="317"/>
      <c r="Z174" s="176"/>
      <c r="AA174" s="176"/>
    </row>
    <row r="175" spans="4:27">
      <c r="D175" s="315"/>
      <c r="E175" s="316"/>
      <c r="H175" s="256"/>
      <c r="J175" s="256"/>
      <c r="W175" s="317"/>
      <c r="Z175" s="176"/>
      <c r="AA175" s="176"/>
    </row>
    <row r="176" spans="4:27">
      <c r="D176" s="315"/>
      <c r="E176" s="316"/>
      <c r="H176" s="256"/>
      <c r="J176" s="256"/>
      <c r="W176" s="317"/>
      <c r="Z176" s="176"/>
      <c r="AA176" s="176"/>
    </row>
    <row r="177" spans="4:27">
      <c r="D177" s="315"/>
      <c r="E177" s="316"/>
      <c r="H177" s="256"/>
      <c r="J177" s="256"/>
      <c r="W177" s="317"/>
      <c r="Z177" s="176"/>
      <c r="AA177" s="176"/>
    </row>
    <row r="178" spans="4:27">
      <c r="D178" s="315"/>
      <c r="E178" s="316"/>
      <c r="H178" s="256"/>
      <c r="J178" s="256"/>
      <c r="W178" s="317"/>
      <c r="Z178" s="176"/>
      <c r="AA178" s="176"/>
    </row>
    <row r="179" spans="4:27">
      <c r="D179" s="315"/>
      <c r="E179" s="316"/>
      <c r="H179" s="256"/>
      <c r="J179" s="256"/>
      <c r="W179" s="317"/>
      <c r="Z179" s="176"/>
      <c r="AA179" s="176"/>
    </row>
    <row r="180" spans="4:27">
      <c r="D180" s="315"/>
      <c r="E180" s="316"/>
      <c r="H180" s="256"/>
      <c r="J180" s="256"/>
      <c r="W180" s="317"/>
      <c r="Z180" s="176"/>
      <c r="AA180" s="176"/>
    </row>
    <row r="181" spans="4:27">
      <c r="D181" s="315"/>
      <c r="E181" s="316"/>
      <c r="H181" s="256"/>
      <c r="J181" s="256"/>
      <c r="W181" s="317"/>
      <c r="Z181" s="176"/>
      <c r="AA181" s="176"/>
    </row>
    <row r="182" spans="4:27">
      <c r="D182" s="315"/>
      <c r="E182" s="316"/>
      <c r="H182" s="256"/>
      <c r="J182" s="256"/>
      <c r="W182" s="317"/>
      <c r="Z182" s="176"/>
      <c r="AA182" s="176"/>
    </row>
    <row r="183" spans="4:27">
      <c r="D183" s="315"/>
      <c r="E183" s="316"/>
      <c r="H183" s="256"/>
      <c r="J183" s="256"/>
      <c r="W183" s="317"/>
      <c r="Z183" s="176"/>
      <c r="AA183" s="176"/>
    </row>
    <row r="184" spans="4:27">
      <c r="D184" s="315"/>
      <c r="E184" s="316"/>
      <c r="H184" s="256"/>
      <c r="J184" s="256"/>
      <c r="W184" s="317"/>
      <c r="Z184" s="176"/>
      <c r="AA184" s="176"/>
    </row>
    <row r="185" spans="4:27">
      <c r="D185" s="315"/>
      <c r="E185" s="316"/>
      <c r="H185" s="256"/>
      <c r="J185" s="256"/>
      <c r="W185" s="317"/>
      <c r="Z185" s="176"/>
      <c r="AA185" s="176"/>
    </row>
    <row r="186" spans="4:27">
      <c r="D186" s="315"/>
      <c r="E186" s="316"/>
      <c r="H186" s="256"/>
      <c r="J186" s="256"/>
      <c r="W186" s="317"/>
      <c r="Z186" s="176"/>
      <c r="AA186" s="176"/>
    </row>
    <row r="187" spans="4:27">
      <c r="D187" s="315"/>
      <c r="E187" s="316"/>
      <c r="H187" s="256"/>
      <c r="J187" s="256"/>
      <c r="W187" s="317"/>
      <c r="Z187" s="176"/>
      <c r="AA187" s="176"/>
    </row>
    <row r="188" spans="4:27">
      <c r="D188" s="315"/>
      <c r="E188" s="316"/>
      <c r="H188" s="256"/>
      <c r="J188" s="256"/>
      <c r="W188" s="317"/>
      <c r="Z188" s="176"/>
      <c r="AA188" s="176"/>
    </row>
    <row r="189" spans="4:27">
      <c r="D189" s="315"/>
      <c r="E189" s="316"/>
      <c r="H189" s="256"/>
      <c r="J189" s="256"/>
      <c r="W189" s="317"/>
      <c r="Z189" s="176"/>
      <c r="AA189" s="176"/>
    </row>
    <row r="190" spans="4:27">
      <c r="D190" s="315"/>
      <c r="E190" s="316"/>
      <c r="H190" s="256"/>
      <c r="J190" s="256"/>
      <c r="W190" s="317"/>
      <c r="Z190" s="176"/>
      <c r="AA190" s="176"/>
    </row>
    <row r="191" spans="4:27">
      <c r="D191" s="315"/>
      <c r="E191" s="316"/>
      <c r="H191" s="256"/>
      <c r="J191" s="256"/>
      <c r="W191" s="317"/>
      <c r="Z191" s="176"/>
      <c r="AA191" s="176"/>
    </row>
    <row r="192" spans="4:27">
      <c r="D192" s="315"/>
      <c r="E192" s="316"/>
      <c r="H192" s="256"/>
      <c r="J192" s="256"/>
      <c r="W192" s="317"/>
      <c r="Z192" s="176"/>
      <c r="AA192" s="176"/>
    </row>
    <row r="193" spans="4:27">
      <c r="D193" s="315"/>
      <c r="E193" s="316"/>
      <c r="H193" s="256"/>
      <c r="J193" s="256"/>
      <c r="W193" s="317"/>
      <c r="Z193" s="176"/>
      <c r="AA193" s="176"/>
    </row>
    <row r="194" spans="4:27">
      <c r="D194" s="315"/>
      <c r="E194" s="316"/>
      <c r="H194" s="256"/>
      <c r="J194" s="256"/>
      <c r="W194" s="317"/>
      <c r="Z194" s="176"/>
      <c r="AA194" s="176"/>
    </row>
    <row r="195" spans="4:27">
      <c r="D195" s="315"/>
      <c r="E195" s="316"/>
      <c r="H195" s="256"/>
      <c r="J195" s="256"/>
      <c r="W195" s="317"/>
      <c r="Z195" s="176"/>
      <c r="AA195" s="176"/>
    </row>
    <row r="196" spans="4:27">
      <c r="D196" s="315"/>
      <c r="E196" s="316"/>
      <c r="H196" s="256"/>
      <c r="J196" s="256"/>
      <c r="W196" s="317"/>
      <c r="Z196" s="176"/>
      <c r="AA196" s="176"/>
    </row>
    <row r="197" spans="4:27">
      <c r="D197" s="315"/>
      <c r="E197" s="316"/>
      <c r="H197" s="256"/>
      <c r="J197" s="256"/>
      <c r="W197" s="317"/>
      <c r="Z197" s="176"/>
      <c r="AA197" s="176"/>
    </row>
    <row r="198" spans="4:27">
      <c r="D198" s="315"/>
      <c r="E198" s="316"/>
      <c r="H198" s="256"/>
      <c r="J198" s="256"/>
      <c r="W198" s="317"/>
      <c r="Z198" s="176"/>
      <c r="AA198" s="176"/>
    </row>
    <row r="199" spans="4:27">
      <c r="D199" s="315"/>
      <c r="E199" s="316"/>
      <c r="H199" s="256"/>
      <c r="J199" s="256"/>
      <c r="W199" s="317"/>
      <c r="Z199" s="176"/>
      <c r="AA199" s="176"/>
    </row>
    <row r="200" spans="4:27">
      <c r="D200" s="315"/>
      <c r="E200" s="316"/>
      <c r="H200" s="256"/>
      <c r="J200" s="256"/>
      <c r="W200" s="317"/>
      <c r="Z200" s="176"/>
      <c r="AA200" s="176"/>
    </row>
    <row r="201" spans="4:27">
      <c r="D201" s="315"/>
      <c r="E201" s="316"/>
      <c r="H201" s="256"/>
      <c r="J201" s="256"/>
      <c r="W201" s="317"/>
      <c r="Z201" s="176"/>
      <c r="AA201" s="176"/>
    </row>
    <row r="202" spans="4:27">
      <c r="D202" s="315"/>
      <c r="E202" s="316"/>
      <c r="H202" s="256"/>
      <c r="J202" s="256"/>
      <c r="W202" s="317"/>
      <c r="Z202" s="176"/>
      <c r="AA202" s="176"/>
    </row>
    <row r="203" spans="4:27">
      <c r="D203" s="315"/>
      <c r="E203" s="316"/>
      <c r="H203" s="256"/>
      <c r="J203" s="256"/>
      <c r="W203" s="317"/>
      <c r="Z203" s="176"/>
      <c r="AA203" s="176"/>
    </row>
    <row r="204" spans="4:27">
      <c r="D204" s="315"/>
      <c r="E204" s="316"/>
      <c r="H204" s="256"/>
      <c r="J204" s="256"/>
      <c r="W204" s="317"/>
      <c r="Z204" s="176"/>
      <c r="AA204" s="176"/>
    </row>
    <row r="205" spans="4:27">
      <c r="D205" s="315"/>
      <c r="E205" s="316"/>
      <c r="H205" s="256"/>
      <c r="J205" s="256"/>
      <c r="W205" s="317"/>
      <c r="Z205" s="176"/>
      <c r="AA205" s="176"/>
    </row>
    <row r="206" spans="4:27">
      <c r="D206" s="315"/>
      <c r="E206" s="316"/>
      <c r="H206" s="256"/>
      <c r="J206" s="256"/>
      <c r="W206" s="317"/>
      <c r="Z206" s="176"/>
      <c r="AA206" s="176"/>
    </row>
    <row r="207" spans="4:27">
      <c r="D207" s="315"/>
      <c r="E207" s="316"/>
      <c r="H207" s="256"/>
      <c r="J207" s="256"/>
      <c r="W207" s="317"/>
      <c r="Z207" s="176"/>
      <c r="AA207" s="176"/>
    </row>
    <row r="208" spans="4:27">
      <c r="D208" s="315"/>
      <c r="E208" s="316"/>
      <c r="H208" s="256"/>
      <c r="J208" s="256"/>
      <c r="W208" s="317"/>
      <c r="Z208" s="176"/>
      <c r="AA208" s="176"/>
    </row>
    <row r="209" spans="4:27">
      <c r="D209" s="315"/>
      <c r="E209" s="316"/>
      <c r="H209" s="256"/>
      <c r="J209" s="256"/>
      <c r="W209" s="317"/>
      <c r="Z209" s="176"/>
      <c r="AA209" s="176"/>
    </row>
    <row r="210" spans="4:27">
      <c r="D210" s="315"/>
      <c r="E210" s="316"/>
      <c r="H210" s="256"/>
      <c r="J210" s="256"/>
      <c r="W210" s="317"/>
      <c r="Z210" s="176"/>
      <c r="AA210" s="176"/>
    </row>
    <row r="211" spans="4:27">
      <c r="D211" s="315"/>
      <c r="E211" s="316"/>
      <c r="H211" s="256"/>
      <c r="J211" s="256"/>
      <c r="W211" s="317"/>
      <c r="Z211" s="176"/>
      <c r="AA211" s="176"/>
    </row>
    <row r="212" spans="4:27">
      <c r="D212" s="315"/>
      <c r="E212" s="316"/>
      <c r="H212" s="256"/>
      <c r="J212" s="256"/>
      <c r="W212" s="317"/>
      <c r="Z212" s="176"/>
      <c r="AA212" s="176"/>
    </row>
    <row r="213" spans="4:27">
      <c r="D213" s="315"/>
      <c r="E213" s="316"/>
      <c r="H213" s="256"/>
      <c r="J213" s="256"/>
      <c r="W213" s="317"/>
      <c r="Z213" s="176"/>
      <c r="AA213" s="176"/>
    </row>
    <row r="214" spans="4:27">
      <c r="D214" s="315"/>
      <c r="E214" s="316"/>
      <c r="H214" s="256"/>
      <c r="J214" s="256"/>
      <c r="W214" s="317"/>
      <c r="Z214" s="176"/>
      <c r="AA214" s="176"/>
    </row>
    <row r="215" spans="4:27">
      <c r="D215" s="315"/>
      <c r="E215" s="316"/>
      <c r="H215" s="256"/>
      <c r="J215" s="256"/>
      <c r="W215" s="317"/>
      <c r="Z215" s="176"/>
      <c r="AA215" s="176"/>
    </row>
    <row r="216" spans="4:27">
      <c r="D216" s="315"/>
      <c r="E216" s="316"/>
      <c r="H216" s="256"/>
      <c r="J216" s="256"/>
      <c r="W216" s="317"/>
      <c r="Z216" s="176"/>
      <c r="AA216" s="176"/>
    </row>
    <row r="217" spans="4:27">
      <c r="D217" s="315"/>
      <c r="E217" s="316"/>
      <c r="H217" s="256"/>
      <c r="J217" s="256"/>
      <c r="W217" s="317"/>
      <c r="Z217" s="176"/>
      <c r="AA217" s="176"/>
    </row>
    <row r="218" spans="4:27">
      <c r="D218" s="315"/>
      <c r="E218" s="316"/>
      <c r="H218" s="256"/>
      <c r="J218" s="256"/>
      <c r="W218" s="317"/>
      <c r="Z218" s="176"/>
      <c r="AA218" s="176"/>
    </row>
    <row r="219" spans="4:27">
      <c r="D219" s="315"/>
      <c r="E219" s="316"/>
      <c r="H219" s="256"/>
      <c r="J219" s="256"/>
      <c r="W219" s="317"/>
      <c r="Z219" s="176"/>
      <c r="AA219" s="176"/>
    </row>
    <row r="220" spans="4:27">
      <c r="D220" s="315"/>
      <c r="E220" s="316"/>
      <c r="H220" s="256"/>
      <c r="J220" s="256"/>
      <c r="W220" s="317"/>
      <c r="Z220" s="176"/>
      <c r="AA220" s="176"/>
    </row>
    <row r="221" spans="4:27">
      <c r="D221" s="315"/>
      <c r="E221" s="316"/>
      <c r="H221" s="256"/>
      <c r="J221" s="256"/>
      <c r="W221" s="317"/>
      <c r="Z221" s="176"/>
      <c r="AA221" s="176"/>
    </row>
    <row r="222" spans="4:27">
      <c r="D222" s="315"/>
      <c r="E222" s="316"/>
      <c r="H222" s="256"/>
      <c r="J222" s="256"/>
      <c r="W222" s="317"/>
      <c r="Z222" s="176"/>
      <c r="AA222" s="176"/>
    </row>
    <row r="223" spans="4:27">
      <c r="D223" s="315"/>
      <c r="E223" s="316"/>
      <c r="H223" s="256"/>
      <c r="J223" s="256"/>
      <c r="W223" s="317"/>
      <c r="Z223" s="176"/>
      <c r="AA223" s="176"/>
    </row>
    <row r="224" spans="4:27">
      <c r="D224" s="315"/>
      <c r="E224" s="316"/>
      <c r="H224" s="256"/>
      <c r="J224" s="256"/>
      <c r="W224" s="317"/>
      <c r="Z224" s="176"/>
      <c r="AA224" s="176"/>
    </row>
    <row r="225" spans="4:27">
      <c r="D225" s="315"/>
      <c r="E225" s="316"/>
      <c r="H225" s="256"/>
      <c r="J225" s="256"/>
      <c r="W225" s="317"/>
      <c r="Z225" s="176"/>
      <c r="AA225" s="176"/>
    </row>
    <row r="226" spans="4:27">
      <c r="D226" s="315"/>
      <c r="E226" s="316"/>
      <c r="H226" s="256"/>
      <c r="J226" s="256"/>
      <c r="W226" s="317"/>
      <c r="Z226" s="176"/>
      <c r="AA226" s="176"/>
    </row>
    <row r="227" spans="4:27">
      <c r="D227" s="315"/>
      <c r="E227" s="316"/>
      <c r="H227" s="256"/>
      <c r="J227" s="256"/>
      <c r="W227" s="317"/>
      <c r="Z227" s="176"/>
      <c r="AA227" s="176"/>
    </row>
    <row r="228" spans="4:27">
      <c r="D228" s="315"/>
      <c r="E228" s="316"/>
      <c r="H228" s="256"/>
      <c r="J228" s="256"/>
      <c r="W228" s="317"/>
      <c r="Z228" s="176"/>
      <c r="AA228" s="176"/>
    </row>
    <row r="229" spans="4:27">
      <c r="D229" s="315"/>
      <c r="E229" s="316"/>
      <c r="H229" s="256"/>
      <c r="J229" s="256"/>
      <c r="W229" s="317"/>
      <c r="Z229" s="176"/>
      <c r="AA229" s="176"/>
    </row>
    <row r="230" spans="4:27">
      <c r="D230" s="315"/>
      <c r="E230" s="316"/>
      <c r="H230" s="256"/>
      <c r="J230" s="256"/>
      <c r="W230" s="317"/>
      <c r="Z230" s="176"/>
      <c r="AA230" s="176"/>
    </row>
    <row r="231" spans="4:27">
      <c r="D231" s="315"/>
      <c r="E231" s="316"/>
      <c r="H231" s="256"/>
      <c r="J231" s="256"/>
      <c r="W231" s="317"/>
      <c r="Z231" s="176"/>
      <c r="AA231" s="176"/>
    </row>
    <row r="232" spans="4:27">
      <c r="D232" s="315"/>
      <c r="E232" s="316"/>
      <c r="H232" s="256"/>
      <c r="J232" s="256"/>
      <c r="W232" s="317"/>
      <c r="Z232" s="176"/>
      <c r="AA232" s="176"/>
    </row>
    <row r="233" spans="4:27">
      <c r="D233" s="315"/>
      <c r="E233" s="316"/>
      <c r="H233" s="256"/>
      <c r="J233" s="256"/>
      <c r="W233" s="317"/>
      <c r="Z233" s="176"/>
      <c r="AA233" s="176"/>
    </row>
    <row r="234" spans="4:27">
      <c r="D234" s="315"/>
      <c r="E234" s="316"/>
      <c r="H234" s="256"/>
      <c r="J234" s="256"/>
      <c r="W234" s="317"/>
      <c r="Z234" s="176"/>
      <c r="AA234" s="176"/>
    </row>
    <row r="235" spans="4:27">
      <c r="D235" s="315"/>
      <c r="E235" s="316"/>
      <c r="H235" s="256"/>
      <c r="J235" s="256"/>
      <c r="W235" s="317"/>
      <c r="Z235" s="176"/>
      <c r="AA235" s="176"/>
    </row>
    <row r="236" spans="4:27">
      <c r="D236" s="315"/>
      <c r="E236" s="316"/>
      <c r="H236" s="256"/>
      <c r="J236" s="256"/>
      <c r="W236" s="317"/>
      <c r="Z236" s="176"/>
      <c r="AA236" s="176"/>
    </row>
    <row r="237" spans="4:27">
      <c r="D237" s="315"/>
      <c r="E237" s="316"/>
      <c r="H237" s="256"/>
      <c r="J237" s="256"/>
      <c r="W237" s="317"/>
      <c r="Z237" s="176"/>
      <c r="AA237" s="176"/>
    </row>
    <row r="238" spans="4:27">
      <c r="D238" s="315"/>
      <c r="E238" s="316"/>
      <c r="H238" s="256"/>
      <c r="J238" s="256"/>
      <c r="W238" s="317"/>
      <c r="Z238" s="176"/>
      <c r="AA238" s="176"/>
    </row>
    <row r="239" spans="4:27">
      <c r="D239" s="315"/>
      <c r="E239" s="316"/>
      <c r="H239" s="256"/>
      <c r="J239" s="256"/>
      <c r="W239" s="317"/>
      <c r="Z239" s="176"/>
      <c r="AA239" s="176"/>
    </row>
    <row r="240" spans="4:27">
      <c r="D240" s="315"/>
      <c r="E240" s="316"/>
      <c r="H240" s="256"/>
      <c r="J240" s="256"/>
      <c r="W240" s="317"/>
      <c r="Z240" s="176"/>
      <c r="AA240" s="176"/>
    </row>
    <row r="241" spans="4:27">
      <c r="D241" s="315"/>
      <c r="E241" s="316"/>
      <c r="H241" s="256"/>
      <c r="J241" s="256"/>
      <c r="W241" s="317"/>
      <c r="Z241" s="176"/>
      <c r="AA241" s="176"/>
    </row>
    <row r="242" spans="4:27">
      <c r="D242" s="315"/>
      <c r="E242" s="316"/>
      <c r="H242" s="256"/>
      <c r="J242" s="256"/>
      <c r="W242" s="317"/>
      <c r="Z242" s="176"/>
      <c r="AA242" s="176"/>
    </row>
    <row r="243" spans="4:27">
      <c r="D243" s="315"/>
      <c r="E243" s="316"/>
      <c r="H243" s="256"/>
      <c r="J243" s="256"/>
      <c r="W243" s="317"/>
      <c r="Z243" s="176"/>
      <c r="AA243" s="176"/>
    </row>
    <row r="244" spans="4:27">
      <c r="D244" s="315"/>
      <c r="E244" s="316"/>
      <c r="H244" s="256"/>
      <c r="J244" s="256"/>
      <c r="W244" s="317"/>
      <c r="Z244" s="176"/>
      <c r="AA244" s="176"/>
    </row>
    <row r="245" spans="4:27">
      <c r="D245" s="315"/>
      <c r="E245" s="316"/>
      <c r="H245" s="256"/>
      <c r="J245" s="256"/>
      <c r="W245" s="317"/>
      <c r="Z245" s="176"/>
      <c r="AA245" s="176"/>
    </row>
    <row r="246" spans="4:27">
      <c r="D246" s="315"/>
      <c r="E246" s="316"/>
      <c r="H246" s="256"/>
      <c r="J246" s="256"/>
      <c r="W246" s="317"/>
      <c r="Z246" s="176"/>
      <c r="AA246" s="176"/>
    </row>
    <row r="247" spans="4:27">
      <c r="D247" s="315"/>
      <c r="E247" s="316"/>
      <c r="H247" s="256"/>
      <c r="J247" s="256"/>
      <c r="W247" s="317"/>
      <c r="Z247" s="176"/>
      <c r="AA247" s="176"/>
    </row>
    <row r="248" spans="4:27">
      <c r="D248" s="315"/>
      <c r="E248" s="316"/>
      <c r="H248" s="256"/>
      <c r="J248" s="256"/>
      <c r="W248" s="317"/>
      <c r="Z248" s="176"/>
      <c r="AA248" s="176"/>
    </row>
    <row r="249" spans="4:27">
      <c r="D249" s="315"/>
      <c r="E249" s="316"/>
      <c r="H249" s="256"/>
      <c r="J249" s="256"/>
      <c r="W249" s="317"/>
      <c r="Z249" s="176"/>
      <c r="AA249" s="176"/>
    </row>
    <row r="250" spans="4:27">
      <c r="D250" s="315"/>
      <c r="E250" s="316"/>
      <c r="H250" s="256"/>
      <c r="J250" s="256"/>
      <c r="W250" s="317"/>
      <c r="Z250" s="176"/>
      <c r="AA250" s="176"/>
    </row>
    <row r="251" spans="4:27">
      <c r="D251" s="315"/>
      <c r="E251" s="316"/>
      <c r="H251" s="256"/>
      <c r="J251" s="256"/>
      <c r="W251" s="317"/>
      <c r="Z251" s="176"/>
      <c r="AA251" s="176"/>
    </row>
    <row r="252" spans="4:27">
      <c r="D252" s="315"/>
      <c r="E252" s="316"/>
      <c r="H252" s="256"/>
      <c r="J252" s="256"/>
      <c r="W252" s="317"/>
      <c r="Z252" s="176"/>
      <c r="AA252" s="176"/>
    </row>
    <row r="253" spans="4:27">
      <c r="D253" s="315"/>
      <c r="E253" s="316"/>
      <c r="H253" s="256"/>
      <c r="J253" s="256"/>
      <c r="W253" s="317"/>
      <c r="Z253" s="176"/>
      <c r="AA253" s="176"/>
    </row>
    <row r="254" spans="4:27">
      <c r="D254" s="315"/>
      <c r="E254" s="316"/>
      <c r="H254" s="256"/>
      <c r="J254" s="256"/>
      <c r="W254" s="317"/>
      <c r="Z254" s="176"/>
      <c r="AA254" s="176"/>
    </row>
    <row r="255" spans="4:27">
      <c r="D255" s="315"/>
      <c r="E255" s="316"/>
      <c r="H255" s="256"/>
      <c r="J255" s="256"/>
      <c r="W255" s="317"/>
      <c r="Z255" s="176"/>
      <c r="AA255" s="176"/>
    </row>
    <row r="256" spans="4:27">
      <c r="D256" s="315"/>
      <c r="E256" s="316"/>
      <c r="H256" s="256"/>
      <c r="J256" s="256"/>
      <c r="W256" s="317"/>
      <c r="Z256" s="176"/>
      <c r="AA256" s="176"/>
    </row>
    <row r="257" spans="4:27">
      <c r="D257" s="315"/>
      <c r="E257" s="316"/>
      <c r="H257" s="256"/>
      <c r="J257" s="256"/>
      <c r="W257" s="317"/>
      <c r="Z257" s="176"/>
      <c r="AA257" s="176"/>
    </row>
    <row r="258" spans="4:27">
      <c r="D258" s="315"/>
      <c r="E258" s="316"/>
      <c r="H258" s="256"/>
      <c r="J258" s="256"/>
      <c r="W258" s="317"/>
      <c r="Z258" s="176"/>
      <c r="AA258" s="176"/>
    </row>
    <row r="259" spans="4:27">
      <c r="D259" s="315"/>
      <c r="E259" s="316"/>
      <c r="H259" s="256"/>
      <c r="J259" s="256"/>
      <c r="W259" s="317"/>
      <c r="Z259" s="176"/>
      <c r="AA259" s="176"/>
    </row>
    <row r="260" spans="4:27">
      <c r="D260" s="315"/>
      <c r="E260" s="316"/>
      <c r="H260" s="256"/>
      <c r="J260" s="256"/>
      <c r="W260" s="317"/>
      <c r="Z260" s="176"/>
      <c r="AA260" s="176"/>
    </row>
    <row r="261" spans="4:27">
      <c r="D261" s="315"/>
      <c r="E261" s="316"/>
      <c r="H261" s="256"/>
      <c r="J261" s="256"/>
      <c r="W261" s="317"/>
      <c r="Z261" s="176"/>
      <c r="AA261" s="176"/>
    </row>
    <row r="262" spans="4:27">
      <c r="D262" s="315"/>
      <c r="E262" s="316"/>
      <c r="H262" s="256"/>
      <c r="J262" s="256"/>
      <c r="W262" s="317"/>
      <c r="Z262" s="176"/>
      <c r="AA262" s="176"/>
    </row>
    <row r="263" spans="4:27">
      <c r="D263" s="315"/>
      <c r="E263" s="316"/>
      <c r="H263" s="256"/>
      <c r="J263" s="256"/>
      <c r="W263" s="317"/>
      <c r="Z263" s="176"/>
      <c r="AA263" s="176"/>
    </row>
    <row r="264" spans="4:27">
      <c r="D264" s="315"/>
      <c r="E264" s="316"/>
      <c r="H264" s="256"/>
      <c r="J264" s="256"/>
      <c r="W264" s="317"/>
      <c r="Z264" s="176"/>
      <c r="AA264" s="176"/>
    </row>
    <row r="265" spans="4:27">
      <c r="D265" s="315"/>
      <c r="E265" s="316"/>
      <c r="H265" s="256"/>
      <c r="J265" s="256"/>
      <c r="W265" s="317"/>
      <c r="Z265" s="176"/>
      <c r="AA265" s="176"/>
    </row>
    <row r="266" spans="4:27">
      <c r="D266" s="315"/>
      <c r="E266" s="316"/>
      <c r="H266" s="256"/>
      <c r="J266" s="256"/>
      <c r="W266" s="317"/>
      <c r="Z266" s="176"/>
      <c r="AA266" s="176"/>
    </row>
    <row r="267" spans="4:27">
      <c r="D267" s="315"/>
      <c r="E267" s="316"/>
      <c r="H267" s="256"/>
      <c r="J267" s="256"/>
      <c r="W267" s="317"/>
      <c r="Z267" s="176"/>
      <c r="AA267" s="176"/>
    </row>
    <row r="268" spans="4:27">
      <c r="D268" s="315"/>
      <c r="E268" s="316"/>
      <c r="H268" s="256"/>
      <c r="J268" s="256"/>
      <c r="W268" s="317"/>
      <c r="Z268" s="176"/>
      <c r="AA268" s="176"/>
    </row>
    <row r="269" spans="4:27">
      <c r="D269" s="315"/>
      <c r="E269" s="316"/>
      <c r="H269" s="256"/>
      <c r="J269" s="256"/>
      <c r="W269" s="317"/>
      <c r="Z269" s="176"/>
      <c r="AA269" s="176"/>
    </row>
    <row r="270" spans="4:27">
      <c r="D270" s="315"/>
      <c r="E270" s="316"/>
      <c r="H270" s="256"/>
      <c r="J270" s="256"/>
      <c r="W270" s="317"/>
      <c r="Z270" s="176"/>
      <c r="AA270" s="176"/>
    </row>
    <row r="271" spans="4:27">
      <c r="D271" s="315"/>
      <c r="E271" s="316"/>
      <c r="H271" s="256"/>
      <c r="J271" s="256"/>
      <c r="W271" s="317"/>
      <c r="Z271" s="176"/>
      <c r="AA271" s="176"/>
    </row>
    <row r="272" spans="4:27">
      <c r="D272" s="315"/>
      <c r="E272" s="316"/>
      <c r="H272" s="256"/>
      <c r="J272" s="256"/>
      <c r="W272" s="317"/>
      <c r="Z272" s="176"/>
      <c r="AA272" s="176"/>
    </row>
    <row r="273" spans="4:27">
      <c r="D273" s="315"/>
      <c r="E273" s="316"/>
      <c r="H273" s="256"/>
      <c r="J273" s="256"/>
      <c r="W273" s="317"/>
      <c r="Z273" s="176"/>
      <c r="AA273" s="176"/>
    </row>
    <row r="274" spans="4:27">
      <c r="D274" s="315"/>
      <c r="E274" s="316"/>
      <c r="H274" s="256"/>
      <c r="J274" s="256"/>
      <c r="W274" s="317"/>
      <c r="Z274" s="176"/>
      <c r="AA274" s="176"/>
    </row>
    <row r="275" spans="4:27">
      <c r="D275" s="315"/>
      <c r="E275" s="316"/>
      <c r="H275" s="256"/>
      <c r="J275" s="256"/>
      <c r="W275" s="317"/>
      <c r="Z275" s="176"/>
      <c r="AA275" s="176"/>
    </row>
    <row r="276" spans="4:27">
      <c r="D276" s="315"/>
      <c r="E276" s="316"/>
      <c r="H276" s="256"/>
      <c r="J276" s="256"/>
      <c r="W276" s="317"/>
      <c r="Z276" s="176"/>
      <c r="AA276" s="176"/>
    </row>
    <row r="277" spans="4:27">
      <c r="D277" s="315"/>
      <c r="E277" s="316"/>
      <c r="H277" s="256"/>
      <c r="J277" s="256"/>
      <c r="W277" s="317"/>
      <c r="Z277" s="176"/>
      <c r="AA277" s="176"/>
    </row>
    <row r="278" spans="4:27">
      <c r="D278" s="315"/>
      <c r="E278" s="316"/>
      <c r="H278" s="256"/>
      <c r="J278" s="256"/>
      <c r="W278" s="317"/>
      <c r="Z278" s="176"/>
      <c r="AA278" s="176"/>
    </row>
    <row r="279" spans="4:27">
      <c r="D279" s="315"/>
      <c r="E279" s="316"/>
      <c r="H279" s="256"/>
      <c r="J279" s="256"/>
      <c r="W279" s="317"/>
      <c r="Z279" s="176"/>
      <c r="AA279" s="176"/>
    </row>
    <row r="280" spans="4:27">
      <c r="D280" s="315"/>
      <c r="E280" s="316"/>
      <c r="H280" s="256"/>
      <c r="J280" s="256"/>
      <c r="W280" s="317"/>
      <c r="Z280" s="176"/>
      <c r="AA280" s="176"/>
    </row>
    <row r="281" spans="4:27">
      <c r="D281" s="315"/>
      <c r="E281" s="316"/>
      <c r="H281" s="256"/>
      <c r="J281" s="256"/>
      <c r="W281" s="317"/>
      <c r="Z281" s="176"/>
      <c r="AA281" s="176"/>
    </row>
    <row r="282" spans="4:27">
      <c r="D282" s="315"/>
      <c r="E282" s="316"/>
      <c r="H282" s="256"/>
      <c r="J282" s="256"/>
      <c r="W282" s="317"/>
      <c r="Z282" s="176"/>
      <c r="AA282" s="176"/>
    </row>
    <row r="283" spans="4:27">
      <c r="D283" s="315"/>
      <c r="E283" s="316"/>
      <c r="H283" s="256"/>
      <c r="J283" s="256"/>
      <c r="W283" s="317"/>
      <c r="Z283" s="176"/>
      <c r="AA283" s="176"/>
    </row>
    <row r="284" spans="4:27">
      <c r="D284" s="315"/>
      <c r="E284" s="316"/>
      <c r="H284" s="256"/>
      <c r="J284" s="256"/>
      <c r="W284" s="317"/>
      <c r="Z284" s="176"/>
      <c r="AA284" s="176"/>
    </row>
    <row r="285" spans="4:27">
      <c r="D285" s="315"/>
      <c r="E285" s="316"/>
      <c r="H285" s="256"/>
      <c r="J285" s="256"/>
      <c r="W285" s="317"/>
      <c r="Z285" s="176"/>
      <c r="AA285" s="176"/>
    </row>
    <row r="286" spans="4:27">
      <c r="D286" s="315"/>
      <c r="E286" s="316"/>
      <c r="H286" s="256"/>
      <c r="J286" s="256"/>
      <c r="W286" s="317"/>
      <c r="Z286" s="176"/>
      <c r="AA286" s="176"/>
    </row>
    <row r="287" spans="4:27">
      <c r="D287" s="315"/>
      <c r="E287" s="316"/>
      <c r="H287" s="256"/>
      <c r="J287" s="256"/>
      <c r="W287" s="317"/>
      <c r="Z287" s="176"/>
      <c r="AA287" s="176"/>
    </row>
    <row r="288" spans="4:27">
      <c r="D288" s="315"/>
      <c r="E288" s="316"/>
      <c r="H288" s="256"/>
      <c r="J288" s="256"/>
      <c r="W288" s="317"/>
      <c r="Z288" s="176"/>
      <c r="AA288" s="176"/>
    </row>
    <row r="289" spans="4:27">
      <c r="D289" s="315"/>
      <c r="E289" s="316"/>
      <c r="H289" s="256"/>
      <c r="J289" s="256"/>
      <c r="W289" s="317"/>
      <c r="Z289" s="176"/>
      <c r="AA289" s="176"/>
    </row>
    <row r="290" spans="4:27">
      <c r="D290" s="315"/>
      <c r="E290" s="316"/>
      <c r="H290" s="256"/>
      <c r="J290" s="256"/>
      <c r="W290" s="317"/>
      <c r="Z290" s="176"/>
      <c r="AA290" s="176"/>
    </row>
    <row r="291" spans="4:27">
      <c r="D291" s="315"/>
      <c r="E291" s="316"/>
      <c r="H291" s="256"/>
      <c r="J291" s="256"/>
      <c r="W291" s="317"/>
      <c r="Z291" s="176"/>
      <c r="AA291" s="176"/>
    </row>
    <row r="292" spans="4:27">
      <c r="D292" s="315"/>
      <c r="E292" s="316"/>
      <c r="H292" s="256"/>
      <c r="J292" s="256"/>
      <c r="W292" s="317"/>
      <c r="Z292" s="176"/>
      <c r="AA292" s="176"/>
    </row>
    <row r="293" spans="4:27">
      <c r="D293" s="315"/>
      <c r="E293" s="316"/>
      <c r="H293" s="256"/>
      <c r="J293" s="256"/>
      <c r="W293" s="317"/>
      <c r="Z293" s="176"/>
      <c r="AA293" s="176"/>
    </row>
    <row r="294" spans="4:27">
      <c r="D294" s="315"/>
      <c r="E294" s="316"/>
      <c r="H294" s="256"/>
      <c r="J294" s="256"/>
      <c r="W294" s="317"/>
      <c r="Z294" s="176"/>
      <c r="AA294" s="176"/>
    </row>
    <row r="295" spans="4:27">
      <c r="D295" s="315"/>
      <c r="E295" s="316"/>
      <c r="H295" s="256"/>
      <c r="J295" s="256"/>
      <c r="W295" s="317"/>
      <c r="Z295" s="176"/>
      <c r="AA295" s="176"/>
    </row>
    <row r="296" spans="4:27">
      <c r="D296" s="315"/>
      <c r="E296" s="316"/>
      <c r="H296" s="256"/>
      <c r="J296" s="256"/>
      <c r="W296" s="317"/>
      <c r="Z296" s="176"/>
      <c r="AA296" s="176"/>
    </row>
    <row r="297" spans="4:27">
      <c r="D297" s="315"/>
      <c r="E297" s="316"/>
      <c r="H297" s="256"/>
      <c r="J297" s="256"/>
      <c r="W297" s="317"/>
      <c r="Z297" s="176"/>
      <c r="AA297" s="176"/>
    </row>
    <row r="298" spans="4:27">
      <c r="D298" s="315"/>
      <c r="E298" s="316"/>
      <c r="H298" s="256"/>
      <c r="J298" s="256"/>
      <c r="W298" s="317"/>
      <c r="Z298" s="176"/>
      <c r="AA298" s="176"/>
    </row>
    <row r="299" spans="4:27">
      <c r="D299" s="315"/>
      <c r="E299" s="316"/>
      <c r="H299" s="256"/>
      <c r="J299" s="256"/>
      <c r="W299" s="317"/>
      <c r="Z299" s="176"/>
      <c r="AA299" s="176"/>
    </row>
    <row r="300" spans="4:27">
      <c r="D300" s="315"/>
      <c r="E300" s="316"/>
      <c r="H300" s="256"/>
      <c r="J300" s="256"/>
      <c r="W300" s="317"/>
      <c r="Z300" s="176"/>
      <c r="AA300" s="176"/>
    </row>
    <row r="301" spans="4:27">
      <c r="D301" s="315"/>
      <c r="E301" s="316"/>
      <c r="H301" s="256"/>
      <c r="J301" s="256"/>
      <c r="W301" s="317"/>
      <c r="Z301" s="176"/>
      <c r="AA301" s="176"/>
    </row>
    <row r="302" spans="4:27">
      <c r="D302" s="315"/>
      <c r="E302" s="316"/>
      <c r="H302" s="256"/>
      <c r="J302" s="256"/>
      <c r="W302" s="317"/>
      <c r="Z302" s="176"/>
      <c r="AA302" s="176"/>
    </row>
    <row r="303" spans="4:27">
      <c r="D303" s="315"/>
      <c r="E303" s="316"/>
      <c r="H303" s="256"/>
      <c r="J303" s="256"/>
      <c r="W303" s="317"/>
      <c r="Z303" s="176"/>
      <c r="AA303" s="176"/>
    </row>
    <row r="304" spans="4:27">
      <c r="D304" s="315"/>
      <c r="E304" s="316"/>
      <c r="H304" s="256"/>
      <c r="J304" s="256"/>
      <c r="W304" s="317"/>
      <c r="Z304" s="176"/>
      <c r="AA304" s="176"/>
    </row>
    <row r="305" spans="4:27">
      <c r="D305" s="315"/>
      <c r="E305" s="316"/>
      <c r="H305" s="256"/>
      <c r="J305" s="256"/>
      <c r="W305" s="317"/>
      <c r="Z305" s="176"/>
      <c r="AA305" s="176"/>
    </row>
    <row r="306" spans="4:27">
      <c r="D306" s="315"/>
      <c r="E306" s="316"/>
      <c r="H306" s="256"/>
      <c r="J306" s="256"/>
      <c r="W306" s="317"/>
      <c r="Z306" s="176"/>
      <c r="AA306" s="176"/>
    </row>
    <row r="307" spans="4:27">
      <c r="D307" s="315"/>
      <c r="E307" s="316"/>
      <c r="H307" s="256"/>
      <c r="J307" s="256"/>
      <c r="W307" s="317"/>
      <c r="Z307" s="176"/>
      <c r="AA307" s="176"/>
    </row>
    <row r="308" spans="4:27">
      <c r="D308" s="315"/>
      <c r="E308" s="316"/>
      <c r="H308" s="256"/>
      <c r="J308" s="256"/>
      <c r="W308" s="317"/>
      <c r="Z308" s="176"/>
      <c r="AA308" s="176"/>
    </row>
    <row r="309" spans="4:27">
      <c r="D309" s="315"/>
      <c r="E309" s="316"/>
      <c r="H309" s="256"/>
      <c r="J309" s="256"/>
      <c r="W309" s="317"/>
      <c r="Z309" s="176"/>
      <c r="AA309" s="176"/>
    </row>
    <row r="310" spans="4:27">
      <c r="D310" s="315"/>
      <c r="E310" s="316"/>
      <c r="H310" s="256"/>
      <c r="J310" s="256"/>
      <c r="W310" s="317"/>
      <c r="Z310" s="176"/>
      <c r="AA310" s="176"/>
    </row>
    <row r="311" spans="4:27">
      <c r="D311" s="315"/>
      <c r="E311" s="316"/>
      <c r="H311" s="256"/>
      <c r="J311" s="256"/>
      <c r="W311" s="317"/>
      <c r="Z311" s="176"/>
      <c r="AA311" s="176"/>
    </row>
    <row r="312" spans="4:27">
      <c r="D312" s="315"/>
      <c r="E312" s="316"/>
      <c r="H312" s="256"/>
      <c r="J312" s="256"/>
      <c r="W312" s="317"/>
      <c r="Z312" s="176"/>
      <c r="AA312" s="176"/>
    </row>
    <row r="313" spans="4:27">
      <c r="D313" s="315"/>
      <c r="E313" s="316"/>
      <c r="H313" s="256"/>
      <c r="J313" s="256"/>
      <c r="W313" s="317"/>
      <c r="Z313" s="176"/>
      <c r="AA313" s="176"/>
    </row>
    <row r="314" spans="4:27">
      <c r="D314" s="315"/>
      <c r="E314" s="316"/>
      <c r="H314" s="256"/>
      <c r="J314" s="256"/>
      <c r="W314" s="317"/>
      <c r="Z314" s="176"/>
      <c r="AA314" s="176"/>
    </row>
    <row r="315" spans="4:27">
      <c r="D315" s="315"/>
      <c r="E315" s="316"/>
      <c r="H315" s="256"/>
      <c r="J315" s="256"/>
      <c r="W315" s="317"/>
      <c r="Z315" s="176"/>
      <c r="AA315" s="176"/>
    </row>
    <row r="316" spans="4:27">
      <c r="D316" s="315"/>
      <c r="E316" s="316"/>
      <c r="H316" s="256"/>
      <c r="J316" s="256"/>
      <c r="W316" s="317"/>
      <c r="Z316" s="176"/>
      <c r="AA316" s="176"/>
    </row>
    <row r="317" spans="4:27">
      <c r="D317" s="315"/>
      <c r="E317" s="316"/>
      <c r="H317" s="256"/>
      <c r="J317" s="256"/>
      <c r="W317" s="317"/>
      <c r="Z317" s="176"/>
      <c r="AA317" s="176"/>
    </row>
    <row r="318" spans="4:27">
      <c r="D318" s="315"/>
      <c r="E318" s="316"/>
      <c r="H318" s="256"/>
      <c r="J318" s="256"/>
      <c r="W318" s="317"/>
      <c r="Z318" s="176"/>
      <c r="AA318" s="176"/>
    </row>
    <row r="319" spans="4:27">
      <c r="D319" s="315"/>
      <c r="E319" s="316"/>
      <c r="H319" s="256"/>
      <c r="J319" s="256"/>
      <c r="W319" s="317"/>
      <c r="Z319" s="176"/>
      <c r="AA319" s="176"/>
    </row>
    <row r="320" spans="4:27">
      <c r="D320" s="315"/>
      <c r="E320" s="316"/>
      <c r="H320" s="256"/>
      <c r="J320" s="256"/>
      <c r="W320" s="317"/>
      <c r="Z320" s="176"/>
      <c r="AA320" s="176"/>
    </row>
    <row r="321" spans="4:27">
      <c r="D321" s="315"/>
      <c r="E321" s="316"/>
      <c r="H321" s="256"/>
      <c r="J321" s="256"/>
      <c r="W321" s="317"/>
      <c r="Z321" s="176"/>
      <c r="AA321" s="176"/>
    </row>
    <row r="322" spans="4:27">
      <c r="D322" s="315"/>
      <c r="E322" s="316"/>
      <c r="H322" s="256"/>
      <c r="J322" s="256"/>
      <c r="W322" s="317"/>
      <c r="Z322" s="176"/>
      <c r="AA322" s="176"/>
    </row>
    <row r="323" spans="4:27">
      <c r="D323" s="315"/>
      <c r="E323" s="316"/>
      <c r="H323" s="256"/>
      <c r="J323" s="256"/>
      <c r="W323" s="317"/>
      <c r="Z323" s="176"/>
      <c r="AA323" s="176"/>
    </row>
    <row r="324" spans="4:27">
      <c r="D324" s="315"/>
      <c r="E324" s="316"/>
      <c r="H324" s="256"/>
      <c r="J324" s="256"/>
      <c r="W324" s="317"/>
      <c r="Z324" s="176"/>
      <c r="AA324" s="176"/>
    </row>
    <row r="325" spans="4:27">
      <c r="D325" s="315"/>
      <c r="E325" s="316"/>
      <c r="H325" s="256"/>
      <c r="J325" s="256"/>
      <c r="W325" s="317"/>
      <c r="Z325" s="176"/>
      <c r="AA325" s="176"/>
    </row>
    <row r="326" spans="4:27">
      <c r="D326" s="315"/>
      <c r="E326" s="316"/>
      <c r="H326" s="256"/>
      <c r="J326" s="256"/>
      <c r="W326" s="317"/>
      <c r="Z326" s="176"/>
      <c r="AA326" s="176"/>
    </row>
    <row r="327" spans="4:27">
      <c r="D327" s="315"/>
      <c r="E327" s="316"/>
      <c r="H327" s="256"/>
      <c r="J327" s="256"/>
      <c r="W327" s="317"/>
      <c r="Z327" s="176"/>
      <c r="AA327" s="176"/>
    </row>
    <row r="328" spans="4:27">
      <c r="D328" s="315"/>
      <c r="E328" s="316"/>
      <c r="H328" s="256"/>
      <c r="J328" s="256"/>
      <c r="W328" s="317"/>
      <c r="Z328" s="176"/>
      <c r="AA328" s="176"/>
    </row>
    <row r="329" spans="4:27">
      <c r="D329" s="315"/>
      <c r="E329" s="316"/>
      <c r="H329" s="256"/>
      <c r="J329" s="256"/>
      <c r="W329" s="317"/>
      <c r="Z329" s="176"/>
      <c r="AA329" s="176"/>
    </row>
    <row r="330" spans="4:27">
      <c r="D330" s="315"/>
      <c r="E330" s="316"/>
      <c r="H330" s="256"/>
      <c r="J330" s="256"/>
      <c r="W330" s="317"/>
      <c r="Z330" s="176"/>
      <c r="AA330" s="176"/>
    </row>
    <row r="331" spans="4:27">
      <c r="D331" s="315"/>
      <c r="E331" s="316"/>
      <c r="H331" s="256"/>
      <c r="J331" s="256"/>
      <c r="W331" s="317"/>
      <c r="Z331" s="176"/>
      <c r="AA331" s="176"/>
    </row>
    <row r="332" spans="4:27">
      <c r="D332" s="315"/>
      <c r="E332" s="316"/>
      <c r="H332" s="256"/>
      <c r="J332" s="256"/>
      <c r="W332" s="317"/>
      <c r="Z332" s="176"/>
      <c r="AA332" s="176"/>
    </row>
    <row r="333" spans="4:27">
      <c r="D333" s="315"/>
      <c r="E333" s="316"/>
      <c r="H333" s="256"/>
      <c r="J333" s="256"/>
      <c r="W333" s="317"/>
      <c r="Z333" s="176"/>
      <c r="AA333" s="176"/>
    </row>
    <row r="334" spans="4:27">
      <c r="D334" s="315"/>
      <c r="E334" s="316"/>
      <c r="H334" s="256"/>
      <c r="J334" s="256"/>
      <c r="W334" s="317"/>
      <c r="Z334" s="176"/>
      <c r="AA334" s="176"/>
    </row>
    <row r="335" spans="4:27">
      <c r="D335" s="315"/>
      <c r="E335" s="316"/>
      <c r="H335" s="256"/>
      <c r="J335" s="256"/>
      <c r="W335" s="317"/>
      <c r="Z335" s="176"/>
      <c r="AA335" s="176"/>
    </row>
    <row r="336" spans="4:27">
      <c r="D336" s="315"/>
      <c r="E336" s="316"/>
      <c r="H336" s="256"/>
      <c r="J336" s="256"/>
      <c r="W336" s="317"/>
      <c r="Z336" s="176"/>
      <c r="AA336" s="176"/>
    </row>
    <row r="337" spans="4:27">
      <c r="D337" s="315"/>
      <c r="E337" s="316"/>
      <c r="H337" s="256"/>
      <c r="J337" s="256"/>
      <c r="W337" s="317"/>
      <c r="Z337" s="176"/>
      <c r="AA337" s="176"/>
    </row>
    <row r="338" spans="4:27">
      <c r="D338" s="315"/>
      <c r="E338" s="316"/>
      <c r="H338" s="256"/>
      <c r="J338" s="256"/>
      <c r="W338" s="317"/>
      <c r="Z338" s="176"/>
      <c r="AA338" s="176"/>
    </row>
    <row r="339" spans="4:27">
      <c r="D339" s="315"/>
      <c r="E339" s="316"/>
      <c r="H339" s="256"/>
      <c r="J339" s="256"/>
      <c r="W339" s="317"/>
      <c r="Z339" s="176"/>
      <c r="AA339" s="176"/>
    </row>
    <row r="340" spans="4:27">
      <c r="D340" s="315"/>
      <c r="E340" s="316"/>
      <c r="H340" s="256"/>
      <c r="J340" s="256"/>
      <c r="W340" s="317"/>
      <c r="Z340" s="176"/>
      <c r="AA340" s="176"/>
    </row>
    <row r="341" spans="4:27">
      <c r="D341" s="315"/>
      <c r="E341" s="316"/>
      <c r="H341" s="256"/>
      <c r="J341" s="256"/>
      <c r="W341" s="317"/>
      <c r="Z341" s="176"/>
      <c r="AA341" s="176"/>
    </row>
    <row r="342" spans="4:27">
      <c r="D342" s="315"/>
      <c r="E342" s="316"/>
      <c r="H342" s="256"/>
      <c r="J342" s="256"/>
      <c r="W342" s="317"/>
      <c r="Z342" s="176"/>
      <c r="AA342" s="176"/>
    </row>
    <row r="343" spans="4:27">
      <c r="D343" s="315"/>
      <c r="E343" s="316"/>
      <c r="H343" s="256"/>
      <c r="J343" s="256"/>
      <c r="W343" s="317"/>
      <c r="Z343" s="176"/>
      <c r="AA343" s="176"/>
    </row>
    <row r="344" spans="4:27">
      <c r="D344" s="315"/>
      <c r="E344" s="316"/>
      <c r="H344" s="256"/>
      <c r="J344" s="256"/>
      <c r="W344" s="317"/>
      <c r="Z344" s="176"/>
      <c r="AA344" s="176"/>
    </row>
    <row r="345" spans="4:27">
      <c r="D345" s="315"/>
      <c r="E345" s="316"/>
      <c r="H345" s="256"/>
      <c r="J345" s="256"/>
      <c r="W345" s="317"/>
      <c r="Z345" s="176"/>
      <c r="AA345" s="176"/>
    </row>
    <row r="346" spans="4:27">
      <c r="D346" s="315"/>
      <c r="E346" s="316"/>
      <c r="H346" s="256"/>
      <c r="J346" s="256"/>
      <c r="W346" s="317"/>
      <c r="Z346" s="176"/>
      <c r="AA346" s="176"/>
    </row>
    <row r="347" spans="4:27">
      <c r="D347" s="315"/>
      <c r="E347" s="316"/>
      <c r="H347" s="256"/>
      <c r="J347" s="256"/>
      <c r="W347" s="317"/>
      <c r="Z347" s="176"/>
      <c r="AA347" s="176"/>
    </row>
    <row r="348" spans="4:27">
      <c r="D348" s="315"/>
      <c r="E348" s="316"/>
      <c r="H348" s="256"/>
      <c r="J348" s="256"/>
      <c r="W348" s="317"/>
      <c r="Z348" s="176"/>
      <c r="AA348" s="176"/>
    </row>
    <row r="349" spans="4:27">
      <c r="D349" s="315"/>
      <c r="E349" s="316"/>
      <c r="H349" s="256"/>
      <c r="J349" s="256"/>
      <c r="W349" s="317"/>
      <c r="Z349" s="176"/>
      <c r="AA349" s="176"/>
    </row>
    <row r="350" spans="4:27">
      <c r="D350" s="315"/>
      <c r="E350" s="316"/>
      <c r="H350" s="256"/>
      <c r="J350" s="256"/>
      <c r="W350" s="317"/>
      <c r="Z350" s="176"/>
      <c r="AA350" s="176"/>
    </row>
    <row r="351" spans="4:27">
      <c r="D351" s="315"/>
      <c r="E351" s="316"/>
      <c r="H351" s="256"/>
      <c r="J351" s="256"/>
      <c r="W351" s="317"/>
      <c r="Z351" s="176"/>
      <c r="AA351" s="176"/>
    </row>
    <row r="352" spans="4:27">
      <c r="D352" s="315"/>
      <c r="E352" s="316"/>
      <c r="H352" s="256"/>
      <c r="J352" s="256"/>
      <c r="W352" s="317"/>
      <c r="Z352" s="176"/>
      <c r="AA352" s="176"/>
    </row>
    <row r="353" spans="4:27">
      <c r="D353" s="315"/>
      <c r="E353" s="316"/>
      <c r="H353" s="256"/>
      <c r="J353" s="256"/>
      <c r="W353" s="317"/>
      <c r="Z353" s="176"/>
      <c r="AA353" s="176"/>
    </row>
    <row r="354" spans="4:27">
      <c r="D354" s="315"/>
      <c r="E354" s="316"/>
      <c r="H354" s="256"/>
      <c r="J354" s="256"/>
      <c r="W354" s="317"/>
      <c r="Z354" s="176"/>
      <c r="AA354" s="176"/>
    </row>
    <row r="355" spans="4:27">
      <c r="D355" s="315"/>
      <c r="E355" s="316"/>
      <c r="H355" s="256"/>
      <c r="J355" s="256"/>
      <c r="W355" s="317"/>
      <c r="Z355" s="176"/>
      <c r="AA355" s="176"/>
    </row>
    <row r="356" spans="4:27">
      <c r="D356" s="315"/>
      <c r="E356" s="316"/>
      <c r="H356" s="256"/>
      <c r="J356" s="256"/>
      <c r="W356" s="317"/>
      <c r="Z356" s="176"/>
      <c r="AA356" s="176"/>
    </row>
    <row r="357" spans="4:27">
      <c r="D357" s="315"/>
      <c r="E357" s="316"/>
      <c r="H357" s="256"/>
      <c r="J357" s="256"/>
      <c r="W357" s="317"/>
      <c r="Z357" s="176"/>
      <c r="AA357" s="176"/>
    </row>
    <row r="358" spans="4:27">
      <c r="D358" s="315"/>
      <c r="E358" s="316"/>
      <c r="H358" s="256"/>
      <c r="J358" s="256"/>
      <c r="W358" s="317"/>
      <c r="Z358" s="176"/>
      <c r="AA358" s="176"/>
    </row>
    <row r="359" spans="4:27">
      <c r="D359" s="315"/>
      <c r="E359" s="316"/>
      <c r="H359" s="256"/>
      <c r="J359" s="256"/>
      <c r="W359" s="317"/>
      <c r="Z359" s="176"/>
      <c r="AA359" s="176"/>
    </row>
    <row r="360" spans="4:27">
      <c r="D360" s="315"/>
      <c r="E360" s="316"/>
      <c r="H360" s="256"/>
      <c r="J360" s="256"/>
      <c r="W360" s="317"/>
      <c r="Z360" s="176"/>
      <c r="AA360" s="176"/>
    </row>
    <row r="361" spans="4:27">
      <c r="D361" s="315"/>
      <c r="E361" s="316"/>
      <c r="H361" s="256"/>
      <c r="J361" s="256"/>
      <c r="W361" s="317"/>
      <c r="Z361" s="176"/>
      <c r="AA361" s="176"/>
    </row>
    <row r="362" spans="4:27">
      <c r="D362" s="315"/>
      <c r="E362" s="316"/>
      <c r="H362" s="256"/>
      <c r="J362" s="256"/>
      <c r="W362" s="317"/>
      <c r="Z362" s="176"/>
      <c r="AA362" s="176"/>
    </row>
    <row r="363" spans="4:27">
      <c r="D363" s="315"/>
      <c r="E363" s="316"/>
      <c r="H363" s="256"/>
      <c r="J363" s="256"/>
      <c r="W363" s="317"/>
      <c r="Z363" s="176"/>
      <c r="AA363" s="176"/>
    </row>
    <row r="364" spans="4:27">
      <c r="D364" s="315"/>
      <c r="E364" s="316"/>
      <c r="H364" s="256"/>
      <c r="J364" s="256"/>
      <c r="W364" s="317"/>
      <c r="Z364" s="176"/>
      <c r="AA364" s="176"/>
    </row>
    <row r="365" spans="4:27">
      <c r="D365" s="315"/>
      <c r="E365" s="316"/>
      <c r="H365" s="256"/>
      <c r="J365" s="256"/>
      <c r="W365" s="317"/>
      <c r="Z365" s="176"/>
      <c r="AA365" s="176"/>
    </row>
    <row r="366" spans="4:27">
      <c r="D366" s="315"/>
      <c r="E366" s="316"/>
      <c r="H366" s="256"/>
      <c r="J366" s="256"/>
      <c r="W366" s="317"/>
      <c r="Z366" s="176"/>
      <c r="AA366" s="176"/>
    </row>
    <row r="367" spans="4:27">
      <c r="D367" s="315"/>
      <c r="E367" s="316"/>
      <c r="H367" s="256"/>
      <c r="J367" s="256"/>
      <c r="W367" s="317"/>
      <c r="Z367" s="176"/>
      <c r="AA367" s="176"/>
    </row>
    <row r="368" spans="4:27">
      <c r="D368" s="315"/>
      <c r="E368" s="316"/>
      <c r="H368" s="256"/>
      <c r="J368" s="256"/>
      <c r="W368" s="317"/>
      <c r="Z368" s="176"/>
      <c r="AA368" s="176"/>
    </row>
    <row r="369" spans="4:27">
      <c r="D369" s="315"/>
      <c r="E369" s="316"/>
      <c r="H369" s="256"/>
      <c r="J369" s="256"/>
      <c r="W369" s="317"/>
      <c r="Z369" s="176"/>
      <c r="AA369" s="176"/>
    </row>
    <row r="370" spans="4:27">
      <c r="D370" s="315"/>
      <c r="E370" s="316"/>
      <c r="H370" s="256"/>
      <c r="J370" s="256"/>
      <c r="W370" s="317"/>
      <c r="Z370" s="176"/>
      <c r="AA370" s="176"/>
    </row>
    <row r="371" spans="4:27">
      <c r="D371" s="315"/>
      <c r="E371" s="316"/>
      <c r="H371" s="256"/>
      <c r="J371" s="256"/>
      <c r="W371" s="317"/>
      <c r="Z371" s="176"/>
      <c r="AA371" s="176"/>
    </row>
    <row r="372" spans="4:27">
      <c r="D372" s="315"/>
      <c r="E372" s="316"/>
      <c r="H372" s="256"/>
      <c r="J372" s="256"/>
      <c r="W372" s="317"/>
      <c r="Z372" s="176"/>
      <c r="AA372" s="176"/>
    </row>
    <row r="373" spans="4:27">
      <c r="D373" s="315"/>
      <c r="E373" s="316"/>
      <c r="H373" s="256"/>
      <c r="J373" s="256"/>
      <c r="W373" s="317"/>
      <c r="Z373" s="176"/>
      <c r="AA373" s="176"/>
    </row>
    <row r="374" spans="4:27">
      <c r="D374" s="315"/>
      <c r="E374" s="316"/>
      <c r="H374" s="256"/>
      <c r="J374" s="256"/>
      <c r="W374" s="317"/>
      <c r="Z374" s="176"/>
      <c r="AA374" s="176"/>
    </row>
    <row r="375" spans="4:27">
      <c r="D375" s="315"/>
      <c r="E375" s="316"/>
      <c r="H375" s="256"/>
      <c r="J375" s="256"/>
      <c r="W375" s="317"/>
      <c r="Z375" s="176"/>
      <c r="AA375" s="176"/>
    </row>
    <row r="376" spans="4:27">
      <c r="D376" s="315"/>
      <c r="E376" s="316"/>
      <c r="H376" s="256"/>
      <c r="J376" s="256"/>
      <c r="W376" s="317"/>
      <c r="Z376" s="176"/>
      <c r="AA376" s="176"/>
    </row>
    <row r="377" spans="4:27">
      <c r="D377" s="315"/>
      <c r="E377" s="316"/>
      <c r="H377" s="256"/>
      <c r="J377" s="256"/>
      <c r="W377" s="317"/>
      <c r="Z377" s="176"/>
      <c r="AA377" s="176"/>
    </row>
    <row r="378" spans="4:27">
      <c r="D378" s="315"/>
      <c r="E378" s="316"/>
      <c r="H378" s="256"/>
      <c r="J378" s="256"/>
      <c r="W378" s="317"/>
      <c r="Z378" s="176"/>
      <c r="AA378" s="176"/>
    </row>
    <row r="379" spans="4:27">
      <c r="D379" s="315"/>
      <c r="E379" s="316"/>
      <c r="H379" s="256"/>
      <c r="J379" s="256"/>
      <c r="W379" s="317"/>
      <c r="Z379" s="176"/>
      <c r="AA379" s="176"/>
    </row>
    <row r="380" spans="4:27">
      <c r="D380" s="315"/>
      <c r="E380" s="316"/>
      <c r="H380" s="256"/>
      <c r="J380" s="256"/>
      <c r="W380" s="317"/>
      <c r="Z380" s="176"/>
      <c r="AA380" s="176"/>
    </row>
    <row r="381" spans="4:27">
      <c r="D381" s="315"/>
      <c r="E381" s="316"/>
      <c r="H381" s="256"/>
      <c r="J381" s="256"/>
      <c r="W381" s="317"/>
      <c r="Z381" s="176"/>
      <c r="AA381" s="176"/>
    </row>
    <row r="382" spans="4:27">
      <c r="D382" s="315"/>
      <c r="E382" s="316"/>
      <c r="H382" s="256"/>
      <c r="J382" s="256"/>
      <c r="W382" s="317"/>
      <c r="Z382" s="176"/>
      <c r="AA382" s="176"/>
    </row>
    <row r="383" spans="4:27">
      <c r="D383" s="315"/>
      <c r="E383" s="316"/>
      <c r="H383" s="256"/>
      <c r="J383" s="256"/>
      <c r="W383" s="317"/>
      <c r="Z383" s="176"/>
      <c r="AA383" s="176"/>
    </row>
    <row r="384" spans="4:27">
      <c r="D384" s="315"/>
      <c r="E384" s="316"/>
      <c r="H384" s="256"/>
      <c r="J384" s="256"/>
      <c r="W384" s="317"/>
      <c r="Z384" s="176"/>
      <c r="AA384" s="176"/>
    </row>
    <row r="385" spans="4:27">
      <c r="D385" s="315"/>
      <c r="E385" s="316"/>
      <c r="H385" s="256"/>
      <c r="J385" s="256"/>
      <c r="W385" s="317"/>
      <c r="Z385" s="176"/>
      <c r="AA385" s="176"/>
    </row>
    <row r="386" spans="4:27">
      <c r="D386" s="315"/>
      <c r="E386" s="316"/>
      <c r="H386" s="256"/>
      <c r="J386" s="256"/>
      <c r="W386" s="317"/>
      <c r="Z386" s="176"/>
      <c r="AA386" s="176"/>
    </row>
    <row r="387" spans="4:27">
      <c r="D387" s="315"/>
      <c r="E387" s="316"/>
      <c r="H387" s="256"/>
      <c r="J387" s="256"/>
      <c r="W387" s="317"/>
      <c r="Z387" s="176"/>
      <c r="AA387" s="176"/>
    </row>
    <row r="388" spans="4:27">
      <c r="D388" s="315"/>
      <c r="E388" s="316"/>
      <c r="H388" s="256"/>
      <c r="J388" s="256"/>
      <c r="W388" s="317"/>
      <c r="Z388" s="176"/>
      <c r="AA388" s="176"/>
    </row>
    <row r="389" spans="4:27">
      <c r="D389" s="315"/>
      <c r="E389" s="316"/>
      <c r="H389" s="256"/>
      <c r="J389" s="256"/>
      <c r="W389" s="317"/>
      <c r="Z389" s="176"/>
      <c r="AA389" s="176"/>
    </row>
    <row r="390" spans="4:27">
      <c r="D390" s="315"/>
      <c r="E390" s="316"/>
      <c r="H390" s="256"/>
      <c r="J390" s="256"/>
      <c r="W390" s="317"/>
      <c r="Z390" s="176"/>
      <c r="AA390" s="176"/>
    </row>
    <row r="391" spans="4:27">
      <c r="D391" s="315"/>
      <c r="E391" s="316"/>
      <c r="H391" s="256"/>
      <c r="J391" s="256"/>
      <c r="W391" s="317"/>
      <c r="Z391" s="176"/>
      <c r="AA391" s="176"/>
    </row>
    <row r="392" spans="4:27">
      <c r="D392" s="315"/>
      <c r="E392" s="316"/>
      <c r="H392" s="256"/>
      <c r="J392" s="256"/>
      <c r="W392" s="317"/>
      <c r="Z392" s="176"/>
      <c r="AA392" s="176"/>
    </row>
    <row r="393" spans="4:27">
      <c r="D393" s="315"/>
      <c r="E393" s="316"/>
      <c r="H393" s="256"/>
      <c r="J393" s="256"/>
      <c r="W393" s="317"/>
      <c r="Z393" s="176"/>
      <c r="AA393" s="176"/>
    </row>
    <row r="394" spans="4:27">
      <c r="D394" s="315"/>
      <c r="E394" s="316"/>
      <c r="H394" s="256"/>
      <c r="J394" s="256"/>
      <c r="W394" s="317"/>
      <c r="Z394" s="176"/>
      <c r="AA394" s="176"/>
    </row>
    <row r="395" spans="4:27">
      <c r="D395" s="315"/>
      <c r="E395" s="316"/>
      <c r="H395" s="256"/>
      <c r="J395" s="256"/>
      <c r="W395" s="317"/>
      <c r="Z395" s="176"/>
      <c r="AA395" s="176"/>
    </row>
    <row r="396" spans="4:27">
      <c r="D396" s="315"/>
      <c r="E396" s="316"/>
      <c r="H396" s="256"/>
      <c r="J396" s="256"/>
      <c r="W396" s="317"/>
      <c r="Z396" s="176"/>
      <c r="AA396" s="176"/>
    </row>
    <row r="397" spans="4:27">
      <c r="D397" s="315"/>
      <c r="E397" s="316"/>
      <c r="H397" s="256"/>
      <c r="J397" s="256"/>
      <c r="W397" s="317"/>
      <c r="Z397" s="176"/>
      <c r="AA397" s="176"/>
    </row>
    <row r="398" spans="4:27">
      <c r="D398" s="315"/>
      <c r="E398" s="316"/>
      <c r="H398" s="256"/>
      <c r="J398" s="256"/>
      <c r="W398" s="317"/>
      <c r="Z398" s="176"/>
      <c r="AA398" s="176"/>
    </row>
    <row r="399" spans="4:27">
      <c r="D399" s="315"/>
      <c r="E399" s="316"/>
      <c r="H399" s="256"/>
      <c r="J399" s="256"/>
      <c r="W399" s="317"/>
      <c r="Z399" s="176"/>
      <c r="AA399" s="176"/>
    </row>
    <row r="400" spans="4:27">
      <c r="D400" s="315"/>
      <c r="E400" s="316"/>
      <c r="H400" s="256"/>
      <c r="J400" s="256"/>
      <c r="W400" s="317"/>
      <c r="Z400" s="176"/>
      <c r="AA400" s="176"/>
    </row>
    <row r="401" spans="4:27">
      <c r="D401" s="315"/>
      <c r="E401" s="316"/>
      <c r="H401" s="256"/>
      <c r="J401" s="256"/>
      <c r="W401" s="317"/>
      <c r="Z401" s="176"/>
      <c r="AA401" s="176"/>
    </row>
    <row r="402" spans="4:27">
      <c r="D402" s="315"/>
      <c r="E402" s="316"/>
      <c r="H402" s="256"/>
      <c r="J402" s="256"/>
      <c r="W402" s="317"/>
      <c r="Z402" s="176"/>
      <c r="AA402" s="176"/>
    </row>
    <row r="403" spans="4:27">
      <c r="D403" s="315"/>
      <c r="E403" s="316"/>
      <c r="H403" s="256"/>
      <c r="J403" s="256"/>
      <c r="W403" s="317"/>
      <c r="Z403" s="176"/>
      <c r="AA403" s="176"/>
    </row>
    <row r="404" spans="4:27">
      <c r="D404" s="315"/>
      <c r="E404" s="316"/>
      <c r="H404" s="256"/>
      <c r="J404" s="256"/>
      <c r="W404" s="317"/>
      <c r="Z404" s="176"/>
      <c r="AA404" s="176"/>
    </row>
    <row r="405" spans="4:27">
      <c r="D405" s="315"/>
      <c r="E405" s="316"/>
      <c r="H405" s="256"/>
      <c r="J405" s="256"/>
      <c r="W405" s="317"/>
      <c r="Z405" s="176"/>
      <c r="AA405" s="176"/>
    </row>
    <row r="406" spans="4:27">
      <c r="D406" s="315"/>
      <c r="E406" s="316"/>
      <c r="H406" s="256"/>
      <c r="J406" s="256"/>
      <c r="W406" s="317"/>
      <c r="Z406" s="176"/>
      <c r="AA406" s="176"/>
    </row>
    <row r="407" spans="4:27">
      <c r="D407" s="315"/>
      <c r="E407" s="316"/>
      <c r="H407" s="256"/>
      <c r="J407" s="256"/>
      <c r="W407" s="317"/>
      <c r="Z407" s="176"/>
      <c r="AA407" s="176"/>
    </row>
    <row r="408" spans="4:27">
      <c r="D408" s="315"/>
      <c r="E408" s="316"/>
      <c r="H408" s="256"/>
      <c r="J408" s="256"/>
      <c r="W408" s="317"/>
      <c r="Z408" s="176"/>
      <c r="AA408" s="176"/>
    </row>
    <row r="409" spans="4:27">
      <c r="D409" s="315"/>
      <c r="E409" s="316"/>
      <c r="H409" s="256"/>
      <c r="J409" s="256"/>
      <c r="W409" s="317"/>
      <c r="Z409" s="176"/>
      <c r="AA409" s="176"/>
    </row>
    <row r="410" spans="4:27">
      <c r="D410" s="315"/>
      <c r="E410" s="316"/>
      <c r="H410" s="256"/>
      <c r="J410" s="256"/>
      <c r="W410" s="317"/>
      <c r="Z410" s="176"/>
      <c r="AA410" s="176"/>
    </row>
    <row r="411" spans="4:27">
      <c r="D411" s="315"/>
      <c r="E411" s="316"/>
      <c r="H411" s="256"/>
      <c r="J411" s="256"/>
      <c r="W411" s="317"/>
      <c r="Z411" s="176"/>
      <c r="AA411" s="176"/>
    </row>
    <row r="412" spans="4:27">
      <c r="D412" s="315"/>
      <c r="E412" s="316"/>
      <c r="H412" s="256"/>
      <c r="J412" s="256"/>
      <c r="W412" s="317"/>
      <c r="Z412" s="176"/>
      <c r="AA412" s="176"/>
    </row>
    <row r="413" spans="4:27">
      <c r="D413" s="315"/>
      <c r="E413" s="316"/>
      <c r="H413" s="256"/>
      <c r="J413" s="256"/>
      <c r="W413" s="317"/>
      <c r="Z413" s="176"/>
      <c r="AA413" s="176"/>
    </row>
    <row r="414" spans="4:27">
      <c r="D414" s="315"/>
      <c r="E414" s="316"/>
      <c r="H414" s="256"/>
      <c r="J414" s="256"/>
      <c r="W414" s="317"/>
      <c r="Z414" s="176"/>
      <c r="AA414" s="176"/>
    </row>
    <row r="415" spans="4:27">
      <c r="D415" s="315"/>
      <c r="E415" s="316"/>
      <c r="H415" s="256"/>
      <c r="J415" s="256"/>
      <c r="W415" s="317"/>
      <c r="Z415" s="176"/>
      <c r="AA415" s="176"/>
    </row>
    <row r="416" spans="4:27">
      <c r="D416" s="315"/>
      <c r="E416" s="316"/>
      <c r="H416" s="256"/>
      <c r="J416" s="256"/>
      <c r="W416" s="317"/>
      <c r="Z416" s="176"/>
      <c r="AA416" s="176"/>
    </row>
    <row r="417" spans="4:27">
      <c r="D417" s="315"/>
      <c r="E417" s="316"/>
      <c r="H417" s="256"/>
      <c r="J417" s="256"/>
      <c r="W417" s="317"/>
      <c r="Z417" s="176"/>
      <c r="AA417" s="176"/>
    </row>
    <row r="418" spans="4:27">
      <c r="D418" s="315"/>
      <c r="E418" s="316"/>
      <c r="H418" s="256"/>
      <c r="J418" s="256"/>
      <c r="W418" s="317"/>
      <c r="Z418" s="176"/>
      <c r="AA418" s="176"/>
    </row>
    <row r="419" spans="4:27">
      <c r="D419" s="315"/>
      <c r="E419" s="316"/>
      <c r="H419" s="256"/>
      <c r="J419" s="256"/>
      <c r="W419" s="317"/>
      <c r="Z419" s="176"/>
      <c r="AA419" s="176"/>
    </row>
    <row r="420" spans="4:27">
      <c r="D420" s="315"/>
      <c r="E420" s="316"/>
      <c r="H420" s="256"/>
      <c r="J420" s="256"/>
      <c r="W420" s="317"/>
      <c r="Z420" s="176"/>
      <c r="AA420" s="176"/>
    </row>
    <row r="421" spans="4:27">
      <c r="D421" s="315"/>
      <c r="E421" s="316"/>
      <c r="H421" s="256"/>
      <c r="J421" s="256"/>
      <c r="W421" s="317"/>
      <c r="Z421" s="176"/>
      <c r="AA421" s="176"/>
    </row>
    <row r="422" spans="4:27">
      <c r="D422" s="315"/>
      <c r="E422" s="316"/>
      <c r="H422" s="256"/>
      <c r="J422" s="256"/>
      <c r="W422" s="317"/>
      <c r="Z422" s="176"/>
      <c r="AA422" s="176"/>
    </row>
    <row r="423" spans="4:27">
      <c r="D423" s="315"/>
      <c r="E423" s="316"/>
      <c r="H423" s="256"/>
      <c r="J423" s="256"/>
      <c r="W423" s="317"/>
      <c r="Z423" s="176"/>
      <c r="AA423" s="176"/>
    </row>
    <row r="424" spans="4:27">
      <c r="D424" s="315"/>
      <c r="E424" s="316"/>
      <c r="H424" s="256"/>
      <c r="J424" s="256"/>
      <c r="W424" s="317"/>
      <c r="Z424" s="176"/>
      <c r="AA424" s="176"/>
    </row>
    <row r="425" spans="4:27">
      <c r="D425" s="315"/>
      <c r="E425" s="316"/>
      <c r="H425" s="256"/>
      <c r="J425" s="256"/>
      <c r="W425" s="317"/>
      <c r="Z425" s="176"/>
      <c r="AA425" s="176"/>
    </row>
    <row r="426" spans="4:27">
      <c r="D426" s="315"/>
      <c r="E426" s="316"/>
      <c r="H426" s="256"/>
      <c r="J426" s="256"/>
      <c r="W426" s="317"/>
      <c r="Z426" s="176"/>
      <c r="AA426" s="176"/>
    </row>
    <row r="427" spans="4:27">
      <c r="D427" s="315"/>
      <c r="E427" s="316"/>
      <c r="H427" s="256"/>
      <c r="J427" s="256"/>
      <c r="W427" s="317"/>
      <c r="Z427" s="176"/>
      <c r="AA427" s="176"/>
    </row>
    <row r="428" spans="4:27">
      <c r="D428" s="315"/>
      <c r="E428" s="316"/>
      <c r="H428" s="256"/>
      <c r="J428" s="256"/>
      <c r="W428" s="317"/>
      <c r="Z428" s="176"/>
      <c r="AA428" s="176"/>
    </row>
    <row r="429" spans="4:27">
      <c r="D429" s="315"/>
      <c r="E429" s="316"/>
      <c r="H429" s="256"/>
      <c r="J429" s="256"/>
      <c r="W429" s="317"/>
      <c r="Z429" s="176"/>
      <c r="AA429" s="176"/>
    </row>
    <row r="430" spans="4:27">
      <c r="D430" s="315"/>
      <c r="E430" s="316"/>
      <c r="H430" s="256"/>
      <c r="J430" s="256"/>
      <c r="W430" s="317"/>
      <c r="Z430" s="176"/>
      <c r="AA430" s="176"/>
    </row>
    <row r="431" spans="4:27">
      <c r="D431" s="315"/>
      <c r="E431" s="316"/>
      <c r="H431" s="256"/>
      <c r="J431" s="256"/>
      <c r="W431" s="317"/>
      <c r="Z431" s="176"/>
      <c r="AA431" s="176"/>
    </row>
    <row r="432" spans="4:27">
      <c r="D432" s="315"/>
      <c r="E432" s="316"/>
      <c r="H432" s="256"/>
      <c r="J432" s="256"/>
      <c r="W432" s="317"/>
      <c r="Z432" s="176"/>
      <c r="AA432" s="176"/>
    </row>
    <row r="433" spans="4:27">
      <c r="D433" s="315"/>
      <c r="E433" s="316"/>
      <c r="H433" s="256"/>
      <c r="J433" s="256"/>
      <c r="W433" s="317"/>
      <c r="Z433" s="176"/>
      <c r="AA433" s="176"/>
    </row>
    <row r="434" spans="4:27">
      <c r="D434" s="315"/>
      <c r="E434" s="316"/>
      <c r="H434" s="256"/>
      <c r="J434" s="256"/>
      <c r="W434" s="317"/>
      <c r="Z434" s="176"/>
      <c r="AA434" s="176"/>
    </row>
    <row r="435" spans="4:27">
      <c r="D435" s="315"/>
      <c r="E435" s="316"/>
      <c r="H435" s="256"/>
      <c r="J435" s="256"/>
      <c r="W435" s="317"/>
      <c r="Z435" s="176"/>
      <c r="AA435" s="176"/>
    </row>
    <row r="436" spans="4:27">
      <c r="D436" s="315"/>
      <c r="E436" s="316"/>
      <c r="H436" s="256"/>
      <c r="J436" s="256"/>
      <c r="W436" s="317"/>
      <c r="Z436" s="176"/>
      <c r="AA436" s="176"/>
    </row>
    <row r="437" spans="4:27">
      <c r="D437" s="315"/>
      <c r="E437" s="316"/>
      <c r="H437" s="256"/>
      <c r="J437" s="256"/>
      <c r="W437" s="317"/>
      <c r="Z437" s="176"/>
      <c r="AA437" s="176"/>
    </row>
    <row r="438" spans="4:27">
      <c r="D438" s="315"/>
      <c r="E438" s="316"/>
      <c r="H438" s="256"/>
      <c r="J438" s="256"/>
      <c r="W438" s="317"/>
      <c r="Z438" s="176"/>
      <c r="AA438" s="176"/>
    </row>
    <row r="439" spans="4:27">
      <c r="D439" s="315"/>
      <c r="E439" s="316"/>
      <c r="H439" s="256"/>
      <c r="J439" s="256"/>
      <c r="W439" s="317"/>
      <c r="Z439" s="176"/>
      <c r="AA439" s="176"/>
    </row>
    <row r="440" spans="4:27">
      <c r="D440" s="315"/>
      <c r="E440" s="316"/>
      <c r="H440" s="256"/>
      <c r="J440" s="256"/>
      <c r="W440" s="317"/>
      <c r="Z440" s="176"/>
      <c r="AA440" s="176"/>
    </row>
    <row r="441" spans="4:27">
      <c r="D441" s="315"/>
      <c r="E441" s="316"/>
      <c r="H441" s="256"/>
      <c r="J441" s="256"/>
      <c r="W441" s="317"/>
      <c r="Z441" s="176"/>
      <c r="AA441" s="176"/>
    </row>
    <row r="442" spans="4:27">
      <c r="D442" s="315"/>
      <c r="E442" s="316"/>
      <c r="H442" s="256"/>
      <c r="J442" s="256"/>
      <c r="W442" s="317"/>
      <c r="Z442" s="176"/>
      <c r="AA442" s="176"/>
    </row>
    <row r="443" spans="4:27">
      <c r="D443" s="315"/>
      <c r="E443" s="316"/>
      <c r="H443" s="256"/>
      <c r="J443" s="256"/>
      <c r="W443" s="317"/>
      <c r="Z443" s="176"/>
      <c r="AA443" s="176"/>
    </row>
    <row r="444" spans="4:27">
      <c r="D444" s="315"/>
      <c r="E444" s="316"/>
      <c r="H444" s="256"/>
      <c r="J444" s="256"/>
      <c r="W444" s="317"/>
      <c r="Z444" s="176"/>
      <c r="AA444" s="176"/>
    </row>
    <row r="445" spans="4:27">
      <c r="D445" s="315"/>
      <c r="E445" s="316"/>
      <c r="H445" s="256"/>
      <c r="J445" s="256"/>
      <c r="W445" s="317"/>
      <c r="Z445" s="176"/>
      <c r="AA445" s="176"/>
    </row>
    <row r="446" spans="4:27">
      <c r="D446" s="315"/>
      <c r="E446" s="316"/>
      <c r="H446" s="256"/>
      <c r="J446" s="256"/>
      <c r="W446" s="317"/>
      <c r="Z446" s="176"/>
      <c r="AA446" s="176"/>
    </row>
    <row r="447" spans="4:27">
      <c r="D447" s="315"/>
      <c r="E447" s="316"/>
      <c r="H447" s="256"/>
      <c r="J447" s="256"/>
      <c r="W447" s="317"/>
      <c r="Z447" s="176"/>
      <c r="AA447" s="176"/>
    </row>
    <row r="448" spans="4:27">
      <c r="D448" s="315"/>
      <c r="E448" s="316"/>
      <c r="H448" s="256"/>
      <c r="J448" s="256"/>
      <c r="W448" s="317"/>
      <c r="Z448" s="176"/>
      <c r="AA448" s="176"/>
    </row>
    <row r="449" spans="4:27">
      <c r="D449" s="315"/>
      <c r="E449" s="316"/>
      <c r="H449" s="256"/>
      <c r="J449" s="256"/>
      <c r="W449" s="317"/>
      <c r="Z449" s="176"/>
      <c r="AA449" s="176"/>
    </row>
    <row r="450" spans="4:27">
      <c r="D450" s="315"/>
      <c r="E450" s="316"/>
      <c r="H450" s="256"/>
      <c r="J450" s="256"/>
      <c r="W450" s="317"/>
      <c r="Z450" s="176"/>
      <c r="AA450" s="176"/>
    </row>
    <row r="451" spans="4:27">
      <c r="D451" s="315"/>
      <c r="E451" s="316"/>
      <c r="H451" s="256"/>
      <c r="J451" s="256"/>
      <c r="W451" s="317"/>
      <c r="Z451" s="176"/>
      <c r="AA451" s="176"/>
    </row>
    <row r="452" spans="4:27">
      <c r="D452" s="315"/>
      <c r="E452" s="316"/>
      <c r="H452" s="256"/>
      <c r="J452" s="256"/>
      <c r="W452" s="317"/>
      <c r="Z452" s="176"/>
      <c r="AA452" s="176"/>
    </row>
    <row r="453" spans="4:27">
      <c r="D453" s="315"/>
      <c r="E453" s="316"/>
      <c r="H453" s="256"/>
      <c r="J453" s="256"/>
      <c r="W453" s="317"/>
      <c r="Z453" s="176"/>
      <c r="AA453" s="176"/>
    </row>
    <row r="454" spans="4:27">
      <c r="D454" s="315"/>
      <c r="E454" s="316"/>
      <c r="H454" s="256"/>
      <c r="J454" s="256"/>
      <c r="W454" s="317"/>
      <c r="Z454" s="176"/>
      <c r="AA454" s="176"/>
    </row>
    <row r="455" spans="4:27">
      <c r="D455" s="315"/>
      <c r="E455" s="316"/>
      <c r="H455" s="256"/>
      <c r="J455" s="256"/>
      <c r="W455" s="317"/>
      <c r="Z455" s="176"/>
      <c r="AA455" s="176"/>
    </row>
    <row r="456" spans="4:27">
      <c r="D456" s="315"/>
      <c r="E456" s="316"/>
      <c r="H456" s="256"/>
      <c r="J456" s="256"/>
      <c r="W456" s="317"/>
      <c r="Z456" s="176"/>
      <c r="AA456" s="176"/>
    </row>
    <row r="457" spans="4:27">
      <c r="D457" s="315"/>
      <c r="E457" s="316"/>
      <c r="H457" s="256"/>
      <c r="J457" s="256"/>
      <c r="W457" s="317"/>
      <c r="Z457" s="176"/>
      <c r="AA457" s="176"/>
    </row>
    <row r="458" spans="4:27">
      <c r="D458" s="315"/>
      <c r="E458" s="316"/>
      <c r="H458" s="256"/>
      <c r="J458" s="256"/>
      <c r="W458" s="317"/>
      <c r="Z458" s="176"/>
      <c r="AA458" s="176"/>
    </row>
    <row r="459" spans="4:27">
      <c r="D459" s="315"/>
      <c r="E459" s="316"/>
      <c r="H459" s="256"/>
      <c r="J459" s="256"/>
      <c r="W459" s="317"/>
      <c r="Z459" s="176"/>
      <c r="AA459" s="176"/>
    </row>
    <row r="460" spans="4:27">
      <c r="D460" s="315"/>
      <c r="E460" s="316"/>
      <c r="H460" s="256"/>
      <c r="J460" s="256"/>
      <c r="W460" s="317"/>
      <c r="Z460" s="176"/>
      <c r="AA460" s="176"/>
    </row>
    <row r="461" spans="4:27">
      <c r="D461" s="315"/>
      <c r="E461" s="316"/>
      <c r="H461" s="256"/>
      <c r="J461" s="256"/>
      <c r="W461" s="317"/>
      <c r="Z461" s="176"/>
      <c r="AA461" s="176"/>
    </row>
    <row r="462" spans="4:27">
      <c r="D462" s="315"/>
      <c r="E462" s="316"/>
      <c r="H462" s="256"/>
      <c r="J462" s="256"/>
      <c r="W462" s="317"/>
      <c r="Z462" s="176"/>
      <c r="AA462" s="176"/>
    </row>
    <row r="463" spans="4:27">
      <c r="D463" s="315"/>
      <c r="E463" s="316"/>
      <c r="H463" s="256"/>
      <c r="J463" s="256"/>
      <c r="W463" s="317"/>
      <c r="Z463" s="176"/>
      <c r="AA463" s="176"/>
    </row>
    <row r="464" spans="4:27">
      <c r="D464" s="315"/>
      <c r="E464" s="316"/>
      <c r="H464" s="256"/>
      <c r="J464" s="256"/>
      <c r="W464" s="317"/>
      <c r="Z464" s="176"/>
      <c r="AA464" s="176"/>
    </row>
    <row r="465" spans="4:27">
      <c r="D465" s="315"/>
      <c r="E465" s="316"/>
      <c r="H465" s="256"/>
      <c r="J465" s="256"/>
      <c r="W465" s="317"/>
      <c r="Z465" s="176"/>
      <c r="AA465" s="176"/>
    </row>
    <row r="466" spans="4:27">
      <c r="D466" s="315"/>
      <c r="E466" s="316"/>
      <c r="H466" s="256"/>
      <c r="J466" s="256"/>
      <c r="W466" s="317"/>
      <c r="Z466" s="176"/>
      <c r="AA466" s="176"/>
    </row>
    <row r="467" spans="4:27">
      <c r="D467" s="315"/>
      <c r="E467" s="316"/>
      <c r="H467" s="256"/>
      <c r="J467" s="256"/>
      <c r="W467" s="317"/>
      <c r="Z467" s="176"/>
      <c r="AA467" s="176"/>
    </row>
    <row r="468" spans="4:27">
      <c r="D468" s="315"/>
      <c r="E468" s="316"/>
      <c r="H468" s="256"/>
      <c r="J468" s="256"/>
      <c r="W468" s="317"/>
      <c r="Z468" s="176"/>
      <c r="AA468" s="176"/>
    </row>
    <row r="469" spans="4:27">
      <c r="D469" s="315"/>
      <c r="E469" s="316"/>
      <c r="H469" s="256"/>
      <c r="J469" s="256"/>
      <c r="W469" s="317"/>
      <c r="Z469" s="176"/>
      <c r="AA469" s="176"/>
    </row>
    <row r="470" spans="4:27">
      <c r="D470" s="315"/>
      <c r="E470" s="316"/>
      <c r="H470" s="256"/>
      <c r="J470" s="256"/>
      <c r="W470" s="317"/>
      <c r="Z470" s="176"/>
      <c r="AA470" s="176"/>
    </row>
    <row r="471" spans="4:27">
      <c r="D471" s="315"/>
      <c r="E471" s="316"/>
      <c r="H471" s="256"/>
      <c r="J471" s="256"/>
      <c r="W471" s="317"/>
      <c r="Z471" s="176"/>
      <c r="AA471" s="176"/>
    </row>
    <row r="472" spans="4:27">
      <c r="D472" s="315"/>
      <c r="E472" s="316"/>
      <c r="H472" s="256"/>
      <c r="J472" s="256"/>
      <c r="W472" s="317"/>
      <c r="Z472" s="176"/>
      <c r="AA472" s="176"/>
    </row>
    <row r="473" spans="4:27">
      <c r="D473" s="315"/>
      <c r="E473" s="316"/>
      <c r="H473" s="256"/>
      <c r="J473" s="256"/>
      <c r="W473" s="317"/>
      <c r="Z473" s="176"/>
      <c r="AA473" s="176"/>
    </row>
    <row r="474" spans="4:27">
      <c r="D474" s="315"/>
      <c r="E474" s="316"/>
      <c r="H474" s="256"/>
      <c r="J474" s="256"/>
      <c r="W474" s="317"/>
      <c r="Z474" s="176"/>
      <c r="AA474" s="176"/>
    </row>
    <row r="475" spans="4:27">
      <c r="D475" s="315"/>
      <c r="E475" s="316"/>
      <c r="H475" s="256"/>
      <c r="J475" s="256"/>
      <c r="W475" s="317"/>
      <c r="Z475" s="176"/>
      <c r="AA475" s="176"/>
    </row>
    <row r="476" spans="4:27">
      <c r="D476" s="315"/>
      <c r="E476" s="316"/>
      <c r="H476" s="256"/>
      <c r="J476" s="256"/>
      <c r="W476" s="317"/>
      <c r="Z476" s="176"/>
      <c r="AA476" s="176"/>
    </row>
    <row r="477" spans="4:27">
      <c r="D477" s="315"/>
      <c r="E477" s="316"/>
      <c r="H477" s="256"/>
      <c r="J477" s="256"/>
      <c r="W477" s="317"/>
      <c r="Z477" s="176"/>
      <c r="AA477" s="176"/>
    </row>
    <row r="478" spans="4:27">
      <c r="D478" s="315"/>
      <c r="E478" s="316"/>
      <c r="H478" s="256"/>
      <c r="J478" s="256"/>
      <c r="W478" s="317"/>
      <c r="Z478" s="176"/>
      <c r="AA478" s="176"/>
    </row>
    <row r="479" spans="4:27">
      <c r="D479" s="315"/>
      <c r="E479" s="316"/>
      <c r="H479" s="256"/>
      <c r="J479" s="256"/>
      <c r="W479" s="317"/>
      <c r="Z479" s="176"/>
      <c r="AA479" s="176"/>
    </row>
    <row r="480" spans="4:27">
      <c r="D480" s="315"/>
      <c r="E480" s="316"/>
      <c r="H480" s="256"/>
      <c r="J480" s="256"/>
      <c r="W480" s="317"/>
      <c r="Z480" s="176"/>
      <c r="AA480" s="176"/>
    </row>
    <row r="481" spans="4:27">
      <c r="D481" s="315"/>
      <c r="E481" s="316"/>
      <c r="H481" s="256"/>
      <c r="J481" s="256"/>
      <c r="W481" s="317"/>
      <c r="Z481" s="176"/>
      <c r="AA481" s="176"/>
    </row>
    <row r="482" spans="4:27">
      <c r="D482" s="315"/>
      <c r="E482" s="316"/>
      <c r="H482" s="256"/>
      <c r="J482" s="256"/>
      <c r="W482" s="317"/>
      <c r="Z482" s="176"/>
      <c r="AA482" s="176"/>
    </row>
    <row r="483" spans="4:27">
      <c r="D483" s="315"/>
      <c r="E483" s="316"/>
      <c r="H483" s="256"/>
      <c r="J483" s="256"/>
      <c r="W483" s="317"/>
      <c r="Z483" s="176"/>
      <c r="AA483" s="176"/>
    </row>
    <row r="484" spans="4:27">
      <c r="D484" s="315"/>
      <c r="E484" s="316"/>
      <c r="H484" s="256"/>
      <c r="J484" s="256"/>
      <c r="W484" s="317"/>
      <c r="Z484" s="176"/>
      <c r="AA484" s="176"/>
    </row>
    <row r="485" spans="4:27">
      <c r="D485" s="315"/>
      <c r="E485" s="316"/>
      <c r="H485" s="256"/>
      <c r="J485" s="256"/>
      <c r="W485" s="317"/>
      <c r="Z485" s="176"/>
      <c r="AA485" s="176"/>
    </row>
    <row r="486" spans="4:27">
      <c r="D486" s="315"/>
      <c r="E486" s="316"/>
      <c r="H486" s="256"/>
      <c r="J486" s="256"/>
      <c r="W486" s="317"/>
      <c r="Z486" s="176"/>
      <c r="AA486" s="176"/>
    </row>
    <row r="487" spans="4:27">
      <c r="D487" s="315"/>
      <c r="E487" s="316"/>
      <c r="H487" s="256"/>
      <c r="J487" s="256"/>
      <c r="W487" s="317"/>
      <c r="Z487" s="176"/>
      <c r="AA487" s="176"/>
    </row>
    <row r="488" spans="4:27">
      <c r="D488" s="315"/>
      <c r="E488" s="316"/>
      <c r="H488" s="256"/>
      <c r="J488" s="256"/>
      <c r="W488" s="317"/>
      <c r="Z488" s="176"/>
      <c r="AA488" s="176"/>
    </row>
    <row r="489" spans="4:27">
      <c r="D489" s="315"/>
      <c r="E489" s="316"/>
      <c r="H489" s="256"/>
      <c r="J489" s="256"/>
      <c r="W489" s="317"/>
      <c r="Z489" s="176"/>
      <c r="AA489" s="176"/>
    </row>
    <row r="490" spans="4:27">
      <c r="D490" s="315"/>
      <c r="E490" s="316"/>
      <c r="H490" s="256"/>
      <c r="J490" s="256"/>
      <c r="W490" s="317"/>
      <c r="Z490" s="176"/>
      <c r="AA490" s="176"/>
    </row>
    <row r="491" spans="4:27">
      <c r="D491" s="315"/>
      <c r="E491" s="316"/>
      <c r="H491" s="256"/>
      <c r="J491" s="256"/>
      <c r="W491" s="317"/>
      <c r="Z491" s="176"/>
      <c r="AA491" s="176"/>
    </row>
    <row r="492" spans="4:27">
      <c r="D492" s="315"/>
      <c r="E492" s="316"/>
      <c r="H492" s="256"/>
      <c r="J492" s="256"/>
      <c r="W492" s="317"/>
      <c r="Z492" s="176"/>
      <c r="AA492" s="176"/>
    </row>
    <row r="493" spans="4:27">
      <c r="D493" s="315"/>
      <c r="E493" s="316"/>
      <c r="H493" s="256"/>
      <c r="J493" s="256"/>
      <c r="W493" s="317"/>
      <c r="Z493" s="176"/>
      <c r="AA493" s="176"/>
    </row>
    <row r="494" spans="4:27">
      <c r="D494" s="315"/>
      <c r="E494" s="316"/>
      <c r="H494" s="256"/>
      <c r="J494" s="256"/>
      <c r="W494" s="317"/>
      <c r="Z494" s="176"/>
      <c r="AA494" s="176"/>
    </row>
    <row r="495" spans="4:27">
      <c r="D495" s="315"/>
      <c r="E495" s="316"/>
      <c r="H495" s="256"/>
      <c r="J495" s="256"/>
      <c r="W495" s="317"/>
      <c r="Z495" s="176"/>
      <c r="AA495" s="176"/>
    </row>
    <row r="496" spans="4:27">
      <c r="D496" s="315"/>
      <c r="E496" s="316"/>
      <c r="H496" s="256"/>
      <c r="J496" s="256"/>
      <c r="W496" s="317"/>
      <c r="Z496" s="176"/>
      <c r="AA496" s="176"/>
    </row>
    <row r="497" spans="4:27">
      <c r="D497" s="315"/>
      <c r="E497" s="316"/>
      <c r="H497" s="256"/>
      <c r="J497" s="256"/>
      <c r="W497" s="317"/>
      <c r="Z497" s="176"/>
      <c r="AA497" s="176"/>
    </row>
    <row r="498" spans="4:27">
      <c r="D498" s="315"/>
      <c r="E498" s="316"/>
      <c r="H498" s="256"/>
      <c r="J498" s="256"/>
      <c r="W498" s="317"/>
      <c r="Z498" s="176"/>
      <c r="AA498" s="176"/>
    </row>
    <row r="499" spans="4:27">
      <c r="D499" s="315"/>
      <c r="E499" s="316"/>
      <c r="H499" s="256"/>
      <c r="J499" s="256"/>
      <c r="W499" s="317"/>
      <c r="Z499" s="176"/>
      <c r="AA499" s="176"/>
    </row>
    <row r="500" spans="4:27">
      <c r="D500" s="315"/>
      <c r="E500" s="316"/>
      <c r="H500" s="256"/>
      <c r="J500" s="256"/>
      <c r="W500" s="317"/>
      <c r="Z500" s="176"/>
      <c r="AA500" s="176"/>
    </row>
    <row r="501" spans="4:27">
      <c r="D501" s="315"/>
      <c r="E501" s="316"/>
      <c r="H501" s="256"/>
      <c r="J501" s="256"/>
      <c r="W501" s="317"/>
      <c r="Z501" s="176"/>
      <c r="AA501" s="176"/>
    </row>
    <row r="502" spans="4:27">
      <c r="D502" s="315"/>
      <c r="E502" s="316"/>
      <c r="H502" s="256"/>
      <c r="J502" s="256"/>
      <c r="W502" s="317"/>
      <c r="Z502" s="176"/>
      <c r="AA502" s="176"/>
    </row>
    <row r="503" spans="4:27">
      <c r="D503" s="315"/>
      <c r="E503" s="316"/>
      <c r="H503" s="256"/>
      <c r="J503" s="256"/>
      <c r="W503" s="317"/>
      <c r="Z503" s="176"/>
      <c r="AA503" s="176"/>
    </row>
    <row r="504" spans="4:27">
      <c r="D504" s="315"/>
      <c r="E504" s="316"/>
      <c r="H504" s="256"/>
      <c r="J504" s="256"/>
      <c r="W504" s="317"/>
      <c r="Z504" s="176"/>
      <c r="AA504" s="176"/>
    </row>
    <row r="505" spans="4:27">
      <c r="D505" s="315"/>
      <c r="E505" s="316"/>
      <c r="H505" s="256"/>
      <c r="J505" s="256"/>
      <c r="W505" s="317"/>
      <c r="Z505" s="176"/>
      <c r="AA505" s="176"/>
    </row>
    <row r="506" spans="4:27">
      <c r="D506" s="315"/>
      <c r="E506" s="316"/>
      <c r="H506" s="256"/>
      <c r="J506" s="256"/>
      <c r="W506" s="317"/>
      <c r="Z506" s="176"/>
      <c r="AA506" s="176"/>
    </row>
    <row r="507" spans="4:27">
      <c r="D507" s="315"/>
      <c r="E507" s="316"/>
      <c r="H507" s="256"/>
      <c r="J507" s="256"/>
      <c r="W507" s="317"/>
      <c r="Z507" s="176"/>
      <c r="AA507" s="176"/>
    </row>
    <row r="508" spans="4:27">
      <c r="D508" s="315"/>
      <c r="E508" s="316"/>
      <c r="H508" s="256"/>
      <c r="J508" s="256"/>
      <c r="W508" s="317"/>
      <c r="Z508" s="176"/>
      <c r="AA508" s="176"/>
    </row>
    <row r="509" spans="4:27">
      <c r="D509" s="315"/>
      <c r="E509" s="316"/>
      <c r="H509" s="256"/>
      <c r="J509" s="256"/>
      <c r="W509" s="317"/>
      <c r="Z509" s="176"/>
      <c r="AA509" s="176"/>
    </row>
    <row r="510" spans="4:27">
      <c r="D510" s="315"/>
      <c r="E510" s="316"/>
      <c r="H510" s="256"/>
      <c r="J510" s="256"/>
      <c r="W510" s="317"/>
      <c r="Z510" s="176"/>
      <c r="AA510" s="176"/>
    </row>
    <row r="511" spans="4:27">
      <c r="D511" s="315"/>
      <c r="E511" s="316"/>
      <c r="H511" s="256"/>
      <c r="J511" s="256"/>
      <c r="W511" s="317"/>
      <c r="Z511" s="176"/>
      <c r="AA511" s="176"/>
    </row>
    <row r="512" spans="4:27">
      <c r="D512" s="315"/>
      <c r="E512" s="316"/>
      <c r="H512" s="256"/>
      <c r="J512" s="256"/>
      <c r="W512" s="317"/>
      <c r="Z512" s="176"/>
      <c r="AA512" s="176"/>
    </row>
    <row r="513" spans="4:27">
      <c r="D513" s="315"/>
      <c r="E513" s="316"/>
      <c r="H513" s="256"/>
      <c r="J513" s="256"/>
      <c r="W513" s="317"/>
      <c r="Z513" s="176"/>
      <c r="AA513" s="176"/>
    </row>
    <row r="514" spans="4:27">
      <c r="D514" s="315"/>
      <c r="E514" s="316"/>
      <c r="H514" s="256"/>
      <c r="J514" s="256"/>
      <c r="W514" s="317"/>
      <c r="Z514" s="176"/>
      <c r="AA514" s="176"/>
    </row>
    <row r="515" spans="4:27">
      <c r="D515" s="315"/>
      <c r="E515" s="316"/>
      <c r="H515" s="256"/>
      <c r="J515" s="256"/>
      <c r="W515" s="317"/>
      <c r="Z515" s="176"/>
      <c r="AA515" s="176"/>
    </row>
    <row r="516" spans="4:27">
      <c r="D516" s="315"/>
      <c r="E516" s="316"/>
      <c r="H516" s="256"/>
      <c r="J516" s="256"/>
      <c r="W516" s="317"/>
      <c r="Z516" s="176"/>
      <c r="AA516" s="176"/>
    </row>
    <row r="517" spans="4:27">
      <c r="D517" s="315"/>
      <c r="E517" s="316"/>
      <c r="H517" s="256"/>
      <c r="J517" s="256"/>
      <c r="W517" s="317"/>
      <c r="Z517" s="176"/>
      <c r="AA517" s="176"/>
    </row>
    <row r="518" spans="4:27">
      <c r="D518" s="315"/>
      <c r="E518" s="316"/>
      <c r="H518" s="256"/>
      <c r="J518" s="256"/>
      <c r="W518" s="317"/>
      <c r="Z518" s="176"/>
      <c r="AA518" s="176"/>
    </row>
    <row r="519" spans="4:27">
      <c r="D519" s="315"/>
      <c r="E519" s="316"/>
      <c r="H519" s="256"/>
      <c r="J519" s="256"/>
      <c r="W519" s="317"/>
      <c r="Z519" s="176"/>
      <c r="AA519" s="176"/>
    </row>
    <row r="520" spans="4:27">
      <c r="D520" s="315"/>
      <c r="E520" s="316"/>
      <c r="H520" s="256"/>
      <c r="J520" s="256"/>
      <c r="W520" s="317"/>
      <c r="Z520" s="176"/>
      <c r="AA520" s="176"/>
    </row>
    <row r="521" spans="4:27">
      <c r="D521" s="315"/>
      <c r="E521" s="316"/>
      <c r="H521" s="256"/>
      <c r="J521" s="256"/>
      <c r="W521" s="317"/>
      <c r="Z521" s="176"/>
      <c r="AA521" s="176"/>
    </row>
    <row r="522" spans="4:27">
      <c r="D522" s="315"/>
      <c r="E522" s="316"/>
      <c r="H522" s="256"/>
      <c r="J522" s="256"/>
      <c r="W522" s="317"/>
      <c r="Z522" s="176"/>
      <c r="AA522" s="176"/>
    </row>
    <row r="523" spans="4:27">
      <c r="D523" s="315"/>
      <c r="E523" s="316"/>
      <c r="H523" s="256"/>
      <c r="J523" s="256"/>
      <c r="W523" s="317"/>
      <c r="Z523" s="176"/>
      <c r="AA523" s="176"/>
    </row>
    <row r="524" spans="4:27">
      <c r="D524" s="315"/>
      <c r="E524" s="316"/>
      <c r="H524" s="256"/>
      <c r="J524" s="256"/>
      <c r="W524" s="317"/>
      <c r="Z524" s="176"/>
      <c r="AA524" s="176"/>
    </row>
    <row r="525" spans="4:27">
      <c r="D525" s="315"/>
      <c r="E525" s="316"/>
      <c r="H525" s="256"/>
      <c r="J525" s="256"/>
      <c r="W525" s="317"/>
      <c r="Z525" s="176"/>
      <c r="AA525" s="176"/>
    </row>
    <row r="526" spans="4:27">
      <c r="D526" s="315"/>
      <c r="E526" s="316"/>
      <c r="H526" s="256"/>
      <c r="J526" s="256"/>
      <c r="W526" s="317"/>
      <c r="Z526" s="176"/>
      <c r="AA526" s="176"/>
    </row>
    <row r="527" spans="4:27">
      <c r="D527" s="315"/>
      <c r="E527" s="316"/>
      <c r="H527" s="256"/>
      <c r="J527" s="256"/>
      <c r="W527" s="317"/>
      <c r="Z527" s="176"/>
      <c r="AA527" s="176"/>
    </row>
    <row r="528" spans="4:27">
      <c r="D528" s="315"/>
      <c r="E528" s="316"/>
      <c r="H528" s="256"/>
      <c r="J528" s="256"/>
      <c r="W528" s="317"/>
      <c r="Z528" s="176"/>
      <c r="AA528" s="176"/>
    </row>
    <row r="529" spans="4:27">
      <c r="D529" s="315"/>
      <c r="E529" s="316"/>
      <c r="H529" s="256"/>
      <c r="J529" s="256"/>
      <c r="W529" s="317"/>
      <c r="Z529" s="176"/>
      <c r="AA529" s="176"/>
    </row>
    <row r="530" spans="4:27">
      <c r="D530" s="315"/>
      <c r="E530" s="316"/>
      <c r="H530" s="256"/>
      <c r="J530" s="256"/>
      <c r="W530" s="317"/>
      <c r="Z530" s="176"/>
      <c r="AA530" s="176"/>
    </row>
    <row r="531" spans="4:27">
      <c r="D531" s="315"/>
      <c r="E531" s="316"/>
      <c r="H531" s="256"/>
      <c r="J531" s="256"/>
      <c r="W531" s="317"/>
      <c r="Z531" s="176"/>
      <c r="AA531" s="176"/>
    </row>
    <row r="532" spans="4:27">
      <c r="D532" s="315"/>
      <c r="E532" s="316"/>
      <c r="H532" s="256"/>
      <c r="J532" s="256"/>
      <c r="W532" s="317"/>
      <c r="Z532" s="176"/>
      <c r="AA532" s="176"/>
    </row>
    <row r="533" spans="4:27">
      <c r="D533" s="315"/>
      <c r="E533" s="316"/>
      <c r="H533" s="256"/>
      <c r="J533" s="256"/>
      <c r="W533" s="317"/>
      <c r="Z533" s="176"/>
      <c r="AA533" s="176"/>
    </row>
    <row r="534" spans="4:27">
      <c r="D534" s="315"/>
      <c r="E534" s="316"/>
      <c r="H534" s="256"/>
      <c r="J534" s="256"/>
      <c r="W534" s="317"/>
      <c r="Z534" s="176"/>
      <c r="AA534" s="176"/>
    </row>
    <row r="535" spans="4:27">
      <c r="D535" s="315"/>
      <c r="E535" s="316"/>
      <c r="H535" s="256"/>
      <c r="J535" s="256"/>
      <c r="W535" s="317"/>
      <c r="Z535" s="176"/>
      <c r="AA535" s="176"/>
    </row>
    <row r="536" spans="4:27">
      <c r="D536" s="315"/>
      <c r="E536" s="316"/>
      <c r="H536" s="256"/>
      <c r="J536" s="256"/>
      <c r="W536" s="317"/>
      <c r="Z536" s="176"/>
      <c r="AA536" s="176"/>
    </row>
    <row r="537" spans="4:27">
      <c r="D537" s="315"/>
      <c r="E537" s="316"/>
      <c r="H537" s="256"/>
      <c r="J537" s="256"/>
      <c r="W537" s="317"/>
      <c r="Z537" s="176"/>
      <c r="AA537" s="176"/>
    </row>
    <row r="538" spans="4:27">
      <c r="D538" s="315"/>
      <c r="E538" s="316"/>
      <c r="H538" s="256"/>
      <c r="J538" s="256"/>
      <c r="W538" s="317"/>
      <c r="Z538" s="176"/>
      <c r="AA538" s="176"/>
    </row>
    <row r="539" spans="4:27">
      <c r="D539" s="315"/>
      <c r="E539" s="316"/>
      <c r="H539" s="256"/>
      <c r="J539" s="256"/>
      <c r="W539" s="317"/>
      <c r="Z539" s="176"/>
      <c r="AA539" s="176"/>
    </row>
    <row r="540" spans="4:27">
      <c r="D540" s="315"/>
      <c r="E540" s="316"/>
      <c r="H540" s="256"/>
      <c r="J540" s="256"/>
      <c r="W540" s="317"/>
      <c r="Z540" s="176"/>
      <c r="AA540" s="176"/>
    </row>
    <row r="541" spans="4:27">
      <c r="D541" s="315"/>
      <c r="E541" s="316"/>
      <c r="H541" s="256"/>
      <c r="J541" s="256"/>
      <c r="W541" s="317"/>
      <c r="Z541" s="176"/>
      <c r="AA541" s="176"/>
    </row>
    <row r="542" spans="4:27">
      <c r="D542" s="315"/>
      <c r="E542" s="316"/>
      <c r="H542" s="256"/>
      <c r="J542" s="256"/>
      <c r="W542" s="317"/>
      <c r="Z542" s="176"/>
      <c r="AA542" s="176"/>
    </row>
    <row r="543" spans="4:27">
      <c r="D543" s="315"/>
      <c r="E543" s="316"/>
      <c r="H543" s="256"/>
      <c r="J543" s="256"/>
      <c r="W543" s="317"/>
      <c r="Z543" s="176"/>
      <c r="AA543" s="176"/>
    </row>
    <row r="544" spans="4:27">
      <c r="D544" s="315"/>
      <c r="E544" s="316"/>
      <c r="H544" s="256"/>
      <c r="J544" s="256"/>
      <c r="W544" s="317"/>
      <c r="Z544" s="176"/>
      <c r="AA544" s="176"/>
    </row>
    <row r="545" spans="4:27">
      <c r="D545" s="315"/>
      <c r="E545" s="316"/>
      <c r="H545" s="256"/>
      <c r="J545" s="256"/>
      <c r="W545" s="317"/>
      <c r="Z545" s="176"/>
      <c r="AA545" s="176"/>
    </row>
    <row r="546" spans="4:27">
      <c r="D546" s="315"/>
      <c r="E546" s="316"/>
      <c r="H546" s="256"/>
      <c r="J546" s="256"/>
      <c r="W546" s="317"/>
      <c r="Z546" s="176"/>
      <c r="AA546" s="176"/>
    </row>
    <row r="547" spans="4:27">
      <c r="D547" s="315"/>
      <c r="E547" s="316"/>
      <c r="H547" s="256"/>
      <c r="J547" s="256"/>
      <c r="W547" s="317"/>
      <c r="Z547" s="176"/>
      <c r="AA547" s="176"/>
    </row>
    <row r="548" spans="4:27">
      <c r="D548" s="315"/>
      <c r="E548" s="316"/>
      <c r="H548" s="256"/>
      <c r="J548" s="256"/>
      <c r="W548" s="317"/>
      <c r="Z548" s="176"/>
      <c r="AA548" s="176"/>
    </row>
    <row r="549" spans="4:27">
      <c r="D549" s="315"/>
      <c r="E549" s="316"/>
      <c r="H549" s="256"/>
      <c r="J549" s="256"/>
      <c r="W549" s="317"/>
      <c r="Z549" s="176"/>
      <c r="AA549" s="176"/>
    </row>
    <row r="550" spans="4:27">
      <c r="D550" s="315"/>
      <c r="E550" s="316"/>
      <c r="H550" s="256"/>
      <c r="J550" s="256"/>
      <c r="W550" s="317"/>
      <c r="Z550" s="176"/>
      <c r="AA550" s="176"/>
    </row>
    <row r="551" spans="4:27">
      <c r="D551" s="315"/>
      <c r="E551" s="316"/>
      <c r="H551" s="256"/>
      <c r="J551" s="256"/>
      <c r="W551" s="317"/>
      <c r="Z551" s="176"/>
      <c r="AA551" s="176"/>
    </row>
    <row r="552" spans="4:27">
      <c r="D552" s="315"/>
      <c r="E552" s="316"/>
      <c r="H552" s="256"/>
      <c r="J552" s="256"/>
      <c r="W552" s="317"/>
      <c r="Z552" s="176"/>
      <c r="AA552" s="176"/>
    </row>
    <row r="553" spans="4:27">
      <c r="D553" s="315"/>
      <c r="E553" s="316"/>
      <c r="H553" s="256"/>
      <c r="J553" s="256"/>
      <c r="W553" s="317"/>
      <c r="Z553" s="176"/>
      <c r="AA553" s="176"/>
    </row>
    <row r="554" spans="4:27">
      <c r="D554" s="315"/>
      <c r="E554" s="316"/>
      <c r="H554" s="256"/>
      <c r="J554" s="256"/>
      <c r="W554" s="317"/>
      <c r="Z554" s="176"/>
      <c r="AA554" s="176"/>
    </row>
    <row r="555" spans="4:27">
      <c r="D555" s="315"/>
      <c r="E555" s="316"/>
      <c r="H555" s="256"/>
      <c r="J555" s="256"/>
      <c r="W555" s="317"/>
      <c r="Z555" s="176"/>
      <c r="AA555" s="176"/>
    </row>
    <row r="556" spans="4:27">
      <c r="D556" s="315"/>
      <c r="E556" s="316"/>
      <c r="H556" s="256"/>
      <c r="J556" s="256"/>
      <c r="W556" s="317"/>
      <c r="Z556" s="176"/>
      <c r="AA556" s="176"/>
    </row>
    <row r="557" spans="4:27">
      <c r="D557" s="315"/>
      <c r="E557" s="316"/>
      <c r="H557" s="256"/>
      <c r="J557" s="256"/>
      <c r="W557" s="317"/>
      <c r="Z557" s="176"/>
      <c r="AA557" s="176"/>
    </row>
    <row r="558" spans="4:27">
      <c r="D558" s="315"/>
      <c r="E558" s="316"/>
      <c r="H558" s="256"/>
      <c r="J558" s="256"/>
      <c r="W558" s="317"/>
      <c r="Z558" s="176"/>
      <c r="AA558" s="176"/>
    </row>
    <row r="559" spans="4:27">
      <c r="D559" s="315"/>
      <c r="E559" s="316"/>
      <c r="H559" s="256"/>
      <c r="J559" s="256"/>
      <c r="W559" s="317"/>
      <c r="Z559" s="176"/>
      <c r="AA559" s="176"/>
    </row>
    <row r="560" spans="4:27">
      <c r="D560" s="315"/>
      <c r="E560" s="316"/>
      <c r="H560" s="256"/>
      <c r="J560" s="256"/>
      <c r="W560" s="317"/>
      <c r="Z560" s="176"/>
      <c r="AA560" s="176"/>
    </row>
    <row r="561" spans="4:27">
      <c r="D561" s="315"/>
      <c r="E561" s="316"/>
      <c r="H561" s="256"/>
      <c r="J561" s="256"/>
      <c r="W561" s="317"/>
      <c r="Z561" s="176"/>
      <c r="AA561" s="176"/>
    </row>
    <row r="562" spans="4:27">
      <c r="D562" s="315"/>
      <c r="E562" s="316"/>
      <c r="H562" s="256"/>
      <c r="J562" s="256"/>
      <c r="W562" s="317"/>
      <c r="Z562" s="176"/>
      <c r="AA562" s="176"/>
    </row>
    <row r="563" spans="4:27">
      <c r="D563" s="315"/>
      <c r="E563" s="316"/>
      <c r="H563" s="256"/>
      <c r="J563" s="256"/>
      <c r="W563" s="317"/>
      <c r="Z563" s="176"/>
      <c r="AA563" s="176"/>
    </row>
    <row r="564" spans="4:27">
      <c r="D564" s="315"/>
      <c r="E564" s="316"/>
      <c r="H564" s="256"/>
      <c r="J564" s="256"/>
      <c r="W564" s="317"/>
      <c r="Z564" s="176"/>
      <c r="AA564" s="176"/>
    </row>
    <row r="565" spans="4:27">
      <c r="D565" s="315"/>
      <c r="E565" s="316"/>
      <c r="H565" s="256"/>
      <c r="J565" s="256"/>
      <c r="W565" s="317"/>
      <c r="Z565" s="176"/>
      <c r="AA565" s="176"/>
    </row>
    <row r="566" spans="4:27">
      <c r="D566" s="315"/>
      <c r="E566" s="316"/>
      <c r="H566" s="256"/>
      <c r="J566" s="256"/>
      <c r="W566" s="317"/>
      <c r="Z566" s="176"/>
      <c r="AA566" s="176"/>
    </row>
    <row r="567" spans="4:27">
      <c r="D567" s="315"/>
      <c r="E567" s="316"/>
      <c r="H567" s="256"/>
      <c r="J567" s="256"/>
      <c r="W567" s="317"/>
      <c r="Z567" s="176"/>
      <c r="AA567" s="176"/>
    </row>
    <row r="568" spans="4:27">
      <c r="D568" s="315"/>
      <c r="E568" s="316"/>
      <c r="H568" s="256"/>
      <c r="J568" s="256"/>
      <c r="W568" s="317"/>
      <c r="Z568" s="176"/>
      <c r="AA568" s="176"/>
    </row>
    <row r="569" spans="4:27">
      <c r="D569" s="315"/>
      <c r="E569" s="316"/>
      <c r="H569" s="256"/>
      <c r="J569" s="256"/>
      <c r="W569" s="317"/>
      <c r="Z569" s="176"/>
      <c r="AA569" s="176"/>
    </row>
    <row r="570" spans="4:27">
      <c r="D570" s="315"/>
      <c r="E570" s="316"/>
      <c r="H570" s="256"/>
      <c r="J570" s="256"/>
      <c r="W570" s="317"/>
      <c r="Z570" s="176"/>
      <c r="AA570" s="176"/>
    </row>
    <row r="571" spans="4:27">
      <c r="D571" s="315"/>
      <c r="E571" s="316"/>
      <c r="H571" s="256"/>
      <c r="J571" s="256"/>
      <c r="W571" s="317"/>
      <c r="Z571" s="176"/>
      <c r="AA571" s="176"/>
    </row>
    <row r="572" spans="4:27">
      <c r="D572" s="315"/>
      <c r="E572" s="316"/>
      <c r="H572" s="256"/>
      <c r="J572" s="256"/>
      <c r="W572" s="317"/>
      <c r="Z572" s="176"/>
      <c r="AA572" s="176"/>
    </row>
    <row r="573" spans="4:27">
      <c r="D573" s="315"/>
      <c r="E573" s="316"/>
      <c r="H573" s="256"/>
      <c r="J573" s="256"/>
      <c r="W573" s="317"/>
      <c r="Z573" s="176"/>
      <c r="AA573" s="176"/>
    </row>
    <row r="574" spans="4:27">
      <c r="D574" s="315"/>
      <c r="E574" s="316"/>
      <c r="H574" s="256"/>
      <c r="J574" s="256"/>
      <c r="W574" s="317"/>
      <c r="Z574" s="176"/>
      <c r="AA574" s="176"/>
    </row>
    <row r="575" spans="4:27">
      <c r="D575" s="315"/>
      <c r="E575" s="316"/>
      <c r="H575" s="256"/>
      <c r="J575" s="256"/>
      <c r="W575" s="317"/>
      <c r="Z575" s="176"/>
      <c r="AA575" s="176"/>
    </row>
    <row r="576" spans="4:27">
      <c r="D576" s="315"/>
      <c r="E576" s="316"/>
      <c r="H576" s="256"/>
      <c r="J576" s="256"/>
      <c r="W576" s="317"/>
      <c r="Z576" s="176"/>
      <c r="AA576" s="176"/>
    </row>
    <row r="577" spans="4:27">
      <c r="D577" s="315"/>
      <c r="E577" s="316"/>
      <c r="H577" s="256"/>
      <c r="J577" s="256"/>
      <c r="W577" s="317"/>
      <c r="Z577" s="176"/>
      <c r="AA577" s="176"/>
    </row>
    <row r="578" spans="4:27">
      <c r="D578" s="315"/>
      <c r="E578" s="316"/>
      <c r="H578" s="256"/>
      <c r="J578" s="256"/>
      <c r="W578" s="317"/>
      <c r="Z578" s="176"/>
      <c r="AA578" s="176"/>
    </row>
    <row r="579" spans="4:27">
      <c r="D579" s="315"/>
      <c r="E579" s="316"/>
      <c r="H579" s="256"/>
      <c r="J579" s="256"/>
      <c r="W579" s="317"/>
      <c r="Z579" s="176"/>
      <c r="AA579" s="176"/>
    </row>
    <row r="580" spans="4:27">
      <c r="D580" s="315"/>
      <c r="E580" s="316"/>
      <c r="H580" s="256"/>
      <c r="J580" s="256"/>
      <c r="W580" s="317"/>
      <c r="Z580" s="176"/>
      <c r="AA580" s="176"/>
    </row>
    <row r="581" spans="4:27">
      <c r="D581" s="315"/>
      <c r="E581" s="316"/>
      <c r="H581" s="256"/>
      <c r="J581" s="256"/>
      <c r="W581" s="317"/>
      <c r="Z581" s="176"/>
      <c r="AA581" s="176"/>
    </row>
    <row r="582" spans="4:27">
      <c r="D582" s="315"/>
      <c r="E582" s="316"/>
      <c r="H582" s="256"/>
      <c r="J582" s="256"/>
      <c r="W582" s="317"/>
      <c r="Z582" s="176"/>
      <c r="AA582" s="176"/>
    </row>
    <row r="583" spans="4:27">
      <c r="D583" s="315"/>
      <c r="E583" s="316"/>
      <c r="H583" s="256"/>
      <c r="J583" s="256"/>
      <c r="W583" s="317"/>
      <c r="Z583" s="176"/>
      <c r="AA583" s="176"/>
    </row>
    <row r="584" spans="4:27">
      <c r="D584" s="315"/>
      <c r="E584" s="316"/>
      <c r="H584" s="256"/>
      <c r="J584" s="256"/>
      <c r="W584" s="317"/>
      <c r="Z584" s="176"/>
      <c r="AA584" s="176"/>
    </row>
    <row r="585" spans="4:27">
      <c r="D585" s="315"/>
      <c r="E585" s="316"/>
      <c r="H585" s="256"/>
      <c r="J585" s="256"/>
      <c r="W585" s="317"/>
      <c r="Z585" s="176"/>
      <c r="AA585" s="176"/>
    </row>
    <row r="586" spans="4:27">
      <c r="D586" s="315"/>
      <c r="E586" s="316"/>
      <c r="H586" s="256"/>
      <c r="J586" s="256"/>
      <c r="W586" s="317"/>
      <c r="Z586" s="176"/>
      <c r="AA586" s="176"/>
    </row>
    <row r="587" spans="4:27">
      <c r="D587" s="315"/>
      <c r="E587" s="316"/>
      <c r="H587" s="256"/>
      <c r="J587" s="256"/>
      <c r="W587" s="317"/>
      <c r="Z587" s="176"/>
      <c r="AA587" s="176"/>
    </row>
    <row r="588" spans="4:27">
      <c r="D588" s="315"/>
      <c r="E588" s="316"/>
      <c r="H588" s="256"/>
      <c r="J588" s="256"/>
      <c r="W588" s="317"/>
      <c r="Z588" s="176"/>
      <c r="AA588" s="176"/>
    </row>
    <row r="589" spans="4:27">
      <c r="D589" s="315"/>
      <c r="E589" s="316"/>
      <c r="H589" s="256"/>
      <c r="J589" s="256"/>
      <c r="W589" s="317"/>
      <c r="Z589" s="176"/>
      <c r="AA589" s="176"/>
    </row>
    <row r="590" spans="4:27">
      <c r="D590" s="315"/>
      <c r="E590" s="316"/>
      <c r="H590" s="256"/>
      <c r="J590" s="256"/>
      <c r="W590" s="317"/>
      <c r="Z590" s="176"/>
      <c r="AA590" s="176"/>
    </row>
    <row r="591" spans="4:27">
      <c r="D591" s="315"/>
      <c r="E591" s="316"/>
      <c r="H591" s="256"/>
      <c r="J591" s="256"/>
      <c r="W591" s="317"/>
      <c r="Z591" s="176"/>
      <c r="AA591" s="176"/>
    </row>
    <row r="592" spans="4:27">
      <c r="D592" s="315"/>
      <c r="E592" s="316"/>
      <c r="H592" s="256"/>
      <c r="J592" s="256"/>
      <c r="W592" s="317"/>
      <c r="Z592" s="176"/>
      <c r="AA592" s="176"/>
    </row>
    <row r="593" spans="4:27">
      <c r="D593" s="315"/>
      <c r="E593" s="316"/>
      <c r="H593" s="256"/>
      <c r="J593" s="256"/>
      <c r="W593" s="317"/>
      <c r="Z593" s="176"/>
      <c r="AA593" s="176"/>
    </row>
    <row r="594" spans="4:27">
      <c r="D594" s="315"/>
      <c r="E594" s="316"/>
      <c r="H594" s="256"/>
      <c r="J594" s="256"/>
      <c r="W594" s="317"/>
      <c r="Z594" s="176"/>
      <c r="AA594" s="176"/>
    </row>
    <row r="595" spans="4:27">
      <c r="D595" s="315"/>
      <c r="E595" s="316"/>
      <c r="H595" s="256"/>
      <c r="J595" s="256"/>
      <c r="W595" s="317"/>
      <c r="Z595" s="176"/>
      <c r="AA595" s="176"/>
    </row>
    <row r="596" spans="4:27">
      <c r="D596" s="315"/>
      <c r="E596" s="316"/>
      <c r="H596" s="256"/>
      <c r="J596" s="256"/>
      <c r="W596" s="317"/>
      <c r="Z596" s="176"/>
      <c r="AA596" s="176"/>
    </row>
    <row r="597" spans="4:27">
      <c r="D597" s="315"/>
      <c r="E597" s="316"/>
      <c r="H597" s="256"/>
      <c r="J597" s="256"/>
      <c r="W597" s="317"/>
      <c r="Z597" s="176"/>
      <c r="AA597" s="176"/>
    </row>
    <row r="598" spans="4:27">
      <c r="D598" s="315"/>
      <c r="E598" s="316"/>
      <c r="H598" s="256"/>
      <c r="J598" s="256"/>
      <c r="W598" s="317"/>
      <c r="Z598" s="176"/>
      <c r="AA598" s="176"/>
    </row>
    <row r="599" spans="4:27">
      <c r="D599" s="315"/>
      <c r="E599" s="316"/>
      <c r="H599" s="256"/>
      <c r="J599" s="256"/>
      <c r="W599" s="317"/>
      <c r="Z599" s="176"/>
      <c r="AA599" s="176"/>
    </row>
    <row r="600" spans="4:27">
      <c r="D600" s="315"/>
      <c r="E600" s="316"/>
      <c r="H600" s="256"/>
      <c r="J600" s="256"/>
      <c r="W600" s="317"/>
      <c r="Z600" s="176"/>
      <c r="AA600" s="176"/>
    </row>
    <row r="601" spans="4:27">
      <c r="D601" s="315"/>
      <c r="E601" s="316"/>
      <c r="H601" s="256"/>
      <c r="J601" s="256"/>
      <c r="W601" s="317"/>
      <c r="Z601" s="176"/>
      <c r="AA601" s="176"/>
    </row>
    <row r="602" spans="4:27">
      <c r="D602" s="315"/>
      <c r="E602" s="316"/>
      <c r="H602" s="256"/>
      <c r="J602" s="256"/>
      <c r="W602" s="317"/>
      <c r="Z602" s="176"/>
      <c r="AA602" s="176"/>
    </row>
    <row r="603" spans="4:27">
      <c r="D603" s="315"/>
      <c r="E603" s="316"/>
      <c r="H603" s="256"/>
      <c r="J603" s="256"/>
      <c r="W603" s="317"/>
      <c r="Z603" s="176"/>
      <c r="AA603" s="176"/>
    </row>
    <row r="604" spans="4:27">
      <c r="D604" s="315"/>
      <c r="E604" s="316"/>
      <c r="H604" s="256"/>
      <c r="J604" s="256"/>
      <c r="W604" s="317"/>
      <c r="Z604" s="176"/>
      <c r="AA604" s="176"/>
    </row>
    <row r="605" spans="4:27">
      <c r="D605" s="315"/>
      <c r="E605" s="316"/>
      <c r="H605" s="256"/>
      <c r="J605" s="256"/>
      <c r="W605" s="317"/>
      <c r="Z605" s="176"/>
      <c r="AA605" s="176"/>
    </row>
    <row r="606" spans="4:27">
      <c r="D606" s="315"/>
      <c r="E606" s="316"/>
      <c r="H606" s="256"/>
      <c r="J606" s="256"/>
      <c r="W606" s="317"/>
      <c r="Z606" s="176"/>
      <c r="AA606" s="176"/>
    </row>
    <row r="607" spans="4:27">
      <c r="D607" s="315"/>
      <c r="E607" s="316"/>
      <c r="H607" s="256"/>
      <c r="J607" s="256"/>
      <c r="W607" s="317"/>
      <c r="Z607" s="176"/>
      <c r="AA607" s="176"/>
    </row>
    <row r="608" spans="4:27">
      <c r="D608" s="315"/>
      <c r="E608" s="316"/>
      <c r="H608" s="256"/>
      <c r="J608" s="256"/>
      <c r="W608" s="317"/>
      <c r="Z608" s="176"/>
      <c r="AA608" s="176"/>
    </row>
    <row r="609" spans="4:27">
      <c r="D609" s="315"/>
      <c r="E609" s="316"/>
      <c r="H609" s="256"/>
      <c r="J609" s="256"/>
      <c r="W609" s="317"/>
      <c r="Z609" s="176"/>
      <c r="AA609" s="176"/>
    </row>
    <row r="610" spans="4:27">
      <c r="D610" s="315"/>
      <c r="E610" s="316"/>
      <c r="H610" s="256"/>
      <c r="J610" s="256"/>
      <c r="W610" s="317"/>
      <c r="Z610" s="176"/>
      <c r="AA610" s="176"/>
    </row>
    <row r="611" spans="4:27">
      <c r="D611" s="315"/>
      <c r="E611" s="316"/>
      <c r="H611" s="256"/>
      <c r="J611" s="256"/>
      <c r="W611" s="317"/>
      <c r="Z611" s="176"/>
      <c r="AA611" s="176"/>
    </row>
    <row r="612" spans="4:27">
      <c r="D612" s="315"/>
      <c r="E612" s="316"/>
      <c r="H612" s="256"/>
      <c r="J612" s="256"/>
      <c r="W612" s="317"/>
      <c r="Z612" s="176"/>
      <c r="AA612" s="176"/>
    </row>
    <row r="613" spans="4:27">
      <c r="D613" s="315"/>
      <c r="E613" s="316"/>
      <c r="H613" s="256"/>
      <c r="J613" s="256"/>
      <c r="W613" s="317"/>
      <c r="Z613" s="176"/>
      <c r="AA613" s="176"/>
    </row>
    <row r="614" spans="4:27">
      <c r="D614" s="315"/>
      <c r="E614" s="316"/>
      <c r="H614" s="256"/>
      <c r="J614" s="256"/>
      <c r="W614" s="317"/>
      <c r="Z614" s="176"/>
      <c r="AA614" s="176"/>
    </row>
    <row r="615" spans="4:27">
      <c r="D615" s="315"/>
      <c r="E615" s="316"/>
      <c r="H615" s="256"/>
      <c r="J615" s="256"/>
      <c r="W615" s="317"/>
      <c r="Z615" s="176"/>
      <c r="AA615" s="176"/>
    </row>
    <row r="616" spans="4:27">
      <c r="D616" s="315"/>
      <c r="E616" s="316"/>
      <c r="H616" s="256"/>
      <c r="J616" s="256"/>
      <c r="W616" s="317"/>
      <c r="Z616" s="176"/>
      <c r="AA616" s="176"/>
    </row>
    <row r="617" spans="4:27">
      <c r="D617" s="315"/>
      <c r="E617" s="316"/>
      <c r="H617" s="256"/>
      <c r="J617" s="256"/>
      <c r="W617" s="317"/>
      <c r="Z617" s="176"/>
      <c r="AA617" s="176"/>
    </row>
    <row r="618" spans="4:27">
      <c r="D618" s="315"/>
      <c r="E618" s="316"/>
      <c r="H618" s="256"/>
      <c r="J618" s="256"/>
      <c r="W618" s="317"/>
      <c r="Z618" s="176"/>
      <c r="AA618" s="176"/>
    </row>
    <row r="619" spans="4:27">
      <c r="D619" s="315"/>
      <c r="E619" s="316"/>
      <c r="H619" s="256"/>
      <c r="J619" s="256"/>
      <c r="W619" s="317"/>
      <c r="Z619" s="176"/>
      <c r="AA619" s="176"/>
    </row>
    <row r="620" spans="4:27">
      <c r="D620" s="315"/>
      <c r="E620" s="316"/>
      <c r="H620" s="256"/>
      <c r="J620" s="256"/>
      <c r="W620" s="317"/>
      <c r="Z620" s="176"/>
      <c r="AA620" s="176"/>
    </row>
    <row r="621" spans="4:27">
      <c r="D621" s="315"/>
      <c r="E621" s="316"/>
      <c r="H621" s="256"/>
      <c r="J621" s="256"/>
      <c r="W621" s="317"/>
      <c r="Z621" s="176"/>
      <c r="AA621" s="176"/>
    </row>
    <row r="622" spans="4:27">
      <c r="D622" s="315"/>
      <c r="E622" s="316"/>
      <c r="H622" s="256"/>
      <c r="J622" s="256"/>
      <c r="W622" s="317"/>
      <c r="Z622" s="176"/>
      <c r="AA622" s="176"/>
    </row>
    <row r="623" spans="4:27">
      <c r="D623" s="315"/>
      <c r="E623" s="316"/>
      <c r="H623" s="256"/>
      <c r="J623" s="256"/>
      <c r="W623" s="317"/>
      <c r="Z623" s="176"/>
      <c r="AA623" s="176"/>
    </row>
    <row r="624" spans="4:27">
      <c r="D624" s="315"/>
      <c r="E624" s="316"/>
      <c r="H624" s="256"/>
      <c r="J624" s="256"/>
      <c r="W624" s="317"/>
      <c r="Z624" s="176"/>
      <c r="AA624" s="176"/>
    </row>
    <row r="625" spans="4:27">
      <c r="D625" s="315"/>
      <c r="E625" s="316"/>
      <c r="H625" s="256"/>
      <c r="J625" s="256"/>
      <c r="W625" s="317"/>
      <c r="Z625" s="176"/>
      <c r="AA625" s="176"/>
    </row>
    <row r="626" spans="4:27">
      <c r="D626" s="315"/>
      <c r="E626" s="316"/>
      <c r="H626" s="256"/>
      <c r="J626" s="256"/>
      <c r="W626" s="317"/>
      <c r="Z626" s="176"/>
      <c r="AA626" s="176"/>
    </row>
    <row r="627" spans="4:27">
      <c r="D627" s="315"/>
      <c r="E627" s="316"/>
      <c r="H627" s="256"/>
      <c r="J627" s="256"/>
      <c r="W627" s="317"/>
      <c r="Z627" s="176"/>
      <c r="AA627" s="176"/>
    </row>
    <row r="628" spans="4:27">
      <c r="D628" s="315"/>
      <c r="E628" s="316"/>
      <c r="H628" s="256"/>
      <c r="J628" s="256"/>
      <c r="W628" s="317"/>
      <c r="Z628" s="176"/>
      <c r="AA628" s="176"/>
    </row>
    <row r="629" spans="4:27">
      <c r="D629" s="315"/>
      <c r="E629" s="316"/>
      <c r="H629" s="256"/>
      <c r="J629" s="256"/>
      <c r="W629" s="317"/>
      <c r="Z629" s="176"/>
      <c r="AA629" s="176"/>
    </row>
    <row r="630" spans="4:27">
      <c r="D630" s="315"/>
      <c r="E630" s="316"/>
      <c r="H630" s="256"/>
      <c r="J630" s="256"/>
      <c r="W630" s="317"/>
      <c r="Z630" s="176"/>
      <c r="AA630" s="176"/>
    </row>
    <row r="631" spans="4:27">
      <c r="D631" s="315"/>
      <c r="E631" s="316"/>
      <c r="H631" s="256"/>
      <c r="J631" s="256"/>
      <c r="W631" s="317"/>
      <c r="Z631" s="176"/>
      <c r="AA631" s="176"/>
    </row>
    <row r="632" spans="4:27">
      <c r="D632" s="315"/>
      <c r="E632" s="316"/>
      <c r="H632" s="256"/>
      <c r="J632" s="256"/>
      <c r="W632" s="317"/>
      <c r="Z632" s="176"/>
      <c r="AA632" s="176"/>
    </row>
    <row r="633" spans="4:27">
      <c r="D633" s="315"/>
      <c r="E633" s="316"/>
      <c r="H633" s="256"/>
      <c r="J633" s="256"/>
      <c r="W633" s="317"/>
      <c r="Z633" s="176"/>
      <c r="AA633" s="176"/>
    </row>
    <row r="634" spans="4:27">
      <c r="D634" s="315"/>
      <c r="E634" s="316"/>
      <c r="H634" s="256"/>
      <c r="J634" s="256"/>
      <c r="W634" s="317"/>
      <c r="Z634" s="176"/>
      <c r="AA634" s="176"/>
    </row>
    <row r="635" spans="4:27">
      <c r="D635" s="315"/>
      <c r="E635" s="316"/>
      <c r="H635" s="256"/>
      <c r="J635" s="256"/>
      <c r="W635" s="317"/>
      <c r="Z635" s="176"/>
      <c r="AA635" s="176"/>
    </row>
    <row r="636" spans="4:27">
      <c r="D636" s="315"/>
      <c r="E636" s="316"/>
      <c r="H636" s="256"/>
      <c r="J636" s="256"/>
      <c r="W636" s="317"/>
      <c r="Z636" s="176"/>
      <c r="AA636" s="176"/>
    </row>
    <row r="637" spans="4:27">
      <c r="D637" s="315"/>
      <c r="E637" s="316"/>
      <c r="H637" s="256"/>
      <c r="J637" s="256"/>
      <c r="W637" s="317"/>
      <c r="Z637" s="176"/>
      <c r="AA637" s="176"/>
    </row>
    <row r="638" spans="4:27">
      <c r="D638" s="315"/>
      <c r="E638" s="316"/>
      <c r="H638" s="256"/>
      <c r="J638" s="256"/>
      <c r="W638" s="317"/>
      <c r="Z638" s="176"/>
      <c r="AA638" s="176"/>
    </row>
    <row r="639" spans="4:27">
      <c r="D639" s="315"/>
      <c r="E639" s="316"/>
      <c r="H639" s="256"/>
      <c r="J639" s="256"/>
      <c r="W639" s="317"/>
      <c r="Z639" s="176"/>
      <c r="AA639" s="176"/>
    </row>
    <row r="640" spans="4:27">
      <c r="D640" s="315"/>
      <c r="E640" s="316"/>
      <c r="H640" s="256"/>
      <c r="J640" s="256"/>
      <c r="W640" s="317"/>
      <c r="Z640" s="176"/>
      <c r="AA640" s="176"/>
    </row>
    <row r="641" spans="4:27">
      <c r="D641" s="315"/>
      <c r="E641" s="316"/>
      <c r="H641" s="256"/>
      <c r="J641" s="256"/>
      <c r="W641" s="317"/>
      <c r="Z641" s="176"/>
      <c r="AA641" s="176"/>
    </row>
    <row r="642" spans="4:27">
      <c r="D642" s="315"/>
      <c r="E642" s="316"/>
      <c r="H642" s="256"/>
      <c r="J642" s="256"/>
      <c r="W642" s="317"/>
      <c r="Z642" s="176"/>
      <c r="AA642" s="176"/>
    </row>
    <row r="643" spans="4:27">
      <c r="D643" s="315"/>
      <c r="E643" s="316"/>
      <c r="H643" s="256"/>
      <c r="J643" s="256"/>
      <c r="W643" s="317"/>
      <c r="Z643" s="176"/>
      <c r="AA643" s="176"/>
    </row>
    <row r="644" spans="4:27">
      <c r="D644" s="315"/>
      <c r="E644" s="316"/>
      <c r="H644" s="256"/>
      <c r="J644" s="256"/>
      <c r="W644" s="317"/>
      <c r="Z644" s="176"/>
      <c r="AA644" s="176"/>
    </row>
    <row r="645" spans="4:27">
      <c r="D645" s="315"/>
      <c r="E645" s="316"/>
      <c r="H645" s="256"/>
      <c r="J645" s="256"/>
      <c r="W645" s="317"/>
      <c r="Z645" s="176"/>
      <c r="AA645" s="176"/>
    </row>
    <row r="646" spans="4:27">
      <c r="D646" s="315"/>
      <c r="E646" s="316"/>
      <c r="H646" s="256"/>
      <c r="J646" s="256"/>
      <c r="W646" s="317"/>
      <c r="Z646" s="176"/>
      <c r="AA646" s="176"/>
    </row>
    <row r="647" spans="4:27">
      <c r="D647" s="315"/>
      <c r="E647" s="316"/>
      <c r="H647" s="256"/>
      <c r="J647" s="256"/>
      <c r="W647" s="317"/>
      <c r="Z647" s="176"/>
      <c r="AA647" s="176"/>
    </row>
    <row r="648" spans="4:27">
      <c r="D648" s="315"/>
      <c r="E648" s="316"/>
      <c r="H648" s="256"/>
      <c r="J648" s="256"/>
      <c r="W648" s="317"/>
      <c r="Z648" s="176"/>
      <c r="AA648" s="176"/>
    </row>
    <row r="649" spans="4:27">
      <c r="D649" s="315"/>
      <c r="E649" s="316"/>
      <c r="H649" s="256"/>
      <c r="J649" s="256"/>
      <c r="W649" s="317"/>
      <c r="Z649" s="176"/>
      <c r="AA649" s="176"/>
    </row>
    <row r="650" spans="4:27">
      <c r="D650" s="315"/>
      <c r="E650" s="316"/>
      <c r="H650" s="256"/>
      <c r="J650" s="256"/>
      <c r="W650" s="317"/>
      <c r="Z650" s="176"/>
      <c r="AA650" s="176"/>
    </row>
    <row r="651" spans="4:27">
      <c r="D651" s="315"/>
      <c r="E651" s="316"/>
      <c r="H651" s="256"/>
      <c r="J651" s="256"/>
      <c r="W651" s="317"/>
      <c r="Z651" s="176"/>
      <c r="AA651" s="176"/>
    </row>
    <row r="652" spans="4:27">
      <c r="D652" s="315"/>
      <c r="E652" s="316"/>
      <c r="H652" s="256"/>
      <c r="J652" s="256"/>
      <c r="W652" s="317"/>
      <c r="Z652" s="176"/>
      <c r="AA652" s="176"/>
    </row>
    <row r="653" spans="4:27">
      <c r="D653" s="315"/>
      <c r="E653" s="316"/>
      <c r="H653" s="256"/>
      <c r="J653" s="256"/>
      <c r="W653" s="317"/>
      <c r="Z653" s="176"/>
      <c r="AA653" s="176"/>
    </row>
    <row r="654" spans="4:27">
      <c r="D654" s="315"/>
      <c r="E654" s="316"/>
      <c r="H654" s="256"/>
      <c r="J654" s="256"/>
      <c r="W654" s="317"/>
      <c r="Z654" s="176"/>
      <c r="AA654" s="176"/>
    </row>
    <row r="655" spans="4:27">
      <c r="D655" s="315"/>
      <c r="E655" s="316"/>
      <c r="H655" s="256"/>
      <c r="J655" s="256"/>
      <c r="W655" s="317"/>
      <c r="Z655" s="176"/>
      <c r="AA655" s="176"/>
    </row>
    <row r="656" spans="4:27">
      <c r="D656" s="315"/>
      <c r="E656" s="316"/>
      <c r="H656" s="256"/>
      <c r="J656" s="256"/>
      <c r="W656" s="317"/>
      <c r="Z656" s="176"/>
      <c r="AA656" s="176"/>
    </row>
    <row r="657" spans="4:27">
      <c r="D657" s="315"/>
      <c r="E657" s="316"/>
      <c r="H657" s="256"/>
      <c r="J657" s="256"/>
      <c r="W657" s="317"/>
      <c r="Z657" s="176"/>
      <c r="AA657" s="176"/>
    </row>
    <row r="658" spans="4:27">
      <c r="D658" s="315"/>
      <c r="E658" s="316"/>
      <c r="H658" s="256"/>
      <c r="J658" s="256"/>
      <c r="W658" s="317"/>
      <c r="Z658" s="176"/>
      <c r="AA658" s="176"/>
    </row>
    <row r="659" spans="4:27">
      <c r="D659" s="315"/>
      <c r="E659" s="316"/>
      <c r="H659" s="256"/>
      <c r="J659" s="256"/>
      <c r="W659" s="317"/>
      <c r="Z659" s="176"/>
      <c r="AA659" s="176"/>
    </row>
    <row r="660" spans="4:27">
      <c r="D660" s="315"/>
      <c r="E660" s="316"/>
      <c r="H660" s="256"/>
      <c r="J660" s="256"/>
      <c r="W660" s="317"/>
      <c r="Z660" s="176"/>
      <c r="AA660" s="176"/>
    </row>
    <row r="661" spans="4:27">
      <c r="D661" s="315"/>
      <c r="E661" s="316"/>
      <c r="H661" s="256"/>
      <c r="J661" s="256"/>
      <c r="W661" s="317"/>
      <c r="Z661" s="176"/>
      <c r="AA661" s="176"/>
    </row>
    <row r="662" spans="4:27">
      <c r="D662" s="315"/>
      <c r="E662" s="316"/>
      <c r="H662" s="256"/>
      <c r="J662" s="256"/>
      <c r="W662" s="317"/>
      <c r="Z662" s="176"/>
      <c r="AA662" s="176"/>
    </row>
    <row r="663" spans="4:27">
      <c r="D663" s="315"/>
      <c r="E663" s="316"/>
      <c r="H663" s="256"/>
      <c r="J663" s="256"/>
      <c r="W663" s="317"/>
      <c r="Z663" s="176"/>
      <c r="AA663" s="176"/>
    </row>
    <row r="664" spans="4:27">
      <c r="D664" s="315"/>
      <c r="E664" s="316"/>
      <c r="H664" s="256"/>
      <c r="J664" s="256"/>
      <c r="W664" s="317"/>
      <c r="Z664" s="176"/>
      <c r="AA664" s="176"/>
    </row>
    <row r="665" spans="4:27">
      <c r="D665" s="315"/>
      <c r="E665" s="316"/>
      <c r="H665" s="256"/>
      <c r="J665" s="256"/>
      <c r="W665" s="317"/>
      <c r="Z665" s="176"/>
      <c r="AA665" s="176"/>
    </row>
    <row r="666" spans="4:27">
      <c r="D666" s="315"/>
      <c r="E666" s="316"/>
      <c r="H666" s="256"/>
      <c r="J666" s="256"/>
      <c r="W666" s="317"/>
      <c r="Z666" s="176"/>
      <c r="AA666" s="176"/>
    </row>
    <row r="667" spans="4:27">
      <c r="D667" s="315"/>
      <c r="E667" s="316"/>
      <c r="H667" s="256"/>
      <c r="J667" s="256"/>
      <c r="W667" s="317"/>
      <c r="Z667" s="176"/>
      <c r="AA667" s="176"/>
    </row>
    <row r="668" spans="4:27">
      <c r="D668" s="315"/>
      <c r="E668" s="316"/>
      <c r="H668" s="256"/>
      <c r="J668" s="256"/>
      <c r="W668" s="317"/>
      <c r="Z668" s="176"/>
      <c r="AA668" s="176"/>
    </row>
    <row r="669" spans="4:27">
      <c r="D669" s="315"/>
      <c r="E669" s="316"/>
      <c r="H669" s="256"/>
      <c r="J669" s="256"/>
      <c r="W669" s="317"/>
      <c r="Z669" s="176"/>
      <c r="AA669" s="176"/>
    </row>
    <row r="670" spans="4:27">
      <c r="D670" s="315"/>
      <c r="E670" s="316"/>
      <c r="H670" s="256"/>
      <c r="J670" s="256"/>
      <c r="W670" s="317"/>
      <c r="Z670" s="176"/>
      <c r="AA670" s="176"/>
    </row>
    <row r="671" spans="4:27">
      <c r="D671" s="315"/>
      <c r="E671" s="316"/>
      <c r="H671" s="256"/>
      <c r="J671" s="256"/>
      <c r="W671" s="317"/>
      <c r="Z671" s="176"/>
      <c r="AA671" s="176"/>
    </row>
    <row r="672" spans="4:27">
      <c r="D672" s="315"/>
      <c r="E672" s="316"/>
      <c r="H672" s="256"/>
      <c r="J672" s="256"/>
      <c r="W672" s="317"/>
      <c r="Z672" s="176"/>
      <c r="AA672" s="176"/>
    </row>
    <row r="673" spans="4:27">
      <c r="D673" s="315"/>
      <c r="E673" s="316"/>
      <c r="H673" s="256"/>
      <c r="J673" s="256"/>
      <c r="W673" s="317"/>
      <c r="Z673" s="176"/>
      <c r="AA673" s="176"/>
    </row>
    <row r="674" spans="4:27">
      <c r="D674" s="315"/>
      <c r="E674" s="316"/>
      <c r="H674" s="256"/>
      <c r="J674" s="256"/>
      <c r="W674" s="317"/>
      <c r="Z674" s="176"/>
      <c r="AA674" s="176"/>
    </row>
    <row r="675" spans="4:27">
      <c r="D675" s="315"/>
      <c r="E675" s="316"/>
      <c r="H675" s="256"/>
      <c r="J675" s="256"/>
      <c r="W675" s="317"/>
      <c r="Z675" s="176"/>
      <c r="AA675" s="176"/>
    </row>
    <row r="676" spans="4:27">
      <c r="D676" s="315"/>
      <c r="E676" s="316"/>
      <c r="H676" s="256"/>
      <c r="J676" s="256"/>
      <c r="W676" s="317"/>
      <c r="Z676" s="176"/>
      <c r="AA676" s="176"/>
    </row>
    <row r="677" spans="4:27">
      <c r="D677" s="315"/>
      <c r="E677" s="316"/>
      <c r="H677" s="256"/>
      <c r="J677" s="256"/>
      <c r="W677" s="317"/>
      <c r="Z677" s="176"/>
      <c r="AA677" s="176"/>
    </row>
    <row r="678" spans="4:27">
      <c r="D678" s="315"/>
      <c r="E678" s="316"/>
      <c r="H678" s="256"/>
      <c r="J678" s="256"/>
      <c r="W678" s="317"/>
      <c r="Z678" s="176"/>
      <c r="AA678" s="176"/>
    </row>
    <row r="679" spans="4:27">
      <c r="D679" s="315"/>
      <c r="E679" s="316"/>
      <c r="H679" s="256"/>
      <c r="J679" s="256"/>
      <c r="W679" s="317"/>
      <c r="Z679" s="176"/>
      <c r="AA679" s="176"/>
    </row>
    <row r="680" spans="4:27">
      <c r="D680" s="315"/>
      <c r="E680" s="316"/>
      <c r="H680" s="256"/>
      <c r="J680" s="256"/>
      <c r="W680" s="317"/>
      <c r="Z680" s="176"/>
      <c r="AA680" s="176"/>
    </row>
    <row r="681" spans="4:27">
      <c r="D681" s="315"/>
      <c r="E681" s="316"/>
      <c r="H681" s="256"/>
      <c r="J681" s="256"/>
      <c r="W681" s="317"/>
      <c r="Z681" s="176"/>
      <c r="AA681" s="176"/>
    </row>
    <row r="682" spans="4:27">
      <c r="D682" s="315"/>
      <c r="E682" s="316"/>
      <c r="H682" s="256"/>
      <c r="J682" s="256"/>
      <c r="W682" s="317"/>
      <c r="Z682" s="176"/>
      <c r="AA682" s="176"/>
    </row>
    <row r="683" spans="4:27">
      <c r="D683" s="315"/>
      <c r="E683" s="316"/>
      <c r="H683" s="256"/>
      <c r="J683" s="256"/>
      <c r="W683" s="317"/>
      <c r="Z683" s="176"/>
      <c r="AA683" s="176"/>
    </row>
    <row r="684" spans="4:27">
      <c r="D684" s="315"/>
      <c r="E684" s="316"/>
      <c r="H684" s="256"/>
      <c r="J684" s="256"/>
      <c r="W684" s="317"/>
      <c r="Z684" s="176"/>
      <c r="AA684" s="176"/>
    </row>
    <row r="685" spans="4:27">
      <c r="D685" s="315"/>
      <c r="E685" s="316"/>
      <c r="H685" s="256"/>
      <c r="J685" s="256"/>
      <c r="W685" s="317"/>
      <c r="Z685" s="176"/>
      <c r="AA685" s="176"/>
    </row>
    <row r="686" spans="4:27">
      <c r="D686" s="315"/>
      <c r="E686" s="316"/>
      <c r="H686" s="256"/>
      <c r="J686" s="256"/>
      <c r="W686" s="317"/>
      <c r="Z686" s="176"/>
      <c r="AA686" s="176"/>
    </row>
    <row r="687" spans="4:27">
      <c r="D687" s="315"/>
      <c r="E687" s="316"/>
      <c r="H687" s="256"/>
      <c r="J687" s="256"/>
      <c r="W687" s="317"/>
      <c r="Z687" s="176"/>
      <c r="AA687" s="176"/>
    </row>
    <row r="688" spans="4:27">
      <c r="D688" s="315"/>
      <c r="E688" s="316"/>
      <c r="H688" s="256"/>
      <c r="J688" s="256"/>
      <c r="W688" s="317"/>
      <c r="Z688" s="176"/>
      <c r="AA688" s="176"/>
    </row>
    <row r="689" spans="4:27">
      <c r="D689" s="315"/>
      <c r="E689" s="316"/>
      <c r="H689" s="256"/>
      <c r="J689" s="256"/>
      <c r="W689" s="317"/>
      <c r="Z689" s="176"/>
      <c r="AA689" s="176"/>
    </row>
    <row r="690" spans="4:27">
      <c r="D690" s="315"/>
      <c r="E690" s="316"/>
      <c r="H690" s="256"/>
      <c r="J690" s="256"/>
      <c r="W690" s="317"/>
      <c r="Z690" s="176"/>
      <c r="AA690" s="176"/>
    </row>
    <row r="691" spans="4:27">
      <c r="D691" s="315"/>
      <c r="E691" s="316"/>
      <c r="H691" s="256"/>
      <c r="J691" s="256"/>
      <c r="W691" s="317"/>
      <c r="Z691" s="176"/>
      <c r="AA691" s="176"/>
    </row>
    <row r="692" spans="4:27">
      <c r="D692" s="315"/>
      <c r="E692" s="316"/>
      <c r="H692" s="256"/>
      <c r="J692" s="256"/>
      <c r="W692" s="317"/>
      <c r="Z692" s="176"/>
      <c r="AA692" s="176"/>
    </row>
    <row r="693" spans="4:27">
      <c r="D693" s="315"/>
      <c r="E693" s="316"/>
      <c r="H693" s="256"/>
      <c r="J693" s="256"/>
      <c r="W693" s="317"/>
      <c r="Z693" s="176"/>
      <c r="AA693" s="176"/>
    </row>
    <row r="694" spans="4:27">
      <c r="D694" s="315"/>
      <c r="E694" s="316"/>
      <c r="H694" s="256"/>
      <c r="J694" s="256"/>
      <c r="W694" s="317"/>
      <c r="Z694" s="176"/>
      <c r="AA694" s="176"/>
    </row>
    <row r="695" spans="4:27">
      <c r="D695" s="315"/>
      <c r="E695" s="316"/>
      <c r="H695" s="256"/>
      <c r="J695" s="256"/>
      <c r="W695" s="317"/>
      <c r="Z695" s="176"/>
      <c r="AA695" s="176"/>
    </row>
    <row r="696" spans="4:27">
      <c r="D696" s="315"/>
      <c r="E696" s="316"/>
      <c r="H696" s="256"/>
      <c r="J696" s="256"/>
      <c r="W696" s="317"/>
      <c r="Z696" s="176"/>
      <c r="AA696" s="176"/>
    </row>
    <row r="697" spans="4:27">
      <c r="D697" s="315"/>
      <c r="E697" s="316"/>
      <c r="H697" s="256"/>
      <c r="J697" s="256"/>
      <c r="W697" s="317"/>
      <c r="Z697" s="176"/>
      <c r="AA697" s="176"/>
    </row>
    <row r="698" spans="4:27">
      <c r="D698" s="315"/>
      <c r="E698" s="316"/>
      <c r="H698" s="256"/>
      <c r="J698" s="256"/>
      <c r="W698" s="317"/>
      <c r="Z698" s="176"/>
      <c r="AA698" s="176"/>
    </row>
    <row r="699" spans="4:27">
      <c r="D699" s="315"/>
      <c r="E699" s="316"/>
      <c r="H699" s="256"/>
      <c r="J699" s="256"/>
      <c r="W699" s="317"/>
      <c r="Z699" s="176"/>
      <c r="AA699" s="176"/>
    </row>
    <row r="700" spans="4:27">
      <c r="D700" s="315"/>
      <c r="E700" s="316"/>
      <c r="H700" s="256"/>
      <c r="J700" s="256"/>
      <c r="W700" s="317"/>
      <c r="Z700" s="176"/>
      <c r="AA700" s="176"/>
    </row>
    <row r="701" spans="4:27">
      <c r="D701" s="315"/>
      <c r="E701" s="316"/>
      <c r="H701" s="256"/>
      <c r="J701" s="256"/>
      <c r="W701" s="317"/>
      <c r="Z701" s="176"/>
      <c r="AA701" s="176"/>
    </row>
    <row r="702" spans="4:27">
      <c r="D702" s="315"/>
      <c r="E702" s="316"/>
      <c r="H702" s="256"/>
      <c r="J702" s="256"/>
      <c r="W702" s="317"/>
      <c r="Z702" s="176"/>
      <c r="AA702" s="176"/>
    </row>
    <row r="703" spans="4:27">
      <c r="D703" s="315"/>
      <c r="E703" s="316"/>
      <c r="H703" s="256"/>
      <c r="J703" s="256"/>
      <c r="W703" s="317"/>
      <c r="Z703" s="176"/>
      <c r="AA703" s="176"/>
    </row>
    <row r="704" spans="4:27">
      <c r="D704" s="315"/>
      <c r="E704" s="316"/>
      <c r="H704" s="256"/>
      <c r="J704" s="256"/>
      <c r="W704" s="317"/>
      <c r="Z704" s="176"/>
      <c r="AA704" s="176"/>
    </row>
    <row r="705" spans="4:27">
      <c r="D705" s="315"/>
      <c r="E705" s="316"/>
      <c r="H705" s="256"/>
      <c r="J705" s="256"/>
      <c r="W705" s="317"/>
      <c r="Z705" s="176"/>
      <c r="AA705" s="176"/>
    </row>
    <row r="706" spans="4:27">
      <c r="D706" s="315"/>
      <c r="E706" s="316"/>
      <c r="H706" s="256"/>
      <c r="J706" s="256"/>
      <c r="W706" s="317"/>
      <c r="Z706" s="176"/>
      <c r="AA706" s="176"/>
    </row>
    <row r="707" spans="4:27">
      <c r="D707" s="315"/>
      <c r="E707" s="316"/>
      <c r="H707" s="256"/>
      <c r="J707" s="256"/>
      <c r="W707" s="317"/>
      <c r="Z707" s="176"/>
      <c r="AA707" s="176"/>
    </row>
    <row r="708" spans="4:27">
      <c r="D708" s="315"/>
      <c r="E708" s="316"/>
      <c r="H708" s="256"/>
      <c r="J708" s="256"/>
      <c r="W708" s="317"/>
      <c r="Z708" s="176"/>
      <c r="AA708" s="176"/>
    </row>
    <row r="709" spans="4:27">
      <c r="D709" s="315"/>
      <c r="E709" s="316"/>
      <c r="H709" s="256"/>
      <c r="J709" s="256"/>
      <c r="W709" s="317"/>
      <c r="Z709" s="176"/>
      <c r="AA709" s="176"/>
    </row>
    <row r="710" spans="4:27">
      <c r="D710" s="315"/>
      <c r="E710" s="316"/>
      <c r="H710" s="256"/>
      <c r="J710" s="256"/>
      <c r="W710" s="317"/>
      <c r="Z710" s="176"/>
      <c r="AA710" s="176"/>
    </row>
    <row r="711" spans="4:27">
      <c r="D711" s="315"/>
      <c r="E711" s="316"/>
      <c r="H711" s="256"/>
      <c r="J711" s="256"/>
      <c r="W711" s="317"/>
      <c r="Z711" s="176"/>
      <c r="AA711" s="176"/>
    </row>
    <row r="712" spans="4:27">
      <c r="D712" s="315"/>
      <c r="E712" s="316"/>
      <c r="H712" s="256"/>
      <c r="J712" s="256"/>
      <c r="W712" s="317"/>
      <c r="Z712" s="176"/>
      <c r="AA712" s="176"/>
    </row>
    <row r="713" spans="4:27">
      <c r="D713" s="315"/>
      <c r="E713" s="316"/>
      <c r="H713" s="256"/>
      <c r="J713" s="256"/>
      <c r="W713" s="317"/>
      <c r="Z713" s="176"/>
      <c r="AA713" s="176"/>
    </row>
    <row r="714" spans="4:27">
      <c r="D714" s="315"/>
      <c r="E714" s="316"/>
      <c r="H714" s="256"/>
      <c r="J714" s="256"/>
      <c r="W714" s="317"/>
      <c r="Z714" s="176"/>
      <c r="AA714" s="176"/>
    </row>
    <row r="715" spans="4:27">
      <c r="D715" s="315"/>
      <c r="E715" s="316"/>
      <c r="H715" s="256"/>
      <c r="J715" s="256"/>
      <c r="W715" s="317"/>
      <c r="Z715" s="176"/>
      <c r="AA715" s="176"/>
    </row>
    <row r="716" spans="4:27">
      <c r="D716" s="315"/>
      <c r="E716" s="316"/>
      <c r="H716" s="256"/>
      <c r="J716" s="256"/>
      <c r="W716" s="317"/>
      <c r="Z716" s="176"/>
      <c r="AA716" s="176"/>
    </row>
    <row r="717" spans="4:27">
      <c r="D717" s="315"/>
      <c r="E717" s="316"/>
      <c r="H717" s="256"/>
      <c r="J717" s="256"/>
      <c r="W717" s="317"/>
      <c r="Z717" s="176"/>
      <c r="AA717" s="176"/>
    </row>
    <row r="718" spans="4:27">
      <c r="D718" s="315"/>
      <c r="E718" s="316"/>
      <c r="H718" s="256"/>
      <c r="J718" s="256"/>
      <c r="W718" s="317"/>
      <c r="Z718" s="176"/>
      <c r="AA718" s="176"/>
    </row>
    <row r="719" spans="4:27">
      <c r="D719" s="315"/>
      <c r="E719" s="316"/>
      <c r="H719" s="256"/>
      <c r="J719" s="256"/>
      <c r="W719" s="317"/>
      <c r="Z719" s="176"/>
      <c r="AA719" s="176"/>
    </row>
    <row r="720" spans="4:27">
      <c r="D720" s="315"/>
      <c r="E720" s="316"/>
      <c r="H720" s="256"/>
      <c r="J720" s="256"/>
      <c r="W720" s="317"/>
      <c r="Z720" s="176"/>
      <c r="AA720" s="176"/>
    </row>
    <row r="721" spans="4:27">
      <c r="D721" s="315"/>
      <c r="E721" s="316"/>
      <c r="H721" s="256"/>
      <c r="J721" s="256"/>
      <c r="W721" s="317"/>
      <c r="Z721" s="176"/>
      <c r="AA721" s="176"/>
    </row>
    <row r="722" spans="4:27">
      <c r="D722" s="315"/>
      <c r="E722" s="316"/>
      <c r="H722" s="256"/>
      <c r="J722" s="256"/>
      <c r="W722" s="317"/>
      <c r="Z722" s="176"/>
      <c r="AA722" s="176"/>
    </row>
    <row r="723" spans="4:27">
      <c r="D723" s="315"/>
      <c r="E723" s="316"/>
      <c r="H723" s="256"/>
      <c r="J723" s="256"/>
      <c r="W723" s="317"/>
      <c r="Z723" s="176"/>
      <c r="AA723" s="176"/>
    </row>
    <row r="724" spans="4:27">
      <c r="D724" s="315"/>
      <c r="E724" s="316"/>
      <c r="H724" s="256"/>
      <c r="J724" s="256"/>
      <c r="W724" s="317"/>
      <c r="Z724" s="176"/>
      <c r="AA724" s="176"/>
    </row>
    <row r="725" spans="4:27">
      <c r="D725" s="315"/>
      <c r="E725" s="316"/>
      <c r="H725" s="256"/>
      <c r="J725" s="256"/>
      <c r="W725" s="317"/>
      <c r="Z725" s="176"/>
      <c r="AA725" s="176"/>
    </row>
    <row r="726" spans="4:27">
      <c r="D726" s="315"/>
      <c r="E726" s="316"/>
      <c r="H726" s="256"/>
      <c r="J726" s="256"/>
      <c r="W726" s="317"/>
      <c r="Z726" s="176"/>
      <c r="AA726" s="176"/>
    </row>
    <row r="727" spans="4:27">
      <c r="D727" s="315"/>
      <c r="E727" s="316"/>
      <c r="H727" s="256"/>
      <c r="J727" s="256"/>
      <c r="W727" s="317"/>
      <c r="Z727" s="176"/>
      <c r="AA727" s="176"/>
    </row>
    <row r="728" spans="4:27">
      <c r="D728" s="315"/>
      <c r="E728" s="316"/>
      <c r="H728" s="256"/>
      <c r="J728" s="256"/>
      <c r="W728" s="317"/>
      <c r="Z728" s="176"/>
      <c r="AA728" s="176"/>
    </row>
    <row r="729" spans="4:27">
      <c r="D729" s="315"/>
      <c r="E729" s="316"/>
      <c r="H729" s="256"/>
      <c r="J729" s="256"/>
      <c r="W729" s="317"/>
      <c r="Z729" s="176"/>
      <c r="AA729" s="176"/>
    </row>
    <row r="730" spans="4:27">
      <c r="D730" s="315"/>
      <c r="E730" s="316"/>
      <c r="H730" s="256"/>
      <c r="J730" s="256"/>
      <c r="W730" s="317"/>
      <c r="Z730" s="176"/>
      <c r="AA730" s="176"/>
    </row>
    <row r="731" spans="4:27">
      <c r="D731" s="315"/>
      <c r="E731" s="316"/>
      <c r="H731" s="256"/>
      <c r="J731" s="256"/>
      <c r="W731" s="317"/>
      <c r="Z731" s="176"/>
      <c r="AA731" s="176"/>
    </row>
    <row r="732" spans="4:27">
      <c r="D732" s="315"/>
      <c r="E732" s="316"/>
      <c r="H732" s="256"/>
      <c r="J732" s="256"/>
      <c r="W732" s="317"/>
      <c r="Z732" s="176"/>
      <c r="AA732" s="176"/>
    </row>
    <row r="733" spans="4:27">
      <c r="D733" s="315"/>
      <c r="E733" s="316"/>
      <c r="H733" s="256"/>
      <c r="J733" s="256"/>
      <c r="W733" s="317"/>
      <c r="Z733" s="176"/>
      <c r="AA733" s="176"/>
    </row>
    <row r="734" spans="4:27">
      <c r="D734" s="315"/>
      <c r="E734" s="316"/>
      <c r="H734" s="256"/>
      <c r="J734" s="256"/>
      <c r="W734" s="317"/>
      <c r="Z734" s="176"/>
      <c r="AA734" s="176"/>
    </row>
    <row r="735" spans="4:27">
      <c r="D735" s="315"/>
      <c r="E735" s="316"/>
      <c r="H735" s="256"/>
      <c r="J735" s="256"/>
      <c r="W735" s="317"/>
      <c r="Z735" s="176"/>
      <c r="AA735" s="176"/>
    </row>
    <row r="736" spans="4:27">
      <c r="D736" s="315"/>
      <c r="E736" s="316"/>
      <c r="H736" s="256"/>
      <c r="J736" s="256"/>
      <c r="W736" s="317"/>
      <c r="Z736" s="176"/>
      <c r="AA736" s="176"/>
    </row>
    <row r="737" spans="4:27">
      <c r="D737" s="315"/>
      <c r="E737" s="316"/>
      <c r="H737" s="256"/>
      <c r="J737" s="256"/>
      <c r="W737" s="317"/>
      <c r="Z737" s="176"/>
      <c r="AA737" s="176"/>
    </row>
    <row r="738" spans="4:27">
      <c r="D738" s="315"/>
      <c r="E738" s="316"/>
      <c r="H738" s="256"/>
      <c r="J738" s="256"/>
      <c r="W738" s="317"/>
      <c r="Z738" s="176"/>
      <c r="AA738" s="176"/>
    </row>
    <row r="739" spans="4:27">
      <c r="D739" s="315"/>
      <c r="E739" s="316"/>
      <c r="H739" s="256"/>
      <c r="J739" s="256"/>
      <c r="W739" s="317"/>
      <c r="Z739" s="176"/>
      <c r="AA739" s="176"/>
    </row>
    <row r="740" spans="4:27">
      <c r="D740" s="315"/>
      <c r="E740" s="316"/>
      <c r="H740" s="256"/>
      <c r="J740" s="256"/>
      <c r="W740" s="317"/>
      <c r="Z740" s="176"/>
      <c r="AA740" s="176"/>
    </row>
    <row r="741" spans="4:27">
      <c r="D741" s="315"/>
      <c r="E741" s="316"/>
      <c r="H741" s="256"/>
      <c r="J741" s="256"/>
      <c r="W741" s="317"/>
      <c r="Z741" s="176"/>
      <c r="AA741" s="176"/>
    </row>
    <row r="742" spans="4:27">
      <c r="D742" s="315"/>
      <c r="E742" s="316"/>
      <c r="H742" s="256"/>
      <c r="J742" s="256"/>
      <c r="W742" s="317"/>
      <c r="Z742" s="176"/>
      <c r="AA742" s="176"/>
    </row>
    <row r="743" spans="4:27">
      <c r="D743" s="315"/>
      <c r="E743" s="316"/>
      <c r="H743" s="256"/>
      <c r="J743" s="256"/>
      <c r="W743" s="317"/>
      <c r="Z743" s="176"/>
      <c r="AA743" s="176"/>
    </row>
    <row r="744" spans="4:27">
      <c r="D744" s="315"/>
      <c r="E744" s="316"/>
      <c r="H744" s="256"/>
      <c r="J744" s="256"/>
      <c r="W744" s="317"/>
      <c r="Z744" s="176"/>
      <c r="AA744" s="176"/>
    </row>
    <row r="745" spans="4:27">
      <c r="D745" s="315"/>
      <c r="E745" s="316"/>
      <c r="H745" s="256"/>
      <c r="J745" s="256"/>
      <c r="W745" s="317"/>
      <c r="Z745" s="176"/>
      <c r="AA745" s="176"/>
    </row>
    <row r="746" spans="4:27">
      <c r="D746" s="315"/>
      <c r="E746" s="316"/>
      <c r="H746" s="256"/>
      <c r="J746" s="256"/>
      <c r="W746" s="317"/>
      <c r="Z746" s="176"/>
      <c r="AA746" s="176"/>
    </row>
    <row r="747" spans="4:27">
      <c r="D747" s="315"/>
      <c r="E747" s="316"/>
      <c r="H747" s="256"/>
      <c r="J747" s="256"/>
      <c r="W747" s="317"/>
      <c r="Z747" s="176"/>
      <c r="AA747" s="176"/>
    </row>
    <row r="748" spans="4:27">
      <c r="D748" s="315"/>
      <c r="E748" s="316"/>
      <c r="H748" s="256"/>
      <c r="J748" s="256"/>
      <c r="W748" s="317"/>
      <c r="Z748" s="176"/>
      <c r="AA748" s="176"/>
    </row>
    <row r="749" spans="4:27">
      <c r="D749" s="315"/>
      <c r="E749" s="316"/>
      <c r="H749" s="256"/>
      <c r="J749" s="256"/>
      <c r="W749" s="317"/>
      <c r="Z749" s="176"/>
      <c r="AA749" s="176"/>
    </row>
    <row r="750" spans="4:27">
      <c r="D750" s="315"/>
      <c r="E750" s="316"/>
      <c r="H750" s="256"/>
      <c r="J750" s="256"/>
      <c r="W750" s="317"/>
      <c r="Z750" s="176"/>
      <c r="AA750" s="176"/>
    </row>
    <row r="751" spans="4:27">
      <c r="D751" s="315"/>
      <c r="E751" s="316"/>
      <c r="H751" s="256"/>
      <c r="J751" s="256"/>
      <c r="W751" s="317"/>
      <c r="Z751" s="176"/>
      <c r="AA751" s="176"/>
    </row>
    <row r="752" spans="4:27">
      <c r="D752" s="315"/>
      <c r="E752" s="316"/>
      <c r="H752" s="256"/>
      <c r="J752" s="256"/>
      <c r="W752" s="317"/>
      <c r="Z752" s="176"/>
      <c r="AA752" s="176"/>
    </row>
    <row r="753" spans="4:27">
      <c r="D753" s="315"/>
      <c r="E753" s="316"/>
      <c r="H753" s="256"/>
      <c r="J753" s="256"/>
      <c r="W753" s="317"/>
      <c r="Z753" s="176"/>
      <c r="AA753" s="176"/>
    </row>
    <row r="754" spans="4:27">
      <c r="D754" s="315"/>
      <c r="E754" s="316"/>
      <c r="H754" s="256"/>
      <c r="J754" s="256"/>
      <c r="W754" s="317"/>
      <c r="Z754" s="176"/>
      <c r="AA754" s="176"/>
    </row>
    <row r="755" spans="4:27">
      <c r="D755" s="315"/>
      <c r="E755" s="316"/>
      <c r="H755" s="256"/>
      <c r="J755" s="256"/>
      <c r="W755" s="317"/>
      <c r="Z755" s="176"/>
      <c r="AA755" s="176"/>
    </row>
    <row r="756" spans="4:27">
      <c r="D756" s="315"/>
      <c r="E756" s="316"/>
      <c r="H756" s="256"/>
      <c r="J756" s="256"/>
      <c r="W756" s="317"/>
      <c r="Z756" s="176"/>
      <c r="AA756" s="176"/>
    </row>
    <row r="757" spans="4:27">
      <c r="D757" s="315"/>
      <c r="E757" s="316"/>
      <c r="H757" s="256"/>
      <c r="J757" s="256"/>
      <c r="W757" s="317"/>
      <c r="Z757" s="176"/>
      <c r="AA757" s="176"/>
    </row>
    <row r="758" spans="4:27">
      <c r="D758" s="315"/>
      <c r="E758" s="316"/>
      <c r="H758" s="256"/>
      <c r="J758" s="256"/>
      <c r="W758" s="317"/>
      <c r="Z758" s="176"/>
      <c r="AA758" s="176"/>
    </row>
    <row r="759" spans="4:27">
      <c r="D759" s="315"/>
      <c r="E759" s="316"/>
      <c r="H759" s="256"/>
      <c r="J759" s="256"/>
      <c r="W759" s="317"/>
      <c r="Z759" s="176"/>
      <c r="AA759" s="176"/>
    </row>
    <row r="760" spans="4:27">
      <c r="D760" s="315"/>
      <c r="E760" s="316"/>
      <c r="H760" s="256"/>
      <c r="J760" s="256"/>
      <c r="W760" s="317"/>
      <c r="Z760" s="176"/>
      <c r="AA760" s="176"/>
    </row>
    <row r="761" spans="4:27">
      <c r="D761" s="315"/>
      <c r="E761" s="316"/>
      <c r="H761" s="256"/>
      <c r="J761" s="256"/>
      <c r="W761" s="317"/>
      <c r="Z761" s="176"/>
      <c r="AA761" s="176"/>
    </row>
    <row r="762" spans="4:27">
      <c r="D762" s="315"/>
      <c r="E762" s="316"/>
      <c r="H762" s="256"/>
      <c r="J762" s="256"/>
      <c r="W762" s="317"/>
      <c r="Z762" s="176"/>
      <c r="AA762" s="176"/>
    </row>
    <row r="763" spans="4:27">
      <c r="D763" s="315"/>
      <c r="E763" s="316"/>
      <c r="H763" s="256"/>
      <c r="J763" s="256"/>
      <c r="W763" s="317"/>
      <c r="Z763" s="176"/>
      <c r="AA763" s="176"/>
    </row>
    <row r="764" spans="4:27">
      <c r="D764" s="315"/>
      <c r="E764" s="316"/>
      <c r="H764" s="256"/>
      <c r="J764" s="256"/>
      <c r="W764" s="317"/>
      <c r="Z764" s="176"/>
      <c r="AA764" s="176"/>
    </row>
    <row r="765" spans="4:27">
      <c r="D765" s="315"/>
      <c r="E765" s="316"/>
      <c r="H765" s="256"/>
      <c r="J765" s="256"/>
      <c r="W765" s="317"/>
      <c r="Z765" s="176"/>
      <c r="AA765" s="176"/>
    </row>
    <row r="766" spans="4:27">
      <c r="D766" s="315"/>
      <c r="E766" s="316"/>
      <c r="H766" s="256"/>
      <c r="J766" s="256"/>
      <c r="W766" s="317"/>
      <c r="Z766" s="176"/>
      <c r="AA766" s="176"/>
    </row>
    <row r="767" spans="4:27">
      <c r="D767" s="315"/>
      <c r="E767" s="316"/>
      <c r="H767" s="256"/>
      <c r="J767" s="256"/>
      <c r="W767" s="317"/>
      <c r="Z767" s="176"/>
      <c r="AA767" s="176"/>
    </row>
    <row r="768" spans="4:27">
      <c r="D768" s="315"/>
      <c r="E768" s="316"/>
      <c r="H768" s="256"/>
      <c r="J768" s="256"/>
      <c r="W768" s="317"/>
      <c r="Z768" s="176"/>
      <c r="AA768" s="176"/>
    </row>
    <row r="769" spans="4:27">
      <c r="D769" s="315"/>
      <c r="E769" s="316"/>
      <c r="H769" s="256"/>
      <c r="J769" s="256"/>
      <c r="W769" s="317"/>
      <c r="Z769" s="176"/>
      <c r="AA769" s="176"/>
    </row>
    <row r="770" spans="4:27">
      <c r="D770" s="315"/>
      <c r="E770" s="316"/>
      <c r="H770" s="256"/>
      <c r="J770" s="256"/>
      <c r="W770" s="317"/>
      <c r="Z770" s="176"/>
      <c r="AA770" s="176"/>
    </row>
    <row r="771" spans="4:27">
      <c r="D771" s="315"/>
      <c r="E771" s="316"/>
      <c r="H771" s="256"/>
      <c r="J771" s="256"/>
      <c r="W771" s="317"/>
      <c r="Z771" s="176"/>
      <c r="AA771" s="176"/>
    </row>
    <row r="772" spans="4:27">
      <c r="D772" s="315"/>
      <c r="E772" s="316"/>
      <c r="H772" s="256"/>
      <c r="J772" s="256"/>
      <c r="W772" s="317"/>
      <c r="Z772" s="176"/>
      <c r="AA772" s="176"/>
    </row>
    <row r="773" spans="4:27">
      <c r="D773" s="315"/>
      <c r="E773" s="316"/>
      <c r="H773" s="256"/>
      <c r="J773" s="256"/>
      <c r="W773" s="317"/>
      <c r="Z773" s="176"/>
      <c r="AA773" s="176"/>
    </row>
    <row r="774" spans="4:27">
      <c r="D774" s="315"/>
      <c r="E774" s="316"/>
      <c r="H774" s="256"/>
      <c r="J774" s="256"/>
      <c r="W774" s="317"/>
      <c r="Z774" s="176"/>
      <c r="AA774" s="176"/>
    </row>
    <row r="775" spans="4:27">
      <c r="D775" s="315"/>
      <c r="E775" s="316"/>
      <c r="H775" s="256"/>
      <c r="J775" s="256"/>
      <c r="W775" s="317"/>
      <c r="Z775" s="176"/>
      <c r="AA775" s="176"/>
    </row>
    <row r="776" spans="4:27">
      <c r="D776" s="315"/>
      <c r="E776" s="316"/>
      <c r="H776" s="256"/>
      <c r="J776" s="256"/>
      <c r="W776" s="317"/>
      <c r="Z776" s="176"/>
      <c r="AA776" s="176"/>
    </row>
    <row r="777" spans="4:27">
      <c r="D777" s="315"/>
      <c r="E777" s="316"/>
      <c r="H777" s="256"/>
      <c r="J777" s="256"/>
      <c r="W777" s="317"/>
      <c r="Z777" s="176"/>
      <c r="AA777" s="176"/>
    </row>
    <row r="778" spans="4:27">
      <c r="D778" s="315"/>
      <c r="E778" s="316"/>
      <c r="H778" s="256"/>
      <c r="J778" s="256"/>
      <c r="W778" s="317"/>
      <c r="Z778" s="176"/>
      <c r="AA778" s="176"/>
    </row>
    <row r="779" spans="4:27">
      <c r="D779" s="315"/>
      <c r="E779" s="316"/>
      <c r="H779" s="256"/>
      <c r="J779" s="256"/>
      <c r="W779" s="317"/>
      <c r="Z779" s="176"/>
      <c r="AA779" s="176"/>
    </row>
    <row r="780" spans="4:27">
      <c r="D780" s="315"/>
      <c r="E780" s="316"/>
      <c r="H780" s="256"/>
      <c r="J780" s="256"/>
      <c r="W780" s="317"/>
      <c r="Z780" s="176"/>
      <c r="AA780" s="176"/>
    </row>
    <row r="781" spans="4:27">
      <c r="D781" s="315"/>
      <c r="E781" s="316"/>
      <c r="H781" s="256"/>
      <c r="J781" s="256"/>
      <c r="W781" s="317"/>
      <c r="Z781" s="176"/>
      <c r="AA781" s="176"/>
    </row>
    <row r="782" spans="4:27">
      <c r="D782" s="315"/>
      <c r="E782" s="316"/>
      <c r="H782" s="256"/>
      <c r="J782" s="256"/>
      <c r="W782" s="317"/>
      <c r="Z782" s="176"/>
      <c r="AA782" s="176"/>
    </row>
    <row r="783" spans="4:27">
      <c r="D783" s="315"/>
      <c r="E783" s="316"/>
      <c r="H783" s="256"/>
      <c r="J783" s="256"/>
      <c r="W783" s="317"/>
      <c r="Z783" s="176"/>
      <c r="AA783" s="176"/>
    </row>
    <row r="784" spans="4:27">
      <c r="D784" s="315"/>
      <c r="E784" s="316"/>
      <c r="H784" s="256"/>
      <c r="J784" s="256"/>
      <c r="W784" s="317"/>
      <c r="Z784" s="176"/>
      <c r="AA784" s="176"/>
    </row>
    <row r="785" spans="4:27">
      <c r="D785" s="315"/>
      <c r="E785" s="316"/>
      <c r="H785" s="256"/>
      <c r="J785" s="256"/>
      <c r="W785" s="317"/>
      <c r="Z785" s="176"/>
      <c r="AA785" s="176"/>
    </row>
    <row r="786" spans="4:27">
      <c r="D786" s="315"/>
      <c r="E786" s="316"/>
      <c r="H786" s="256"/>
      <c r="J786" s="256"/>
      <c r="W786" s="317"/>
      <c r="Z786" s="176"/>
      <c r="AA786" s="176"/>
    </row>
    <row r="787" spans="4:27">
      <c r="D787" s="315"/>
      <c r="E787" s="316"/>
      <c r="H787" s="256"/>
      <c r="J787" s="256"/>
      <c r="W787" s="317"/>
      <c r="Z787" s="176"/>
      <c r="AA787" s="176"/>
    </row>
    <row r="788" spans="4:27">
      <c r="D788" s="315"/>
      <c r="E788" s="316"/>
      <c r="H788" s="256"/>
      <c r="J788" s="256"/>
      <c r="W788" s="317"/>
      <c r="Z788" s="176"/>
      <c r="AA788" s="176"/>
    </row>
    <row r="789" spans="4:27">
      <c r="D789" s="315"/>
      <c r="E789" s="316"/>
      <c r="H789" s="256"/>
      <c r="J789" s="256"/>
      <c r="W789" s="317"/>
      <c r="Z789" s="176"/>
      <c r="AA789" s="176"/>
    </row>
    <row r="790" spans="4:27">
      <c r="D790" s="315"/>
      <c r="E790" s="316"/>
      <c r="H790" s="256"/>
      <c r="J790" s="256"/>
      <c r="W790" s="317"/>
      <c r="Z790" s="176"/>
      <c r="AA790" s="176"/>
    </row>
    <row r="791" spans="4:27">
      <c r="D791" s="315"/>
      <c r="E791" s="316"/>
      <c r="H791" s="256"/>
      <c r="J791" s="256"/>
      <c r="W791" s="317"/>
      <c r="Z791" s="176"/>
      <c r="AA791" s="176"/>
    </row>
    <row r="792" spans="4:27">
      <c r="D792" s="315"/>
      <c r="E792" s="316"/>
      <c r="H792" s="256"/>
      <c r="J792" s="256"/>
      <c r="W792" s="317"/>
      <c r="Z792" s="176"/>
      <c r="AA792" s="176"/>
    </row>
    <row r="793" spans="4:27">
      <c r="D793" s="315"/>
      <c r="E793" s="316"/>
      <c r="H793" s="256"/>
      <c r="J793" s="256"/>
      <c r="W793" s="317"/>
      <c r="Z793" s="176"/>
      <c r="AA793" s="176"/>
    </row>
    <row r="794" spans="4:27">
      <c r="D794" s="315"/>
      <c r="E794" s="316"/>
      <c r="H794" s="256"/>
      <c r="J794" s="256"/>
      <c r="W794" s="317"/>
      <c r="Z794" s="176"/>
      <c r="AA794" s="176"/>
    </row>
    <row r="795" spans="4:27">
      <c r="D795" s="315"/>
      <c r="E795" s="316"/>
      <c r="H795" s="256"/>
      <c r="J795" s="256"/>
      <c r="W795" s="317"/>
      <c r="Z795" s="176"/>
      <c r="AA795" s="176"/>
    </row>
    <row r="796" spans="4:27">
      <c r="D796" s="315"/>
      <c r="E796" s="316"/>
      <c r="H796" s="256"/>
      <c r="J796" s="256"/>
      <c r="W796" s="317"/>
      <c r="Z796" s="176"/>
      <c r="AA796" s="176"/>
    </row>
    <row r="797" spans="4:27">
      <c r="D797" s="315"/>
      <c r="E797" s="316"/>
      <c r="H797" s="256"/>
      <c r="J797" s="256"/>
      <c r="W797" s="317"/>
      <c r="Z797" s="176"/>
      <c r="AA797" s="176"/>
    </row>
    <row r="798" spans="4:27">
      <c r="D798" s="315"/>
      <c r="E798" s="316"/>
      <c r="H798" s="256"/>
      <c r="J798" s="256"/>
      <c r="W798" s="317"/>
      <c r="Z798" s="176"/>
      <c r="AA798" s="176"/>
    </row>
    <row r="799" spans="4:27">
      <c r="D799" s="315"/>
      <c r="E799" s="316"/>
      <c r="H799" s="256"/>
      <c r="J799" s="256"/>
      <c r="W799" s="317"/>
      <c r="Z799" s="176"/>
      <c r="AA799" s="176"/>
    </row>
    <row r="800" spans="4:27">
      <c r="D800" s="315"/>
      <c r="E800" s="316"/>
      <c r="H800" s="256"/>
      <c r="J800" s="256"/>
      <c r="W800" s="317"/>
      <c r="Z800" s="176"/>
      <c r="AA800" s="176"/>
    </row>
    <row r="801" spans="4:27">
      <c r="D801" s="315"/>
      <c r="E801" s="316"/>
      <c r="H801" s="256"/>
      <c r="J801" s="256"/>
      <c r="W801" s="317"/>
      <c r="Z801" s="176"/>
      <c r="AA801" s="176"/>
    </row>
    <row r="802" spans="4:27">
      <c r="D802" s="315"/>
      <c r="E802" s="316"/>
      <c r="H802" s="256"/>
      <c r="J802" s="256"/>
      <c r="W802" s="317"/>
      <c r="Z802" s="176"/>
      <c r="AA802" s="176"/>
    </row>
    <row r="803" spans="4:27">
      <c r="D803" s="315"/>
      <c r="E803" s="316"/>
      <c r="H803" s="256"/>
      <c r="J803" s="256"/>
      <c r="W803" s="317"/>
      <c r="Z803" s="176"/>
      <c r="AA803" s="176"/>
    </row>
    <row r="804" spans="4:27">
      <c r="D804" s="315"/>
      <c r="E804" s="316"/>
      <c r="H804" s="256"/>
      <c r="J804" s="256"/>
      <c r="W804" s="317"/>
      <c r="Z804" s="176"/>
      <c r="AA804" s="176"/>
    </row>
    <row r="805" spans="4:27">
      <c r="D805" s="315"/>
      <c r="E805" s="316"/>
      <c r="H805" s="256"/>
      <c r="J805" s="256"/>
      <c r="W805" s="317"/>
      <c r="Z805" s="176"/>
      <c r="AA805" s="176"/>
    </row>
    <row r="806" spans="4:27">
      <c r="D806" s="315"/>
      <c r="E806" s="316"/>
      <c r="H806" s="256"/>
      <c r="J806" s="256"/>
      <c r="W806" s="317"/>
      <c r="Z806" s="176"/>
      <c r="AA806" s="176"/>
    </row>
    <row r="807" spans="4:27">
      <c r="D807" s="315"/>
      <c r="E807" s="316"/>
      <c r="H807" s="256"/>
      <c r="J807" s="256"/>
      <c r="W807" s="317"/>
      <c r="Z807" s="176"/>
      <c r="AA807" s="176"/>
    </row>
    <row r="808" spans="4:27">
      <c r="D808" s="315"/>
      <c r="E808" s="316"/>
      <c r="H808" s="256"/>
      <c r="J808" s="256"/>
      <c r="W808" s="317"/>
      <c r="Z808" s="176"/>
      <c r="AA808" s="176"/>
    </row>
    <row r="809" spans="4:27">
      <c r="D809" s="315"/>
      <c r="E809" s="316"/>
      <c r="H809" s="256"/>
      <c r="J809" s="256"/>
      <c r="W809" s="317"/>
      <c r="Z809" s="176"/>
      <c r="AA809" s="176"/>
    </row>
    <row r="810" spans="4:27">
      <c r="D810" s="315"/>
      <c r="E810" s="316"/>
      <c r="H810" s="256"/>
      <c r="J810" s="256"/>
      <c r="W810" s="317"/>
      <c r="Z810" s="176"/>
      <c r="AA810" s="176"/>
    </row>
    <row r="811" spans="4:27">
      <c r="D811" s="315"/>
      <c r="E811" s="316"/>
      <c r="H811" s="256"/>
      <c r="J811" s="256"/>
      <c r="W811" s="317"/>
      <c r="Z811" s="176"/>
      <c r="AA811" s="176"/>
    </row>
    <row r="812" spans="4:27">
      <c r="D812" s="315"/>
      <c r="E812" s="316"/>
      <c r="H812" s="256"/>
      <c r="J812" s="256"/>
      <c r="W812" s="317"/>
      <c r="Z812" s="176"/>
      <c r="AA812" s="176"/>
    </row>
    <row r="813" spans="4:27">
      <c r="D813" s="315"/>
      <c r="E813" s="316"/>
      <c r="H813" s="256"/>
      <c r="J813" s="256"/>
      <c r="W813" s="317"/>
      <c r="Z813" s="176"/>
      <c r="AA813" s="176"/>
    </row>
    <row r="814" spans="4:27">
      <c r="D814" s="315"/>
      <c r="E814" s="316"/>
      <c r="H814" s="256"/>
      <c r="J814" s="256"/>
      <c r="W814" s="317"/>
      <c r="Z814" s="176"/>
      <c r="AA814" s="176"/>
    </row>
    <row r="815" spans="4:27">
      <c r="D815" s="315"/>
      <c r="E815" s="316"/>
      <c r="H815" s="256"/>
      <c r="J815" s="256"/>
      <c r="W815" s="317"/>
      <c r="Z815" s="176"/>
      <c r="AA815" s="176"/>
    </row>
    <row r="816" spans="4:27">
      <c r="D816" s="315"/>
      <c r="E816" s="316"/>
      <c r="H816" s="256"/>
      <c r="J816" s="256"/>
      <c r="W816" s="317"/>
      <c r="Z816" s="176"/>
      <c r="AA816" s="176"/>
    </row>
    <row r="817" spans="4:27">
      <c r="D817" s="315"/>
      <c r="E817" s="316"/>
      <c r="H817" s="256"/>
      <c r="J817" s="256"/>
      <c r="W817" s="317"/>
      <c r="Z817" s="176"/>
      <c r="AA817" s="176"/>
    </row>
    <row r="818" spans="4:27">
      <c r="D818" s="315"/>
      <c r="E818" s="316"/>
      <c r="H818" s="256"/>
      <c r="J818" s="256"/>
      <c r="W818" s="317"/>
      <c r="Z818" s="176"/>
      <c r="AA818" s="176"/>
    </row>
    <row r="819" spans="4:27">
      <c r="D819" s="315"/>
      <c r="E819" s="316"/>
      <c r="H819" s="256"/>
      <c r="J819" s="256"/>
      <c r="W819" s="317"/>
      <c r="Z819" s="176"/>
      <c r="AA819" s="176"/>
    </row>
    <row r="820" spans="4:27">
      <c r="D820" s="315"/>
      <c r="E820" s="316"/>
      <c r="H820" s="256"/>
      <c r="J820" s="256"/>
      <c r="W820" s="317"/>
      <c r="Z820" s="176"/>
      <c r="AA820" s="176"/>
    </row>
    <row r="821" spans="4:27">
      <c r="D821" s="315"/>
      <c r="E821" s="316"/>
      <c r="H821" s="256"/>
      <c r="J821" s="256"/>
      <c r="W821" s="317"/>
      <c r="Z821" s="176"/>
      <c r="AA821" s="176"/>
    </row>
    <row r="822" spans="4:27">
      <c r="D822" s="315"/>
      <c r="E822" s="316"/>
      <c r="H822" s="256"/>
      <c r="J822" s="256"/>
      <c r="W822" s="317"/>
      <c r="Z822" s="176"/>
      <c r="AA822" s="176"/>
    </row>
    <row r="823" spans="4:27">
      <c r="D823" s="315"/>
      <c r="E823" s="316"/>
      <c r="H823" s="256"/>
      <c r="J823" s="256"/>
      <c r="W823" s="317"/>
      <c r="Z823" s="176"/>
      <c r="AA823" s="176"/>
    </row>
    <row r="824" spans="4:27">
      <c r="D824" s="315"/>
      <c r="E824" s="316"/>
      <c r="H824" s="256"/>
      <c r="J824" s="256"/>
      <c r="W824" s="317"/>
      <c r="Z824" s="176"/>
      <c r="AA824" s="176"/>
    </row>
    <row r="825" spans="4:27">
      <c r="D825" s="315"/>
      <c r="E825" s="316"/>
      <c r="H825" s="256"/>
      <c r="J825" s="256"/>
      <c r="W825" s="317"/>
      <c r="Z825" s="176"/>
      <c r="AA825" s="176"/>
    </row>
    <row r="826" spans="4:27">
      <c r="D826" s="315"/>
      <c r="E826" s="316"/>
      <c r="H826" s="256"/>
      <c r="J826" s="256"/>
      <c r="W826" s="317"/>
      <c r="Z826" s="176"/>
      <c r="AA826" s="176"/>
    </row>
    <row r="827" spans="4:27">
      <c r="D827" s="315"/>
      <c r="E827" s="316"/>
      <c r="H827" s="256"/>
      <c r="J827" s="256"/>
      <c r="W827" s="317"/>
      <c r="Z827" s="176"/>
      <c r="AA827" s="176"/>
    </row>
    <row r="828" spans="4:27">
      <c r="D828" s="315"/>
      <c r="E828" s="316"/>
      <c r="H828" s="256"/>
      <c r="J828" s="256"/>
      <c r="W828" s="317"/>
      <c r="Z828" s="176"/>
      <c r="AA828" s="176"/>
    </row>
    <row r="829" spans="4:27">
      <c r="D829" s="315"/>
      <c r="E829" s="316"/>
      <c r="H829" s="256"/>
      <c r="J829" s="256"/>
      <c r="W829" s="317"/>
      <c r="Z829" s="176"/>
      <c r="AA829" s="176"/>
    </row>
    <row r="830" spans="4:27">
      <c r="D830" s="315"/>
      <c r="E830" s="316"/>
      <c r="H830" s="256"/>
      <c r="J830" s="256"/>
      <c r="W830" s="317"/>
      <c r="Z830" s="176"/>
      <c r="AA830" s="176"/>
    </row>
    <row r="831" spans="4:27">
      <c r="D831" s="315"/>
      <c r="E831" s="316"/>
      <c r="H831" s="256"/>
      <c r="J831" s="256"/>
      <c r="W831" s="317"/>
      <c r="Z831" s="176"/>
      <c r="AA831" s="176"/>
    </row>
    <row r="832" spans="4:27">
      <c r="D832" s="315"/>
      <c r="E832" s="316"/>
      <c r="H832" s="256"/>
      <c r="J832" s="256"/>
      <c r="W832" s="317"/>
      <c r="Z832" s="176"/>
      <c r="AA832" s="176"/>
    </row>
    <row r="833" spans="4:27">
      <c r="D833" s="315"/>
      <c r="E833" s="316"/>
      <c r="H833" s="256"/>
      <c r="J833" s="256"/>
      <c r="W833" s="317"/>
      <c r="Z833" s="176"/>
      <c r="AA833" s="176"/>
    </row>
    <row r="834" spans="4:27">
      <c r="D834" s="315"/>
      <c r="E834" s="316"/>
      <c r="H834" s="256"/>
      <c r="J834" s="256"/>
      <c r="W834" s="317"/>
      <c r="Z834" s="176"/>
      <c r="AA834" s="176"/>
    </row>
    <row r="835" spans="4:27">
      <c r="D835" s="315"/>
      <c r="E835" s="316"/>
      <c r="H835" s="256"/>
      <c r="J835" s="256"/>
      <c r="W835" s="317"/>
      <c r="Z835" s="176"/>
      <c r="AA835" s="176"/>
    </row>
    <row r="836" spans="4:27">
      <c r="D836" s="315"/>
      <c r="E836" s="316"/>
      <c r="H836" s="256"/>
      <c r="J836" s="256"/>
      <c r="W836" s="317"/>
      <c r="Z836" s="176"/>
      <c r="AA836" s="176"/>
    </row>
    <row r="837" spans="4:27">
      <c r="D837" s="315"/>
      <c r="E837" s="316"/>
      <c r="H837" s="256"/>
      <c r="J837" s="256"/>
      <c r="W837" s="317"/>
      <c r="Z837" s="176"/>
      <c r="AA837" s="176"/>
    </row>
    <row r="838" spans="4:27">
      <c r="D838" s="315"/>
      <c r="E838" s="316"/>
      <c r="H838" s="256"/>
      <c r="J838" s="256"/>
      <c r="W838" s="317"/>
      <c r="Z838" s="176"/>
      <c r="AA838" s="176"/>
    </row>
    <row r="839" spans="4:27">
      <c r="D839" s="315"/>
      <c r="E839" s="316"/>
      <c r="H839" s="256"/>
      <c r="J839" s="256"/>
      <c r="W839" s="317"/>
      <c r="Z839" s="176"/>
      <c r="AA839" s="176"/>
    </row>
    <row r="840" spans="4:27">
      <c r="D840" s="315"/>
      <c r="E840" s="316"/>
      <c r="H840" s="256"/>
      <c r="J840" s="256"/>
      <c r="W840" s="317"/>
      <c r="Z840" s="176"/>
      <c r="AA840" s="176"/>
    </row>
    <row r="841" spans="4:27">
      <c r="D841" s="315"/>
      <c r="E841" s="316"/>
      <c r="H841" s="256"/>
      <c r="J841" s="256"/>
      <c r="W841" s="317"/>
      <c r="Z841" s="176"/>
      <c r="AA841" s="176"/>
    </row>
    <row r="842" spans="4:27">
      <c r="D842" s="315"/>
      <c r="E842" s="316"/>
      <c r="H842" s="256"/>
      <c r="J842" s="256"/>
      <c r="W842" s="317"/>
      <c r="Z842" s="176"/>
      <c r="AA842" s="176"/>
    </row>
    <row r="843" spans="4:27">
      <c r="D843" s="315"/>
      <c r="E843" s="316"/>
      <c r="H843" s="256"/>
      <c r="J843" s="256"/>
      <c r="W843" s="317"/>
      <c r="Z843" s="176"/>
      <c r="AA843" s="176"/>
    </row>
    <row r="844" spans="4:27">
      <c r="D844" s="315"/>
      <c r="E844" s="316"/>
      <c r="H844" s="256"/>
      <c r="J844" s="256"/>
      <c r="W844" s="317"/>
      <c r="Z844" s="176"/>
      <c r="AA844" s="176"/>
    </row>
    <row r="845" spans="4:27">
      <c r="D845" s="315"/>
      <c r="E845" s="316"/>
      <c r="H845" s="256"/>
      <c r="J845" s="256"/>
      <c r="W845" s="317"/>
      <c r="Z845" s="176"/>
      <c r="AA845" s="176"/>
    </row>
    <row r="846" spans="4:27">
      <c r="D846" s="315"/>
      <c r="E846" s="316"/>
      <c r="H846" s="256"/>
      <c r="J846" s="256"/>
      <c r="W846" s="317"/>
      <c r="Z846" s="176"/>
      <c r="AA846" s="176"/>
    </row>
    <row r="847" spans="4:27">
      <c r="D847" s="315"/>
      <c r="E847" s="316"/>
      <c r="H847" s="256"/>
      <c r="J847" s="256"/>
      <c r="W847" s="317"/>
      <c r="Z847" s="176"/>
      <c r="AA847" s="176"/>
    </row>
    <row r="848" spans="4:27">
      <c r="D848" s="315"/>
      <c r="E848" s="316"/>
      <c r="H848" s="256"/>
      <c r="J848" s="256"/>
      <c r="W848" s="317"/>
      <c r="Z848" s="176"/>
      <c r="AA848" s="176"/>
    </row>
    <row r="849" spans="4:27">
      <c r="D849" s="315"/>
      <c r="E849" s="316"/>
      <c r="H849" s="256"/>
      <c r="J849" s="256"/>
      <c r="W849" s="317"/>
      <c r="Z849" s="176"/>
      <c r="AA849" s="176"/>
    </row>
    <row r="850" spans="4:27">
      <c r="D850" s="315"/>
      <c r="E850" s="316"/>
      <c r="H850" s="256"/>
      <c r="J850" s="256"/>
      <c r="W850" s="317"/>
      <c r="Z850" s="176"/>
      <c r="AA850" s="176"/>
    </row>
    <row r="851" spans="4:27">
      <c r="D851" s="315"/>
      <c r="E851" s="316"/>
      <c r="H851" s="256"/>
      <c r="J851" s="256"/>
      <c r="W851" s="317"/>
      <c r="Z851" s="176"/>
      <c r="AA851" s="176"/>
    </row>
    <row r="852" spans="4:27">
      <c r="D852" s="315"/>
      <c r="E852" s="316"/>
      <c r="H852" s="256"/>
      <c r="J852" s="256"/>
      <c r="W852" s="317"/>
      <c r="Z852" s="176"/>
      <c r="AA852" s="176"/>
    </row>
    <row r="853" spans="4:27">
      <c r="D853" s="315"/>
      <c r="E853" s="316"/>
      <c r="H853" s="256"/>
      <c r="J853" s="256"/>
      <c r="W853" s="317"/>
      <c r="Z853" s="176"/>
      <c r="AA853" s="176"/>
    </row>
    <row r="854" spans="4:27">
      <c r="D854" s="315"/>
      <c r="E854" s="316"/>
      <c r="H854" s="256"/>
      <c r="J854" s="256"/>
      <c r="W854" s="317"/>
      <c r="Z854" s="176"/>
      <c r="AA854" s="176"/>
    </row>
    <row r="855" spans="4:27">
      <c r="D855" s="315"/>
      <c r="E855" s="316"/>
      <c r="H855" s="256"/>
      <c r="J855" s="256"/>
      <c r="W855" s="317"/>
      <c r="Z855" s="176"/>
      <c r="AA855" s="176"/>
    </row>
    <row r="856" spans="4:27">
      <c r="D856" s="315"/>
      <c r="E856" s="316"/>
      <c r="H856" s="256"/>
      <c r="J856" s="256"/>
      <c r="W856" s="317"/>
      <c r="Z856" s="176"/>
      <c r="AA856" s="176"/>
    </row>
    <row r="857" spans="4:27">
      <c r="D857" s="315"/>
      <c r="E857" s="316"/>
      <c r="H857" s="256"/>
      <c r="J857" s="256"/>
      <c r="W857" s="317"/>
      <c r="Z857" s="176"/>
      <c r="AA857" s="176"/>
    </row>
    <row r="858" spans="4:27">
      <c r="D858" s="315"/>
      <c r="E858" s="316"/>
      <c r="H858" s="256"/>
      <c r="J858" s="256"/>
      <c r="W858" s="317"/>
      <c r="Z858" s="176"/>
      <c r="AA858" s="176"/>
    </row>
    <row r="859" spans="4:27">
      <c r="D859" s="315"/>
      <c r="E859" s="316"/>
      <c r="H859" s="256"/>
      <c r="J859" s="256"/>
      <c r="W859" s="317"/>
      <c r="Z859" s="176"/>
      <c r="AA859" s="176"/>
    </row>
    <row r="860" spans="4:27">
      <c r="D860" s="315"/>
      <c r="E860" s="316"/>
      <c r="H860" s="256"/>
      <c r="J860" s="256"/>
      <c r="W860" s="317"/>
      <c r="Z860" s="176"/>
      <c r="AA860" s="176"/>
    </row>
    <row r="861" spans="4:27">
      <c r="D861" s="315"/>
      <c r="E861" s="316"/>
      <c r="H861" s="256"/>
      <c r="J861" s="256"/>
      <c r="W861" s="317"/>
      <c r="Z861" s="176"/>
      <c r="AA861" s="176"/>
    </row>
    <row r="862" spans="4:27">
      <c r="D862" s="315"/>
      <c r="E862" s="316"/>
      <c r="H862" s="256"/>
      <c r="J862" s="256"/>
      <c r="W862" s="317"/>
      <c r="Z862" s="176"/>
      <c r="AA862" s="176"/>
    </row>
    <row r="863" spans="4:27">
      <c r="D863" s="315"/>
      <c r="E863" s="316"/>
      <c r="H863" s="256"/>
      <c r="J863" s="256"/>
      <c r="W863" s="317"/>
      <c r="Z863" s="176"/>
      <c r="AA863" s="176"/>
    </row>
    <row r="864" spans="4:27">
      <c r="D864" s="315"/>
      <c r="E864" s="316"/>
      <c r="H864" s="256"/>
      <c r="J864" s="256"/>
      <c r="W864" s="317"/>
      <c r="Z864" s="176"/>
      <c r="AA864" s="176"/>
    </row>
    <row r="865" spans="4:27">
      <c r="D865" s="315"/>
      <c r="E865" s="316"/>
      <c r="H865" s="256"/>
      <c r="J865" s="256"/>
      <c r="W865" s="317"/>
      <c r="Z865" s="176"/>
      <c r="AA865" s="176"/>
    </row>
    <row r="866" spans="4:27">
      <c r="D866" s="315"/>
      <c r="E866" s="316"/>
      <c r="H866" s="256"/>
      <c r="J866" s="256"/>
      <c r="W866" s="317"/>
      <c r="Z866" s="176"/>
      <c r="AA866" s="176"/>
    </row>
    <row r="867" spans="4:27">
      <c r="D867" s="315"/>
      <c r="E867" s="316"/>
      <c r="H867" s="256"/>
      <c r="J867" s="256"/>
      <c r="W867" s="317"/>
      <c r="Z867" s="176"/>
      <c r="AA867" s="176"/>
    </row>
    <row r="868" spans="4:27">
      <c r="D868" s="315"/>
      <c r="E868" s="316"/>
      <c r="H868" s="256"/>
      <c r="J868" s="256"/>
      <c r="W868" s="317"/>
      <c r="Z868" s="176"/>
      <c r="AA868" s="176"/>
    </row>
    <row r="869" spans="4:27">
      <c r="D869" s="315"/>
      <c r="E869" s="316"/>
      <c r="H869" s="256"/>
      <c r="J869" s="256"/>
      <c r="W869" s="317"/>
      <c r="Z869" s="176"/>
      <c r="AA869" s="176"/>
    </row>
    <row r="870" spans="4:27">
      <c r="D870" s="315"/>
      <c r="E870" s="316"/>
      <c r="H870" s="256"/>
      <c r="J870" s="256"/>
      <c r="W870" s="317"/>
      <c r="Z870" s="176"/>
      <c r="AA870" s="176"/>
    </row>
    <row r="871" spans="4:27">
      <c r="D871" s="315"/>
      <c r="E871" s="316"/>
      <c r="H871" s="256"/>
      <c r="J871" s="256"/>
      <c r="W871" s="317"/>
      <c r="Z871" s="176"/>
      <c r="AA871" s="176"/>
    </row>
    <row r="872" spans="4:27">
      <c r="D872" s="315"/>
      <c r="E872" s="316"/>
      <c r="H872" s="256"/>
      <c r="J872" s="256"/>
      <c r="W872" s="317"/>
      <c r="Z872" s="176"/>
      <c r="AA872" s="176"/>
    </row>
    <row r="873" spans="4:27">
      <c r="D873" s="315"/>
      <c r="E873" s="316"/>
      <c r="H873" s="256"/>
      <c r="J873" s="256"/>
      <c r="W873" s="317"/>
      <c r="Z873" s="176"/>
      <c r="AA873" s="176"/>
    </row>
    <row r="874" spans="4:27">
      <c r="D874" s="315"/>
      <c r="E874" s="316"/>
      <c r="H874" s="256"/>
      <c r="J874" s="256"/>
      <c r="W874" s="317"/>
      <c r="Z874" s="176"/>
      <c r="AA874" s="176"/>
    </row>
    <row r="875" spans="4:27">
      <c r="D875" s="315"/>
      <c r="E875" s="316"/>
      <c r="H875" s="256"/>
      <c r="J875" s="256"/>
      <c r="W875" s="317"/>
      <c r="Z875" s="176"/>
      <c r="AA875" s="176"/>
    </row>
    <row r="876" spans="4:27">
      <c r="D876" s="315"/>
      <c r="E876" s="316"/>
      <c r="H876" s="256"/>
      <c r="J876" s="256"/>
      <c r="W876" s="317"/>
      <c r="Z876" s="176"/>
      <c r="AA876" s="176"/>
    </row>
    <row r="877" spans="4:27">
      <c r="D877" s="315"/>
      <c r="E877" s="316"/>
      <c r="H877" s="256"/>
      <c r="J877" s="256"/>
      <c r="W877" s="317"/>
      <c r="Z877" s="176"/>
      <c r="AA877" s="176"/>
    </row>
    <row r="878" spans="4:27">
      <c r="D878" s="315"/>
      <c r="E878" s="316"/>
      <c r="H878" s="256"/>
      <c r="J878" s="256"/>
      <c r="W878" s="317"/>
      <c r="Z878" s="176"/>
      <c r="AA878" s="176"/>
    </row>
    <row r="879" spans="4:27">
      <c r="D879" s="315"/>
      <c r="E879" s="316"/>
      <c r="H879" s="256"/>
      <c r="J879" s="256"/>
      <c r="W879" s="317"/>
      <c r="Z879" s="176"/>
      <c r="AA879" s="176"/>
    </row>
    <row r="880" spans="4:27">
      <c r="D880" s="315"/>
      <c r="E880" s="316"/>
      <c r="H880" s="256"/>
      <c r="J880" s="256"/>
      <c r="W880" s="317"/>
      <c r="Z880" s="176"/>
      <c r="AA880" s="176"/>
    </row>
    <row r="881" spans="4:27">
      <c r="D881" s="315"/>
      <c r="E881" s="316"/>
      <c r="H881" s="256"/>
      <c r="J881" s="256"/>
      <c r="W881" s="317"/>
      <c r="Z881" s="176"/>
      <c r="AA881" s="176"/>
    </row>
    <row r="882" spans="4:27">
      <c r="D882" s="315"/>
      <c r="E882" s="316"/>
      <c r="H882" s="256"/>
      <c r="J882" s="256"/>
      <c r="W882" s="317"/>
      <c r="Z882" s="176"/>
      <c r="AA882" s="176"/>
    </row>
    <row r="883" spans="4:27">
      <c r="D883" s="315"/>
      <c r="E883" s="316"/>
      <c r="H883" s="256"/>
      <c r="J883" s="256"/>
      <c r="W883" s="317"/>
      <c r="Z883" s="176"/>
      <c r="AA883" s="176"/>
    </row>
    <row r="884" spans="4:27">
      <c r="D884" s="315"/>
      <c r="E884" s="316"/>
      <c r="H884" s="256"/>
      <c r="J884" s="256"/>
      <c r="W884" s="317"/>
      <c r="Z884" s="176"/>
      <c r="AA884" s="176"/>
    </row>
    <row r="885" spans="4:27">
      <c r="D885" s="315"/>
      <c r="E885" s="316"/>
      <c r="H885" s="256"/>
      <c r="J885" s="256"/>
      <c r="W885" s="317"/>
      <c r="Z885" s="176"/>
      <c r="AA885" s="176"/>
    </row>
    <row r="886" spans="4:27">
      <c r="D886" s="315"/>
      <c r="E886" s="316"/>
      <c r="H886" s="256"/>
      <c r="J886" s="256"/>
      <c r="W886" s="317"/>
      <c r="Z886" s="176"/>
      <c r="AA886" s="176"/>
    </row>
    <row r="887" spans="4:27">
      <c r="D887" s="315"/>
      <c r="E887" s="316"/>
      <c r="H887" s="256"/>
      <c r="J887" s="256"/>
      <c r="W887" s="317"/>
      <c r="Z887" s="176"/>
      <c r="AA887" s="176"/>
    </row>
    <row r="888" spans="4:27">
      <c r="D888" s="315"/>
      <c r="E888" s="316"/>
      <c r="H888" s="256"/>
      <c r="J888" s="256"/>
      <c r="W888" s="317"/>
      <c r="Z888" s="176"/>
      <c r="AA888" s="176"/>
    </row>
    <row r="889" spans="4:27">
      <c r="D889" s="315"/>
      <c r="E889" s="316"/>
      <c r="H889" s="256"/>
      <c r="J889" s="256"/>
      <c r="W889" s="317"/>
      <c r="Z889" s="176"/>
      <c r="AA889" s="176"/>
    </row>
    <row r="890" spans="4:27">
      <c r="D890" s="315"/>
      <c r="E890" s="316"/>
      <c r="H890" s="256"/>
      <c r="J890" s="256"/>
      <c r="W890" s="317"/>
      <c r="Z890" s="176"/>
      <c r="AA890" s="176"/>
    </row>
    <row r="891" spans="4:27">
      <c r="D891" s="315"/>
      <c r="E891" s="316"/>
      <c r="H891" s="256"/>
      <c r="J891" s="256"/>
      <c r="W891" s="317"/>
      <c r="Z891" s="176"/>
      <c r="AA891" s="176"/>
    </row>
    <row r="892" spans="4:27">
      <c r="D892" s="315"/>
      <c r="E892" s="316"/>
      <c r="H892" s="256"/>
      <c r="J892" s="256"/>
      <c r="W892" s="317"/>
      <c r="Z892" s="176"/>
      <c r="AA892" s="176"/>
    </row>
    <row r="893" spans="4:27">
      <c r="D893" s="315"/>
      <c r="E893" s="316"/>
      <c r="H893" s="256"/>
      <c r="J893" s="256"/>
      <c r="W893" s="317"/>
      <c r="Z893" s="176"/>
      <c r="AA893" s="176"/>
    </row>
    <row r="894" spans="4:27">
      <c r="D894" s="315"/>
      <c r="E894" s="316"/>
      <c r="H894" s="256"/>
      <c r="J894" s="256"/>
      <c r="W894" s="317"/>
      <c r="Z894" s="176"/>
      <c r="AA894" s="176"/>
    </row>
    <row r="895" spans="4:27">
      <c r="D895" s="315"/>
      <c r="E895" s="316"/>
      <c r="H895" s="256"/>
      <c r="J895" s="256"/>
      <c r="W895" s="317"/>
      <c r="Z895" s="176"/>
      <c r="AA895" s="176"/>
    </row>
    <row r="896" spans="4:27">
      <c r="D896" s="315"/>
      <c r="E896" s="316"/>
      <c r="H896" s="256"/>
      <c r="J896" s="256"/>
      <c r="W896" s="317"/>
      <c r="Z896" s="176"/>
      <c r="AA896" s="176"/>
    </row>
    <row r="897" spans="4:27">
      <c r="D897" s="315"/>
      <c r="E897" s="316"/>
      <c r="H897" s="256"/>
      <c r="J897" s="256"/>
      <c r="W897" s="317"/>
      <c r="Z897" s="176"/>
      <c r="AA897" s="176"/>
    </row>
    <row r="898" spans="4:27">
      <c r="D898" s="315"/>
      <c r="E898" s="316"/>
      <c r="H898" s="256"/>
      <c r="J898" s="256"/>
      <c r="W898" s="317"/>
      <c r="Z898" s="176"/>
      <c r="AA898" s="176"/>
    </row>
    <row r="899" spans="4:27">
      <c r="D899" s="315"/>
      <c r="E899" s="316"/>
      <c r="H899" s="256"/>
      <c r="J899" s="256"/>
      <c r="W899" s="317"/>
      <c r="Z899" s="176"/>
      <c r="AA899" s="176"/>
    </row>
    <row r="900" spans="4:27">
      <c r="D900" s="315"/>
      <c r="E900" s="316"/>
      <c r="H900" s="256"/>
      <c r="J900" s="256"/>
      <c r="W900" s="317"/>
      <c r="Z900" s="176"/>
      <c r="AA900" s="176"/>
    </row>
    <row r="901" spans="4:27">
      <c r="D901" s="315"/>
      <c r="E901" s="316"/>
      <c r="H901" s="256"/>
      <c r="J901" s="256"/>
      <c r="W901" s="317"/>
      <c r="Z901" s="176"/>
      <c r="AA901" s="176"/>
    </row>
    <row r="902" spans="4:27">
      <c r="D902" s="315"/>
      <c r="E902" s="316"/>
      <c r="H902" s="256"/>
      <c r="J902" s="256"/>
      <c r="W902" s="317"/>
      <c r="Z902" s="176"/>
      <c r="AA902" s="176"/>
    </row>
    <row r="903" spans="4:27">
      <c r="D903" s="315"/>
      <c r="E903" s="316"/>
      <c r="H903" s="256"/>
      <c r="J903" s="256"/>
      <c r="W903" s="317"/>
      <c r="Z903" s="176"/>
      <c r="AA903" s="176"/>
    </row>
    <row r="904" spans="4:27">
      <c r="D904" s="315"/>
      <c r="E904" s="316"/>
      <c r="H904" s="256"/>
      <c r="J904" s="256"/>
      <c r="W904" s="317"/>
      <c r="Z904" s="176"/>
      <c r="AA904" s="176"/>
    </row>
    <row r="905" spans="4:27">
      <c r="D905" s="315"/>
      <c r="E905" s="316"/>
      <c r="H905" s="256"/>
      <c r="J905" s="256"/>
      <c r="W905" s="317"/>
      <c r="Z905" s="176"/>
      <c r="AA905" s="176"/>
    </row>
    <row r="906" spans="4:27">
      <c r="D906" s="315"/>
      <c r="E906" s="316"/>
      <c r="H906" s="256"/>
      <c r="J906" s="256"/>
      <c r="W906" s="317"/>
      <c r="Z906" s="176"/>
      <c r="AA906" s="176"/>
    </row>
    <row r="907" spans="4:27">
      <c r="D907" s="315"/>
      <c r="E907" s="316"/>
      <c r="H907" s="256"/>
      <c r="J907" s="256"/>
      <c r="W907" s="317"/>
      <c r="Z907" s="176"/>
      <c r="AA907" s="176"/>
    </row>
    <row r="908" spans="4:27">
      <c r="D908" s="315"/>
      <c r="E908" s="316"/>
      <c r="H908" s="256"/>
      <c r="J908" s="256"/>
      <c r="W908" s="317"/>
      <c r="Z908" s="176"/>
      <c r="AA908" s="176"/>
    </row>
    <row r="909" spans="4:27">
      <c r="D909" s="315"/>
      <c r="E909" s="316"/>
      <c r="H909" s="256"/>
      <c r="J909" s="256"/>
      <c r="W909" s="317"/>
      <c r="Z909" s="176"/>
      <c r="AA909" s="176"/>
    </row>
    <row r="910" spans="4:27">
      <c r="D910" s="315"/>
      <c r="E910" s="316"/>
      <c r="H910" s="256"/>
      <c r="J910" s="256"/>
      <c r="W910" s="317"/>
      <c r="Z910" s="176"/>
      <c r="AA910" s="176"/>
    </row>
    <row r="911" spans="4:27">
      <c r="D911" s="315"/>
      <c r="E911" s="316"/>
      <c r="H911" s="256"/>
      <c r="J911" s="256"/>
      <c r="W911" s="317"/>
      <c r="Z911" s="176"/>
      <c r="AA911" s="176"/>
    </row>
    <row r="912" spans="4:27">
      <c r="D912" s="315"/>
      <c r="E912" s="316"/>
      <c r="H912" s="256"/>
      <c r="J912" s="256"/>
      <c r="W912" s="317"/>
      <c r="Z912" s="176"/>
      <c r="AA912" s="176"/>
    </row>
    <row r="913" spans="4:27">
      <c r="D913" s="315"/>
      <c r="E913" s="316"/>
      <c r="H913" s="256"/>
      <c r="J913" s="256"/>
      <c r="W913" s="317"/>
      <c r="Z913" s="176"/>
      <c r="AA913" s="176"/>
    </row>
    <row r="914" spans="4:27">
      <c r="D914" s="315"/>
      <c r="E914" s="316"/>
      <c r="H914" s="256"/>
      <c r="J914" s="256"/>
      <c r="W914" s="317"/>
      <c r="Z914" s="176"/>
      <c r="AA914" s="176"/>
    </row>
    <row r="915" spans="4:27">
      <c r="D915" s="315"/>
      <c r="E915" s="316"/>
      <c r="H915" s="256"/>
      <c r="J915" s="256"/>
      <c r="W915" s="317"/>
      <c r="Z915" s="176"/>
      <c r="AA915" s="176"/>
    </row>
    <row r="916" spans="4:27">
      <c r="D916" s="315"/>
      <c r="E916" s="316"/>
      <c r="H916" s="256"/>
      <c r="J916" s="256"/>
      <c r="W916" s="317"/>
      <c r="Z916" s="176"/>
      <c r="AA916" s="176"/>
    </row>
    <row r="917" spans="4:27">
      <c r="D917" s="315"/>
      <c r="E917" s="316"/>
      <c r="H917" s="256"/>
      <c r="J917" s="256"/>
      <c r="W917" s="317"/>
      <c r="Z917" s="176"/>
      <c r="AA917" s="176"/>
    </row>
    <row r="918" spans="4:27">
      <c r="D918" s="315"/>
      <c r="E918" s="316"/>
      <c r="H918" s="256"/>
      <c r="J918" s="256"/>
      <c r="W918" s="317"/>
      <c r="Z918" s="176"/>
      <c r="AA918" s="176"/>
    </row>
    <row r="919" spans="4:27">
      <c r="D919" s="315"/>
      <c r="E919" s="316"/>
      <c r="H919" s="256"/>
      <c r="J919" s="256"/>
      <c r="W919" s="317"/>
      <c r="Z919" s="176"/>
      <c r="AA919" s="176"/>
    </row>
    <row r="920" spans="4:27">
      <c r="D920" s="315"/>
      <c r="E920" s="316"/>
      <c r="H920" s="256"/>
      <c r="J920" s="256"/>
      <c r="W920" s="317"/>
      <c r="Z920" s="176"/>
      <c r="AA920" s="176"/>
    </row>
    <row r="921" spans="4:27">
      <c r="D921" s="315"/>
      <c r="E921" s="316"/>
      <c r="H921" s="256"/>
      <c r="J921" s="256"/>
      <c r="W921" s="317"/>
      <c r="Z921" s="176"/>
      <c r="AA921" s="176"/>
    </row>
    <row r="922" spans="4:27">
      <c r="D922" s="315"/>
      <c r="E922" s="316"/>
      <c r="H922" s="256"/>
      <c r="J922" s="256"/>
      <c r="W922" s="317"/>
      <c r="Z922" s="176"/>
      <c r="AA922" s="176"/>
    </row>
    <row r="923" spans="4:27">
      <c r="D923" s="315"/>
      <c r="E923" s="316"/>
      <c r="H923" s="256"/>
      <c r="J923" s="256"/>
      <c r="W923" s="317"/>
      <c r="Z923" s="176"/>
      <c r="AA923" s="176"/>
    </row>
    <row r="924" spans="4:27">
      <c r="D924" s="315"/>
      <c r="E924" s="316"/>
      <c r="H924" s="256"/>
      <c r="J924" s="256"/>
      <c r="W924" s="317"/>
      <c r="Z924" s="176"/>
      <c r="AA924" s="176"/>
    </row>
    <row r="925" spans="4:27">
      <c r="D925" s="315"/>
      <c r="E925" s="316"/>
      <c r="H925" s="256"/>
      <c r="J925" s="256"/>
      <c r="W925" s="317"/>
      <c r="Z925" s="176"/>
      <c r="AA925" s="176"/>
    </row>
    <row r="926" spans="4:27">
      <c r="D926" s="315"/>
      <c r="E926" s="316"/>
      <c r="H926" s="256"/>
      <c r="J926" s="256"/>
      <c r="W926" s="317"/>
      <c r="Z926" s="176"/>
      <c r="AA926" s="176"/>
    </row>
    <row r="927" spans="4:27">
      <c r="D927" s="315"/>
      <c r="E927" s="316"/>
      <c r="H927" s="256"/>
      <c r="J927" s="256"/>
      <c r="W927" s="317"/>
      <c r="Z927" s="176"/>
      <c r="AA927" s="176"/>
    </row>
    <row r="928" spans="4:27">
      <c r="D928" s="315"/>
      <c r="E928" s="316"/>
      <c r="H928" s="256"/>
      <c r="J928" s="256"/>
      <c r="W928" s="317"/>
      <c r="Z928" s="176"/>
      <c r="AA928" s="176"/>
    </row>
    <row r="929" spans="4:27">
      <c r="D929" s="315"/>
      <c r="E929" s="316"/>
      <c r="H929" s="256"/>
      <c r="J929" s="256"/>
      <c r="W929" s="317"/>
      <c r="Z929" s="176"/>
      <c r="AA929" s="176"/>
    </row>
    <row r="930" spans="4:27">
      <c r="D930" s="315"/>
      <c r="E930" s="316"/>
      <c r="H930" s="256"/>
      <c r="J930" s="256"/>
      <c r="W930" s="317"/>
      <c r="Z930" s="176"/>
      <c r="AA930" s="176"/>
    </row>
    <row r="931" spans="4:27">
      <c r="D931" s="315"/>
      <c r="E931" s="316"/>
      <c r="H931" s="256"/>
      <c r="J931" s="256"/>
      <c r="W931" s="317"/>
      <c r="Z931" s="176"/>
      <c r="AA931" s="176"/>
    </row>
    <row r="932" spans="4:27">
      <c r="D932" s="315"/>
      <c r="E932" s="316"/>
      <c r="H932" s="256"/>
      <c r="J932" s="256"/>
      <c r="W932" s="317"/>
      <c r="Z932" s="176"/>
      <c r="AA932" s="176"/>
    </row>
    <row r="933" spans="4:27">
      <c r="D933" s="315"/>
      <c r="E933" s="316"/>
      <c r="H933" s="256"/>
      <c r="J933" s="256"/>
      <c r="W933" s="317"/>
      <c r="Z933" s="176"/>
      <c r="AA933" s="176"/>
    </row>
    <row r="934" spans="4:27">
      <c r="D934" s="315"/>
      <c r="E934" s="316"/>
      <c r="H934" s="256"/>
      <c r="J934" s="256"/>
      <c r="W934" s="317"/>
      <c r="Z934" s="176"/>
      <c r="AA934" s="176"/>
    </row>
    <row r="935" spans="4:27">
      <c r="D935" s="315"/>
      <c r="E935" s="316"/>
      <c r="H935" s="256"/>
      <c r="J935" s="256"/>
      <c r="W935" s="317"/>
      <c r="Z935" s="176"/>
      <c r="AA935" s="176"/>
    </row>
    <row r="936" spans="4:27">
      <c r="D936" s="315"/>
      <c r="E936" s="316"/>
      <c r="H936" s="256"/>
      <c r="J936" s="256"/>
      <c r="W936" s="317"/>
      <c r="Z936" s="176"/>
      <c r="AA936" s="176"/>
    </row>
    <row r="937" spans="4:27">
      <c r="D937" s="315"/>
      <c r="E937" s="316"/>
      <c r="H937" s="256"/>
      <c r="J937" s="256"/>
      <c r="W937" s="317"/>
      <c r="Z937" s="176"/>
      <c r="AA937" s="176"/>
    </row>
    <row r="938" spans="4:27">
      <c r="D938" s="315"/>
      <c r="E938" s="316"/>
      <c r="H938" s="256"/>
      <c r="J938" s="256"/>
      <c r="W938" s="317"/>
      <c r="Z938" s="176"/>
      <c r="AA938" s="176"/>
    </row>
    <row r="939" spans="4:27">
      <c r="D939" s="315"/>
      <c r="E939" s="316"/>
      <c r="H939" s="256"/>
      <c r="J939" s="256"/>
      <c r="W939" s="317"/>
      <c r="Z939" s="176"/>
      <c r="AA939" s="176"/>
    </row>
    <row r="940" spans="4:27">
      <c r="D940" s="315"/>
      <c r="E940" s="316"/>
      <c r="H940" s="256"/>
      <c r="J940" s="256"/>
      <c r="W940" s="317"/>
      <c r="Z940" s="176"/>
      <c r="AA940" s="176"/>
    </row>
    <row r="941" spans="4:27">
      <c r="D941" s="315"/>
      <c r="E941" s="316"/>
      <c r="H941" s="256"/>
      <c r="J941" s="256"/>
      <c r="W941" s="317"/>
      <c r="Z941" s="176"/>
      <c r="AA941" s="176"/>
    </row>
    <row r="942" spans="4:27">
      <c r="D942" s="315"/>
      <c r="E942" s="316"/>
      <c r="H942" s="256"/>
      <c r="J942" s="256"/>
      <c r="W942" s="317"/>
      <c r="Z942" s="176"/>
      <c r="AA942" s="176"/>
    </row>
    <row r="943" spans="4:27">
      <c r="D943" s="315"/>
      <c r="E943" s="316"/>
      <c r="H943" s="256"/>
      <c r="J943" s="256"/>
      <c r="W943" s="317"/>
      <c r="Z943" s="176"/>
      <c r="AA943" s="176"/>
    </row>
    <row r="944" spans="4:27">
      <c r="D944" s="315"/>
      <c r="E944" s="316"/>
      <c r="H944" s="256"/>
      <c r="J944" s="256"/>
      <c r="W944" s="317"/>
      <c r="Z944" s="176"/>
      <c r="AA944" s="176"/>
    </row>
    <row r="945" spans="4:27">
      <c r="D945" s="315"/>
      <c r="E945" s="316"/>
      <c r="H945" s="256"/>
      <c r="J945" s="256"/>
      <c r="W945" s="317"/>
      <c r="Z945" s="176"/>
      <c r="AA945" s="176"/>
    </row>
    <row r="946" spans="4:27">
      <c r="D946" s="315"/>
      <c r="E946" s="316"/>
      <c r="H946" s="256"/>
      <c r="J946" s="256"/>
      <c r="W946" s="317"/>
      <c r="Z946" s="176"/>
      <c r="AA946" s="176"/>
    </row>
    <row r="947" spans="4:27">
      <c r="D947" s="315"/>
      <c r="E947" s="316"/>
      <c r="H947" s="256"/>
      <c r="J947" s="256"/>
      <c r="W947" s="317"/>
      <c r="Z947" s="176"/>
      <c r="AA947" s="176"/>
    </row>
    <row r="948" spans="4:27">
      <c r="D948" s="315"/>
      <c r="E948" s="316"/>
      <c r="H948" s="256"/>
      <c r="J948" s="256"/>
      <c r="W948" s="317"/>
      <c r="Z948" s="176"/>
      <c r="AA948" s="176"/>
    </row>
    <row r="949" spans="4:27">
      <c r="D949" s="315"/>
      <c r="E949" s="316"/>
      <c r="H949" s="256"/>
      <c r="J949" s="256"/>
      <c r="W949" s="317"/>
      <c r="Z949" s="176"/>
      <c r="AA949" s="176"/>
    </row>
    <row r="950" spans="4:27">
      <c r="D950" s="315"/>
      <c r="E950" s="316"/>
      <c r="H950" s="256"/>
      <c r="J950" s="256"/>
      <c r="W950" s="317"/>
      <c r="Z950" s="176"/>
      <c r="AA950" s="176"/>
    </row>
    <row r="951" spans="4:27">
      <c r="D951" s="315"/>
      <c r="E951" s="316"/>
      <c r="H951" s="256"/>
      <c r="J951" s="256"/>
      <c r="W951" s="317"/>
      <c r="Z951" s="176"/>
      <c r="AA951" s="176"/>
    </row>
    <row r="952" spans="4:27">
      <c r="D952" s="315"/>
      <c r="E952" s="316"/>
      <c r="H952" s="256"/>
      <c r="J952" s="256"/>
      <c r="W952" s="317"/>
      <c r="Z952" s="176"/>
      <c r="AA952" s="176"/>
    </row>
    <row r="953" spans="4:27">
      <c r="D953" s="315"/>
      <c r="E953" s="316"/>
      <c r="H953" s="256"/>
      <c r="J953" s="256"/>
      <c r="W953" s="317"/>
      <c r="Z953" s="176"/>
      <c r="AA953" s="176"/>
    </row>
    <row r="954" spans="4:27">
      <c r="D954" s="315"/>
      <c r="E954" s="316"/>
      <c r="H954" s="256"/>
      <c r="J954" s="256"/>
      <c r="W954" s="317"/>
      <c r="Z954" s="176"/>
      <c r="AA954" s="176"/>
    </row>
    <row r="955" spans="4:27">
      <c r="D955" s="315"/>
      <c r="E955" s="316"/>
      <c r="H955" s="256"/>
      <c r="J955" s="256"/>
      <c r="W955" s="317"/>
      <c r="Z955" s="176"/>
      <c r="AA955" s="176"/>
    </row>
    <row r="956" spans="4:27">
      <c r="D956" s="315"/>
      <c r="E956" s="316"/>
      <c r="H956" s="256"/>
      <c r="J956" s="256"/>
      <c r="W956" s="317"/>
      <c r="Z956" s="176"/>
      <c r="AA956" s="176"/>
    </row>
    <row r="957" spans="4:27">
      <c r="D957" s="315"/>
      <c r="E957" s="316"/>
      <c r="H957" s="256"/>
      <c r="J957" s="256"/>
      <c r="W957" s="317"/>
      <c r="Z957" s="176"/>
      <c r="AA957" s="176"/>
    </row>
    <row r="958" spans="4:27">
      <c r="D958" s="315"/>
      <c r="E958" s="316"/>
      <c r="H958" s="256"/>
      <c r="J958" s="256"/>
      <c r="W958" s="317"/>
      <c r="Z958" s="176"/>
      <c r="AA958" s="176"/>
    </row>
    <row r="959" spans="4:27">
      <c r="D959" s="315"/>
      <c r="E959" s="316"/>
      <c r="H959" s="256"/>
      <c r="J959" s="256"/>
      <c r="W959" s="317"/>
      <c r="Z959" s="176"/>
      <c r="AA959" s="176"/>
    </row>
    <row r="960" spans="4:27">
      <c r="D960" s="315"/>
      <c r="E960" s="316"/>
      <c r="H960" s="256"/>
      <c r="J960" s="256"/>
      <c r="W960" s="317"/>
      <c r="Z960" s="176"/>
      <c r="AA960" s="176"/>
    </row>
    <row r="961" spans="4:27">
      <c r="D961" s="315"/>
      <c r="E961" s="316"/>
      <c r="H961" s="256"/>
      <c r="J961" s="256"/>
      <c r="W961" s="317"/>
      <c r="Z961" s="176"/>
      <c r="AA961" s="176"/>
    </row>
    <row r="962" spans="4:27">
      <c r="D962" s="315"/>
      <c r="E962" s="316"/>
      <c r="H962" s="256"/>
      <c r="J962" s="256"/>
      <c r="W962" s="317"/>
      <c r="Z962" s="176"/>
      <c r="AA962" s="176"/>
    </row>
    <row r="963" spans="4:27">
      <c r="D963" s="315"/>
      <c r="E963" s="316"/>
      <c r="H963" s="256"/>
      <c r="J963" s="256"/>
      <c r="W963" s="317"/>
      <c r="Z963" s="176"/>
      <c r="AA963" s="176"/>
    </row>
    <row r="964" spans="4:27">
      <c r="D964" s="315"/>
      <c r="E964" s="316"/>
      <c r="H964" s="256"/>
      <c r="J964" s="256"/>
      <c r="W964" s="317"/>
      <c r="Z964" s="176"/>
      <c r="AA964" s="176"/>
    </row>
    <row r="965" spans="4:27">
      <c r="D965" s="315"/>
      <c r="E965" s="316"/>
      <c r="H965" s="256"/>
      <c r="J965" s="256"/>
      <c r="W965" s="317"/>
      <c r="Z965" s="176"/>
      <c r="AA965" s="176"/>
    </row>
    <row r="966" spans="4:27">
      <c r="D966" s="315"/>
      <c r="E966" s="316"/>
      <c r="H966" s="256"/>
      <c r="J966" s="256"/>
      <c r="W966" s="317"/>
      <c r="Z966" s="176"/>
      <c r="AA966" s="176"/>
    </row>
    <row r="967" spans="4:27">
      <c r="D967" s="315"/>
      <c r="E967" s="316"/>
      <c r="H967" s="256"/>
      <c r="J967" s="256"/>
      <c r="W967" s="317"/>
      <c r="Z967" s="176"/>
      <c r="AA967" s="176"/>
    </row>
    <row r="968" spans="4:27">
      <c r="D968" s="315"/>
      <c r="E968" s="316"/>
      <c r="H968" s="256"/>
      <c r="J968" s="256"/>
      <c r="W968" s="317"/>
      <c r="Z968" s="176"/>
      <c r="AA968" s="176"/>
    </row>
    <row r="969" spans="4:27">
      <c r="D969" s="315"/>
      <c r="E969" s="316"/>
      <c r="H969" s="256"/>
      <c r="J969" s="256"/>
      <c r="W969" s="317"/>
      <c r="Z969" s="176"/>
      <c r="AA969" s="176"/>
    </row>
    <row r="970" spans="4:27">
      <c r="D970" s="315"/>
      <c r="E970" s="316"/>
      <c r="H970" s="256"/>
      <c r="J970" s="256"/>
      <c r="W970" s="317"/>
      <c r="Z970" s="176"/>
      <c r="AA970" s="176"/>
    </row>
    <row r="971" spans="4:27">
      <c r="D971" s="315"/>
      <c r="E971" s="316"/>
      <c r="H971" s="256"/>
      <c r="J971" s="256"/>
      <c r="W971" s="317"/>
      <c r="Z971" s="176"/>
      <c r="AA971" s="176"/>
    </row>
    <row r="972" spans="4:27">
      <c r="D972" s="315"/>
      <c r="E972" s="316"/>
      <c r="H972" s="256"/>
      <c r="J972" s="256"/>
      <c r="W972" s="317"/>
      <c r="Z972" s="176"/>
      <c r="AA972" s="176"/>
    </row>
    <row r="973" spans="4:27">
      <c r="D973" s="315"/>
      <c r="E973" s="316"/>
      <c r="H973" s="256"/>
      <c r="J973" s="256"/>
      <c r="W973" s="317"/>
      <c r="Z973" s="176"/>
      <c r="AA973" s="176"/>
    </row>
    <row r="974" spans="4:27">
      <c r="D974" s="315"/>
      <c r="E974" s="316"/>
      <c r="H974" s="256"/>
      <c r="J974" s="256"/>
      <c r="W974" s="317"/>
      <c r="Z974" s="176"/>
      <c r="AA974" s="176"/>
    </row>
    <row r="975" spans="4:27">
      <c r="D975" s="315"/>
      <c r="E975" s="316"/>
      <c r="H975" s="256"/>
      <c r="J975" s="256"/>
      <c r="W975" s="317"/>
      <c r="Z975" s="176"/>
      <c r="AA975" s="176"/>
    </row>
    <row r="976" spans="4:27">
      <c r="D976" s="315"/>
      <c r="E976" s="316"/>
      <c r="H976" s="256"/>
      <c r="J976" s="256"/>
      <c r="W976" s="317"/>
      <c r="Z976" s="176"/>
      <c r="AA976" s="176"/>
    </row>
    <row r="977" spans="4:27">
      <c r="D977" s="315"/>
      <c r="E977" s="316"/>
      <c r="H977" s="256"/>
      <c r="J977" s="256"/>
      <c r="W977" s="317"/>
      <c r="Z977" s="176"/>
      <c r="AA977" s="176"/>
    </row>
    <row r="978" spans="4:27">
      <c r="D978" s="315"/>
      <c r="E978" s="316"/>
      <c r="H978" s="256"/>
      <c r="J978" s="256"/>
      <c r="W978" s="317"/>
      <c r="Z978" s="176"/>
      <c r="AA978" s="176"/>
    </row>
    <row r="979" spans="4:27">
      <c r="D979" s="315"/>
      <c r="E979" s="316"/>
      <c r="H979" s="256"/>
      <c r="J979" s="256"/>
      <c r="W979" s="317"/>
      <c r="Z979" s="176"/>
      <c r="AA979" s="176"/>
    </row>
    <row r="980" spans="4:27">
      <c r="D980" s="315"/>
      <c r="E980" s="316"/>
      <c r="H980" s="256"/>
      <c r="J980" s="256"/>
      <c r="W980" s="317"/>
      <c r="Z980" s="176"/>
      <c r="AA980" s="176"/>
    </row>
    <row r="981" spans="4:27">
      <c r="D981" s="315"/>
      <c r="E981" s="316"/>
      <c r="H981" s="256"/>
      <c r="J981" s="256"/>
      <c r="W981" s="317"/>
      <c r="Z981" s="176"/>
      <c r="AA981" s="176"/>
    </row>
    <row r="982" spans="4:27">
      <c r="D982" s="315"/>
      <c r="E982" s="316"/>
      <c r="H982" s="256"/>
      <c r="J982" s="256"/>
      <c r="W982" s="317"/>
      <c r="Z982" s="176"/>
      <c r="AA982" s="176"/>
    </row>
    <row r="983" spans="4:27">
      <c r="D983" s="315"/>
      <c r="E983" s="316"/>
      <c r="H983" s="256"/>
      <c r="J983" s="256"/>
      <c r="W983" s="317"/>
      <c r="Z983" s="176"/>
      <c r="AA983" s="176"/>
    </row>
    <row r="984" spans="4:27">
      <c r="D984" s="315"/>
      <c r="E984" s="316"/>
      <c r="H984" s="256"/>
      <c r="J984" s="256"/>
      <c r="W984" s="317"/>
      <c r="Z984" s="176"/>
      <c r="AA984" s="176"/>
    </row>
    <row r="985" spans="4:27">
      <c r="D985" s="315"/>
      <c r="E985" s="316"/>
      <c r="H985" s="256"/>
      <c r="J985" s="256"/>
      <c r="W985" s="317"/>
      <c r="Z985" s="176"/>
      <c r="AA985" s="176"/>
    </row>
    <row r="986" spans="4:27">
      <c r="D986" s="315"/>
      <c r="E986" s="316"/>
      <c r="H986" s="256"/>
      <c r="J986" s="256"/>
      <c r="W986" s="317"/>
      <c r="Z986" s="176"/>
      <c r="AA986" s="176"/>
    </row>
    <row r="987" spans="4:27">
      <c r="D987" s="315"/>
      <c r="E987" s="316"/>
      <c r="H987" s="256"/>
      <c r="J987" s="256"/>
      <c r="W987" s="317"/>
      <c r="Z987" s="176"/>
      <c r="AA987" s="176"/>
    </row>
    <row r="988" spans="4:27">
      <c r="D988" s="315"/>
      <c r="E988" s="316"/>
      <c r="H988" s="256"/>
      <c r="J988" s="256"/>
      <c r="W988" s="317"/>
      <c r="Z988" s="176"/>
      <c r="AA988" s="176"/>
    </row>
    <row r="989" spans="4:27">
      <c r="D989" s="315"/>
      <c r="E989" s="316"/>
      <c r="H989" s="256"/>
      <c r="J989" s="256"/>
      <c r="W989" s="317"/>
      <c r="Z989" s="176"/>
      <c r="AA989" s="176"/>
    </row>
    <row r="990" spans="4:27">
      <c r="D990" s="315"/>
      <c r="E990" s="316"/>
      <c r="H990" s="256"/>
      <c r="J990" s="256"/>
      <c r="W990" s="317"/>
      <c r="Z990" s="176"/>
      <c r="AA990" s="176"/>
    </row>
    <row r="991" spans="4:27">
      <c r="D991" s="315"/>
      <c r="E991" s="316"/>
      <c r="H991" s="256"/>
      <c r="J991" s="256"/>
      <c r="W991" s="317"/>
      <c r="Z991" s="176"/>
      <c r="AA991" s="176"/>
    </row>
    <row r="992" spans="4:27">
      <c r="D992" s="315"/>
      <c r="E992" s="316"/>
      <c r="H992" s="256"/>
      <c r="J992" s="256"/>
      <c r="W992" s="317"/>
      <c r="Z992" s="176"/>
      <c r="AA992" s="176"/>
    </row>
    <row r="993" spans="4:27">
      <c r="D993" s="315"/>
      <c r="E993" s="316"/>
      <c r="H993" s="256"/>
      <c r="J993" s="256"/>
      <c r="W993" s="317"/>
      <c r="Z993" s="176"/>
      <c r="AA993" s="176"/>
    </row>
    <row r="994" spans="4:27">
      <c r="D994" s="315"/>
      <c r="E994" s="316"/>
      <c r="H994" s="256"/>
      <c r="J994" s="256"/>
      <c r="W994" s="317"/>
      <c r="Z994" s="176"/>
      <c r="AA994" s="176"/>
    </row>
    <row r="995" spans="4:27">
      <c r="D995" s="315"/>
      <c r="E995" s="316"/>
      <c r="H995" s="256"/>
      <c r="J995" s="256"/>
      <c r="W995" s="317"/>
      <c r="Z995" s="176"/>
      <c r="AA995" s="176"/>
    </row>
    <row r="996" spans="4:27">
      <c r="D996" s="315"/>
      <c r="E996" s="316"/>
      <c r="H996" s="256"/>
      <c r="J996" s="256"/>
      <c r="W996" s="317"/>
      <c r="Z996" s="176"/>
      <c r="AA996" s="176"/>
    </row>
    <row r="997" spans="4:27">
      <c r="D997" s="315"/>
      <c r="E997" s="316"/>
      <c r="H997" s="256"/>
      <c r="J997" s="256"/>
      <c r="W997" s="317"/>
      <c r="Z997" s="176"/>
      <c r="AA997" s="176"/>
    </row>
    <row r="998" spans="4:27">
      <c r="D998" s="315"/>
      <c r="E998" s="316"/>
      <c r="H998" s="256"/>
      <c r="J998" s="256"/>
      <c r="W998" s="317"/>
      <c r="Z998" s="176"/>
      <c r="AA998" s="176"/>
    </row>
    <row r="999" spans="4:27">
      <c r="D999" s="315"/>
      <c r="E999" s="316"/>
      <c r="H999" s="256"/>
      <c r="J999" s="256"/>
      <c r="W999" s="317"/>
      <c r="Z999" s="176"/>
      <c r="AA999" s="176"/>
    </row>
    <row r="1000" spans="4:27">
      <c r="D1000" s="315"/>
      <c r="E1000" s="316"/>
      <c r="H1000" s="256"/>
      <c r="J1000" s="256"/>
      <c r="W1000" s="317"/>
      <c r="Z1000" s="176"/>
      <c r="AA1000" s="176"/>
    </row>
    <row r="1001" spans="4:27">
      <c r="D1001" s="315"/>
      <c r="E1001" s="316"/>
      <c r="H1001" s="256"/>
      <c r="J1001" s="256"/>
      <c r="W1001" s="317"/>
      <c r="Z1001" s="176"/>
      <c r="AA1001" s="176"/>
    </row>
    <row r="1002" spans="4:27">
      <c r="D1002" s="315"/>
      <c r="E1002" s="316"/>
      <c r="H1002" s="256"/>
      <c r="J1002" s="256"/>
      <c r="W1002" s="317"/>
      <c r="Z1002" s="176"/>
      <c r="AA1002" s="176"/>
    </row>
    <row r="1003" spans="4:27">
      <c r="D1003" s="315"/>
      <c r="E1003" s="316"/>
      <c r="H1003" s="256"/>
      <c r="J1003" s="256"/>
      <c r="W1003" s="317"/>
      <c r="Z1003" s="176"/>
      <c r="AA1003" s="176"/>
    </row>
    <row r="1004" spans="4:27">
      <c r="D1004" s="315"/>
      <c r="E1004" s="316"/>
      <c r="H1004" s="256"/>
      <c r="J1004" s="256"/>
      <c r="W1004" s="317"/>
      <c r="Z1004" s="176"/>
      <c r="AA1004" s="176"/>
    </row>
    <row r="1005" spans="4:27">
      <c r="D1005" s="315"/>
      <c r="E1005" s="316"/>
      <c r="H1005" s="256"/>
      <c r="J1005" s="256"/>
      <c r="W1005" s="317"/>
      <c r="Z1005" s="176"/>
      <c r="AA1005" s="176"/>
    </row>
    <row r="1006" spans="4:27">
      <c r="D1006" s="315"/>
      <c r="E1006" s="316"/>
      <c r="H1006" s="256"/>
      <c r="J1006" s="256"/>
      <c r="W1006" s="317"/>
      <c r="Z1006" s="176"/>
      <c r="AA1006" s="176"/>
    </row>
    <row r="1007" spans="4:27">
      <c r="D1007" s="315"/>
      <c r="E1007" s="316"/>
      <c r="H1007" s="256"/>
      <c r="J1007" s="256"/>
      <c r="W1007" s="317"/>
      <c r="Z1007" s="176"/>
      <c r="AA1007" s="176"/>
    </row>
    <row r="1008" spans="4:27">
      <c r="D1008" s="315"/>
      <c r="E1008" s="316"/>
      <c r="H1008" s="256"/>
      <c r="J1008" s="256"/>
      <c r="W1008" s="317"/>
      <c r="Z1008" s="176"/>
      <c r="AA1008" s="176"/>
    </row>
    <row r="1009" spans="4:27">
      <c r="D1009" s="315"/>
      <c r="E1009" s="316"/>
      <c r="H1009" s="256"/>
      <c r="J1009" s="256"/>
      <c r="W1009" s="317"/>
      <c r="Z1009" s="176"/>
      <c r="AA1009" s="176"/>
    </row>
    <row r="1010" spans="4:27">
      <c r="D1010" s="315"/>
      <c r="E1010" s="316"/>
      <c r="H1010" s="256"/>
      <c r="J1010" s="256"/>
      <c r="W1010" s="317"/>
      <c r="Z1010" s="176"/>
      <c r="AA1010" s="176"/>
    </row>
    <row r="1011" spans="4:27">
      <c r="D1011" s="315"/>
      <c r="E1011" s="316"/>
      <c r="H1011" s="256"/>
      <c r="J1011" s="256"/>
      <c r="W1011" s="317"/>
      <c r="Z1011" s="176"/>
      <c r="AA1011" s="176"/>
    </row>
    <row r="1012" spans="4:27">
      <c r="D1012" s="315"/>
      <c r="E1012" s="316"/>
      <c r="H1012" s="256"/>
      <c r="J1012" s="256"/>
      <c r="W1012" s="317"/>
      <c r="Z1012" s="176"/>
      <c r="AA1012" s="176"/>
    </row>
    <row r="1013" spans="4:27">
      <c r="D1013" s="315"/>
      <c r="E1013" s="316"/>
      <c r="H1013" s="256"/>
      <c r="J1013" s="256"/>
      <c r="W1013" s="317"/>
      <c r="Z1013" s="176"/>
      <c r="AA1013" s="176"/>
    </row>
    <row r="1014" spans="4:27">
      <c r="D1014" s="315"/>
      <c r="E1014" s="316"/>
      <c r="H1014" s="256"/>
      <c r="J1014" s="256"/>
      <c r="W1014" s="317"/>
      <c r="Z1014" s="176"/>
      <c r="AA1014" s="176"/>
    </row>
    <row r="1015" spans="4:27">
      <c r="D1015" s="315"/>
      <c r="E1015" s="316"/>
      <c r="H1015" s="256"/>
      <c r="J1015" s="256"/>
      <c r="W1015" s="317"/>
      <c r="Z1015" s="176"/>
      <c r="AA1015" s="176"/>
    </row>
    <row r="1016" spans="4:27">
      <c r="D1016" s="315"/>
      <c r="E1016" s="316"/>
      <c r="H1016" s="256"/>
      <c r="J1016" s="256"/>
      <c r="W1016" s="317"/>
      <c r="Z1016" s="176"/>
      <c r="AA1016" s="176"/>
    </row>
    <row r="1017" spans="4:27">
      <c r="D1017" s="315"/>
      <c r="E1017" s="316"/>
      <c r="H1017" s="256"/>
      <c r="J1017" s="256"/>
      <c r="W1017" s="317"/>
      <c r="Z1017" s="176"/>
      <c r="AA1017" s="176"/>
    </row>
    <row r="1018" spans="4:27">
      <c r="D1018" s="315"/>
      <c r="E1018" s="316"/>
      <c r="H1018" s="256"/>
      <c r="J1018" s="256"/>
      <c r="W1018" s="317"/>
      <c r="Z1018" s="176"/>
      <c r="AA1018" s="176"/>
    </row>
    <row r="1019" spans="4:27">
      <c r="D1019" s="315"/>
      <c r="E1019" s="316"/>
      <c r="H1019" s="256"/>
      <c r="J1019" s="256"/>
      <c r="W1019" s="317"/>
      <c r="Z1019" s="176"/>
      <c r="AA1019" s="176"/>
    </row>
    <row r="1020" spans="4:27">
      <c r="D1020" s="315"/>
      <c r="E1020" s="316"/>
      <c r="H1020" s="256"/>
      <c r="J1020" s="256"/>
      <c r="W1020" s="317"/>
      <c r="Z1020" s="176"/>
      <c r="AA1020" s="176"/>
    </row>
    <row r="1021" spans="4:27">
      <c r="D1021" s="315"/>
      <c r="E1021" s="316"/>
      <c r="H1021" s="256"/>
      <c r="J1021" s="256"/>
      <c r="W1021" s="317"/>
      <c r="Z1021" s="176"/>
      <c r="AA1021" s="176"/>
    </row>
    <row r="1022" spans="4:27">
      <c r="D1022" s="315"/>
      <c r="E1022" s="316"/>
      <c r="H1022" s="256"/>
      <c r="J1022" s="256"/>
      <c r="W1022" s="317"/>
      <c r="Z1022" s="176"/>
      <c r="AA1022" s="176"/>
    </row>
    <row r="1023" spans="4:27">
      <c r="D1023" s="315"/>
      <c r="E1023" s="316"/>
      <c r="H1023" s="256"/>
      <c r="J1023" s="256"/>
      <c r="W1023" s="317"/>
      <c r="Z1023" s="176"/>
      <c r="AA1023" s="176"/>
    </row>
    <row r="1024" spans="4:27">
      <c r="D1024" s="315"/>
      <c r="E1024" s="316"/>
      <c r="H1024" s="256"/>
      <c r="J1024" s="256"/>
      <c r="W1024" s="317"/>
      <c r="Z1024" s="176"/>
      <c r="AA1024" s="176"/>
    </row>
    <row r="1025" spans="4:27">
      <c r="D1025" s="315"/>
      <c r="E1025" s="316"/>
      <c r="H1025" s="256"/>
      <c r="J1025" s="256"/>
      <c r="W1025" s="317"/>
      <c r="Z1025" s="176"/>
      <c r="AA1025" s="176"/>
    </row>
    <row r="1026" spans="4:27">
      <c r="D1026" s="315"/>
      <c r="E1026" s="316"/>
      <c r="H1026" s="256"/>
      <c r="J1026" s="256"/>
      <c r="W1026" s="317"/>
      <c r="Z1026" s="176"/>
      <c r="AA1026" s="176"/>
    </row>
    <row r="1027" spans="4:27">
      <c r="D1027" s="315"/>
      <c r="E1027" s="316"/>
      <c r="H1027" s="256"/>
      <c r="J1027" s="256"/>
      <c r="W1027" s="317"/>
      <c r="Z1027" s="176"/>
      <c r="AA1027" s="176"/>
    </row>
    <row r="1028" spans="4:27">
      <c r="D1028" s="315"/>
      <c r="E1028" s="316"/>
      <c r="H1028" s="256"/>
      <c r="J1028" s="256"/>
      <c r="W1028" s="317"/>
      <c r="Z1028" s="176"/>
      <c r="AA1028" s="176"/>
    </row>
    <row r="1029" spans="4:27">
      <c r="D1029" s="315"/>
      <c r="E1029" s="316"/>
      <c r="H1029" s="256"/>
      <c r="J1029" s="256"/>
      <c r="W1029" s="317"/>
      <c r="Z1029" s="176"/>
      <c r="AA1029" s="176"/>
    </row>
    <row r="1030" spans="4:27">
      <c r="D1030" s="315"/>
      <c r="E1030" s="316"/>
      <c r="H1030" s="256"/>
      <c r="J1030" s="256"/>
      <c r="W1030" s="317"/>
      <c r="Z1030" s="176"/>
      <c r="AA1030" s="176"/>
    </row>
    <row r="1031" spans="4:27">
      <c r="D1031" s="315"/>
      <c r="E1031" s="316"/>
      <c r="H1031" s="256"/>
      <c r="J1031" s="256"/>
      <c r="W1031" s="317"/>
      <c r="Z1031" s="176"/>
      <c r="AA1031" s="176"/>
    </row>
    <row r="1032" spans="4:27">
      <c r="D1032" s="315"/>
      <c r="E1032" s="316"/>
      <c r="H1032" s="256"/>
      <c r="J1032" s="256"/>
      <c r="W1032" s="317"/>
      <c r="Z1032" s="176"/>
      <c r="AA1032" s="176"/>
    </row>
    <row r="1033" spans="4:27">
      <c r="D1033" s="315"/>
      <c r="E1033" s="316"/>
      <c r="H1033" s="256"/>
      <c r="J1033" s="256"/>
      <c r="W1033" s="317"/>
      <c r="Z1033" s="176"/>
      <c r="AA1033" s="176"/>
    </row>
    <row r="1034" spans="4:27">
      <c r="D1034" s="315"/>
      <c r="E1034" s="316"/>
      <c r="H1034" s="256"/>
      <c r="J1034" s="256"/>
      <c r="W1034" s="317"/>
      <c r="Z1034" s="176"/>
      <c r="AA1034" s="176"/>
    </row>
    <row r="1035" spans="4:27">
      <c r="D1035" s="315"/>
      <c r="E1035" s="316"/>
      <c r="H1035" s="256"/>
      <c r="J1035" s="256"/>
      <c r="W1035" s="317"/>
      <c r="Z1035" s="176"/>
      <c r="AA1035" s="176"/>
    </row>
    <row r="1036" spans="4:27">
      <c r="D1036" s="315"/>
      <c r="E1036" s="316"/>
      <c r="H1036" s="256"/>
      <c r="J1036" s="256"/>
      <c r="W1036" s="317"/>
      <c r="Z1036" s="176"/>
      <c r="AA1036" s="176"/>
    </row>
    <row r="1037" spans="4:27">
      <c r="D1037" s="315"/>
      <c r="E1037" s="316"/>
      <c r="H1037" s="256"/>
      <c r="J1037" s="256"/>
      <c r="W1037" s="317"/>
      <c r="Z1037" s="176"/>
      <c r="AA1037" s="176"/>
    </row>
    <row r="1038" spans="4:27">
      <c r="D1038" s="315"/>
      <c r="E1038" s="316"/>
      <c r="H1038" s="256"/>
      <c r="J1038" s="256"/>
      <c r="W1038" s="317"/>
      <c r="Z1038" s="176"/>
      <c r="AA1038" s="176"/>
    </row>
    <row r="1039" spans="4:27">
      <c r="D1039" s="315"/>
      <c r="E1039" s="316"/>
      <c r="H1039" s="256"/>
      <c r="J1039" s="256"/>
      <c r="W1039" s="317"/>
      <c r="Z1039" s="176"/>
      <c r="AA1039" s="176"/>
    </row>
    <row r="1040" spans="4:27">
      <c r="D1040" s="315"/>
      <c r="E1040" s="316"/>
      <c r="H1040" s="256"/>
      <c r="J1040" s="256"/>
      <c r="W1040" s="317"/>
      <c r="Z1040" s="176"/>
      <c r="AA1040" s="176"/>
    </row>
    <row r="1041" spans="4:27">
      <c r="D1041" s="315"/>
      <c r="E1041" s="316"/>
      <c r="H1041" s="256"/>
      <c r="J1041" s="256"/>
      <c r="W1041" s="317"/>
      <c r="Z1041" s="176"/>
      <c r="AA1041" s="176"/>
    </row>
    <row r="1042" spans="4:27">
      <c r="D1042" s="315"/>
      <c r="E1042" s="316"/>
      <c r="H1042" s="256"/>
      <c r="J1042" s="256"/>
      <c r="W1042" s="317"/>
      <c r="Z1042" s="176"/>
      <c r="AA1042" s="176"/>
    </row>
    <row r="1043" spans="4:27">
      <c r="D1043" s="315"/>
      <c r="E1043" s="316"/>
      <c r="H1043" s="256"/>
      <c r="J1043" s="256"/>
      <c r="W1043" s="317"/>
      <c r="Z1043" s="176"/>
      <c r="AA1043" s="176"/>
    </row>
    <row r="1044" spans="4:27">
      <c r="D1044" s="315"/>
      <c r="E1044" s="316"/>
      <c r="H1044" s="256"/>
      <c r="J1044" s="256"/>
      <c r="W1044" s="317"/>
      <c r="Z1044" s="176"/>
      <c r="AA1044" s="176"/>
    </row>
    <row r="1045" spans="4:27">
      <c r="D1045" s="315"/>
      <c r="E1045" s="316"/>
      <c r="H1045" s="256"/>
      <c r="J1045" s="256"/>
      <c r="W1045" s="317"/>
      <c r="Z1045" s="176"/>
      <c r="AA1045" s="176"/>
    </row>
    <row r="1046" spans="4:27">
      <c r="D1046" s="315"/>
      <c r="E1046" s="316"/>
      <c r="H1046" s="256"/>
      <c r="J1046" s="256"/>
      <c r="W1046" s="317"/>
      <c r="Z1046" s="176"/>
      <c r="AA1046" s="176"/>
    </row>
    <row r="1047" spans="4:27">
      <c r="D1047" s="315"/>
      <c r="E1047" s="316"/>
      <c r="H1047" s="256"/>
      <c r="J1047" s="256"/>
      <c r="W1047" s="317"/>
      <c r="Z1047" s="176"/>
      <c r="AA1047" s="176"/>
    </row>
    <row r="1048" spans="4:27">
      <c r="D1048" s="315"/>
      <c r="E1048" s="316"/>
      <c r="H1048" s="256"/>
      <c r="J1048" s="256"/>
      <c r="W1048" s="317"/>
      <c r="Z1048" s="176"/>
      <c r="AA1048" s="176"/>
    </row>
    <row r="1049" spans="4:27">
      <c r="D1049" s="315"/>
      <c r="E1049" s="316"/>
      <c r="H1049" s="256"/>
      <c r="J1049" s="256"/>
      <c r="W1049" s="317"/>
      <c r="Z1049" s="176"/>
      <c r="AA1049" s="176"/>
    </row>
    <row r="1050" spans="4:27">
      <c r="D1050" s="315"/>
      <c r="E1050" s="316"/>
      <c r="H1050" s="256"/>
      <c r="J1050" s="256"/>
      <c r="W1050" s="317"/>
      <c r="Z1050" s="176"/>
      <c r="AA1050" s="176"/>
    </row>
    <row r="1051" spans="4:27">
      <c r="D1051" s="315"/>
      <c r="E1051" s="316"/>
      <c r="H1051" s="256"/>
      <c r="J1051" s="256"/>
      <c r="W1051" s="317"/>
      <c r="Z1051" s="176"/>
      <c r="AA1051" s="176"/>
    </row>
    <row r="1052" spans="4:27">
      <c r="D1052" s="315"/>
      <c r="E1052" s="316"/>
      <c r="H1052" s="256"/>
      <c r="J1052" s="256"/>
      <c r="W1052" s="317"/>
      <c r="Z1052" s="176"/>
      <c r="AA1052" s="176"/>
    </row>
    <row r="1053" spans="4:27">
      <c r="D1053" s="315"/>
      <c r="E1053" s="316"/>
      <c r="H1053" s="256"/>
      <c r="J1053" s="256"/>
      <c r="W1053" s="317"/>
      <c r="Z1053" s="176"/>
      <c r="AA1053" s="176"/>
    </row>
    <row r="1054" spans="4:27">
      <c r="D1054" s="315"/>
      <c r="E1054" s="316"/>
      <c r="H1054" s="256"/>
      <c r="J1054" s="256"/>
      <c r="W1054" s="317"/>
      <c r="Z1054" s="176"/>
      <c r="AA1054" s="176"/>
    </row>
    <row r="1055" spans="4:27">
      <c r="D1055" s="315"/>
      <c r="E1055" s="316"/>
      <c r="H1055" s="256"/>
      <c r="J1055" s="256"/>
      <c r="W1055" s="317"/>
      <c r="Z1055" s="176"/>
      <c r="AA1055" s="176"/>
    </row>
    <row r="1056" spans="4:27">
      <c r="D1056" s="315"/>
      <c r="E1056" s="316"/>
      <c r="H1056" s="256"/>
      <c r="J1056" s="256"/>
      <c r="W1056" s="317"/>
      <c r="Z1056" s="176"/>
      <c r="AA1056" s="176"/>
    </row>
    <row r="1057" spans="4:27">
      <c r="D1057" s="315"/>
      <c r="E1057" s="316"/>
      <c r="H1057" s="256"/>
      <c r="J1057" s="256"/>
      <c r="W1057" s="317"/>
      <c r="Z1057" s="176"/>
      <c r="AA1057" s="176"/>
    </row>
    <row r="1058" spans="4:27">
      <c r="D1058" s="315"/>
      <c r="E1058" s="316"/>
      <c r="H1058" s="256"/>
      <c r="J1058" s="256"/>
      <c r="W1058" s="317"/>
      <c r="Z1058" s="176"/>
      <c r="AA1058" s="176"/>
    </row>
    <row r="1059" spans="4:27">
      <c r="D1059" s="315"/>
      <c r="E1059" s="316"/>
      <c r="H1059" s="256"/>
      <c r="J1059" s="256"/>
      <c r="W1059" s="317"/>
      <c r="Z1059" s="176"/>
      <c r="AA1059" s="176"/>
    </row>
    <row r="1060" spans="4:27">
      <c r="D1060" s="315"/>
      <c r="E1060" s="316"/>
      <c r="H1060" s="256"/>
      <c r="J1060" s="256"/>
      <c r="W1060" s="317"/>
      <c r="Z1060" s="176"/>
      <c r="AA1060" s="176"/>
    </row>
    <row r="1061" spans="4:27">
      <c r="D1061" s="315"/>
      <c r="E1061" s="316"/>
      <c r="H1061" s="256"/>
      <c r="J1061" s="256"/>
      <c r="W1061" s="317"/>
      <c r="Z1061" s="176"/>
      <c r="AA1061" s="176"/>
    </row>
    <row r="1062" spans="4:27">
      <c r="D1062" s="315"/>
      <c r="E1062" s="316"/>
      <c r="H1062" s="256"/>
      <c r="J1062" s="256"/>
      <c r="W1062" s="317"/>
      <c r="Z1062" s="176"/>
      <c r="AA1062" s="176"/>
    </row>
    <row r="1063" spans="4:27">
      <c r="D1063" s="315"/>
      <c r="E1063" s="316"/>
      <c r="H1063" s="256"/>
      <c r="J1063" s="256"/>
      <c r="W1063" s="317"/>
      <c r="Z1063" s="176"/>
      <c r="AA1063" s="176"/>
    </row>
    <row r="1064" spans="4:27">
      <c r="D1064" s="315"/>
      <c r="E1064" s="316"/>
      <c r="H1064" s="256"/>
      <c r="J1064" s="256"/>
      <c r="W1064" s="317"/>
      <c r="Z1064" s="176"/>
      <c r="AA1064" s="176"/>
    </row>
    <row r="1065" spans="4:27">
      <c r="D1065" s="315"/>
      <c r="E1065" s="316"/>
      <c r="H1065" s="256"/>
      <c r="J1065" s="256"/>
      <c r="W1065" s="317"/>
      <c r="Z1065" s="176"/>
      <c r="AA1065" s="176"/>
    </row>
    <row r="1066" spans="4:27">
      <c r="D1066" s="315"/>
      <c r="E1066" s="316"/>
      <c r="H1066" s="256"/>
      <c r="J1066" s="256"/>
      <c r="W1066" s="317"/>
      <c r="Z1066" s="176"/>
      <c r="AA1066" s="176"/>
    </row>
    <row r="1067" spans="4:27">
      <c r="D1067" s="315"/>
      <c r="E1067" s="316"/>
      <c r="H1067" s="256"/>
      <c r="J1067" s="256"/>
      <c r="W1067" s="317"/>
      <c r="Z1067" s="176"/>
      <c r="AA1067" s="176"/>
    </row>
    <row r="1068" spans="4:27">
      <c r="D1068" s="315"/>
      <c r="E1068" s="316"/>
      <c r="H1068" s="256"/>
      <c r="J1068" s="256"/>
      <c r="W1068" s="317"/>
      <c r="Z1068" s="176"/>
      <c r="AA1068" s="176"/>
    </row>
    <row r="1069" spans="4:27">
      <c r="D1069" s="315"/>
      <c r="E1069" s="316"/>
      <c r="H1069" s="256"/>
      <c r="J1069" s="256"/>
      <c r="W1069" s="317"/>
      <c r="Z1069" s="176"/>
      <c r="AA1069" s="176"/>
    </row>
    <row r="1070" spans="4:27">
      <c r="D1070" s="315"/>
      <c r="E1070" s="316"/>
      <c r="H1070" s="256"/>
      <c r="J1070" s="256"/>
      <c r="W1070" s="317"/>
      <c r="Z1070" s="176"/>
      <c r="AA1070" s="176"/>
    </row>
    <row r="1071" spans="4:27">
      <c r="D1071" s="315"/>
      <c r="E1071" s="316"/>
      <c r="H1071" s="256"/>
      <c r="J1071" s="256"/>
      <c r="W1071" s="317"/>
      <c r="Z1071" s="176"/>
      <c r="AA1071" s="176"/>
    </row>
    <row r="1072" spans="4:27">
      <c r="D1072" s="315"/>
      <c r="E1072" s="316"/>
      <c r="H1072" s="256"/>
      <c r="J1072" s="256"/>
      <c r="W1072" s="317"/>
      <c r="Z1072" s="176"/>
      <c r="AA1072" s="176"/>
    </row>
    <row r="1073" spans="4:27">
      <c r="D1073" s="315"/>
      <c r="E1073" s="316"/>
      <c r="H1073" s="256"/>
      <c r="J1073" s="256"/>
      <c r="W1073" s="317"/>
      <c r="Z1073" s="176"/>
      <c r="AA1073" s="176"/>
    </row>
    <row r="1074" spans="4:27">
      <c r="D1074" s="315"/>
      <c r="E1074" s="316"/>
      <c r="H1074" s="256"/>
      <c r="J1074" s="256"/>
      <c r="W1074" s="317"/>
      <c r="Z1074" s="176"/>
      <c r="AA1074" s="176"/>
    </row>
    <row r="1075" spans="4:27">
      <c r="D1075" s="315"/>
      <c r="E1075" s="316"/>
      <c r="H1075" s="256"/>
      <c r="J1075" s="256"/>
      <c r="W1075" s="317"/>
      <c r="Z1075" s="176"/>
      <c r="AA1075" s="176"/>
    </row>
    <row r="1076" spans="4:27">
      <c r="D1076" s="315"/>
      <c r="E1076" s="316"/>
      <c r="H1076" s="256"/>
      <c r="J1076" s="256"/>
      <c r="W1076" s="317"/>
      <c r="Z1076" s="176"/>
      <c r="AA1076" s="176"/>
    </row>
    <row r="1077" spans="4:27">
      <c r="D1077" s="315"/>
      <c r="E1077" s="316"/>
      <c r="H1077" s="256"/>
      <c r="J1077" s="256"/>
      <c r="W1077" s="317"/>
      <c r="Z1077" s="176"/>
      <c r="AA1077" s="176"/>
    </row>
    <row r="1078" spans="4:27">
      <c r="D1078" s="315"/>
      <c r="E1078" s="316"/>
      <c r="H1078" s="256"/>
      <c r="J1078" s="256"/>
      <c r="W1078" s="317"/>
      <c r="Z1078" s="176"/>
      <c r="AA1078" s="176"/>
    </row>
    <row r="1079" spans="4:27">
      <c r="D1079" s="315"/>
      <c r="E1079" s="316"/>
      <c r="H1079" s="256"/>
      <c r="J1079" s="256"/>
      <c r="W1079" s="317"/>
      <c r="Z1079" s="176"/>
      <c r="AA1079" s="176"/>
    </row>
    <row r="1080" spans="4:27">
      <c r="D1080" s="315"/>
      <c r="E1080" s="316"/>
      <c r="H1080" s="256"/>
      <c r="J1080" s="256"/>
      <c r="W1080" s="317"/>
      <c r="Z1080" s="176"/>
      <c r="AA1080" s="176"/>
    </row>
    <row r="1081" spans="4:27">
      <c r="D1081" s="315"/>
      <c r="E1081" s="316"/>
      <c r="H1081" s="256"/>
      <c r="J1081" s="256"/>
      <c r="W1081" s="317"/>
      <c r="Z1081" s="176"/>
      <c r="AA1081" s="176"/>
    </row>
    <row r="1082" spans="4:27">
      <c r="D1082" s="315"/>
      <c r="E1082" s="316"/>
      <c r="H1082" s="256"/>
      <c r="J1082" s="256"/>
      <c r="W1082" s="317"/>
      <c r="Z1082" s="176"/>
      <c r="AA1082" s="176"/>
    </row>
    <row r="1083" spans="4:27">
      <c r="D1083" s="315"/>
      <c r="E1083" s="316"/>
      <c r="H1083" s="256"/>
      <c r="J1083" s="256"/>
      <c r="W1083" s="317"/>
      <c r="Z1083" s="176"/>
      <c r="AA1083" s="176"/>
    </row>
    <row r="1084" spans="4:27">
      <c r="D1084" s="315"/>
      <c r="E1084" s="316"/>
      <c r="H1084" s="256"/>
      <c r="J1084" s="256"/>
      <c r="W1084" s="317"/>
      <c r="Z1084" s="176"/>
      <c r="AA1084" s="176"/>
    </row>
    <row r="1085" spans="4:27">
      <c r="D1085" s="315"/>
      <c r="E1085" s="316"/>
      <c r="H1085" s="256"/>
      <c r="J1085" s="256"/>
      <c r="W1085" s="317"/>
      <c r="Z1085" s="176"/>
      <c r="AA1085" s="176"/>
    </row>
    <row r="1086" spans="4:27">
      <c r="D1086" s="315"/>
      <c r="E1086" s="316"/>
      <c r="H1086" s="256"/>
      <c r="J1086" s="256"/>
      <c r="W1086" s="317"/>
      <c r="Z1086" s="176"/>
      <c r="AA1086" s="176"/>
    </row>
    <row r="1087" spans="4:27">
      <c r="D1087" s="315"/>
      <c r="E1087" s="316"/>
      <c r="H1087" s="256"/>
      <c r="J1087" s="256"/>
      <c r="W1087" s="317"/>
      <c r="Z1087" s="176"/>
      <c r="AA1087" s="176"/>
    </row>
    <row r="1088" spans="4:27">
      <c r="D1088" s="315"/>
      <c r="E1088" s="316"/>
      <c r="H1088" s="256"/>
      <c r="J1088" s="256"/>
      <c r="W1088" s="317"/>
      <c r="Z1088" s="176"/>
      <c r="AA1088" s="176"/>
    </row>
    <row r="1089" spans="4:27">
      <c r="D1089" s="315"/>
      <c r="E1089" s="316"/>
      <c r="H1089" s="256"/>
      <c r="J1089" s="256"/>
      <c r="W1089" s="317"/>
      <c r="Z1089" s="176"/>
      <c r="AA1089" s="176"/>
    </row>
    <row r="1090" spans="4:27">
      <c r="D1090" s="315"/>
      <c r="E1090" s="316"/>
      <c r="H1090" s="256"/>
      <c r="J1090" s="256"/>
      <c r="W1090" s="317"/>
      <c r="Z1090" s="176"/>
      <c r="AA1090" s="176"/>
    </row>
    <row r="1091" spans="4:27">
      <c r="D1091" s="315"/>
      <c r="E1091" s="316"/>
      <c r="H1091" s="256"/>
      <c r="J1091" s="256"/>
      <c r="W1091" s="317"/>
      <c r="Z1091" s="176"/>
      <c r="AA1091" s="176"/>
    </row>
    <row r="1092" spans="4:27">
      <c r="D1092" s="315"/>
      <c r="E1092" s="316"/>
      <c r="H1092" s="256"/>
      <c r="J1092" s="256"/>
      <c r="W1092" s="317"/>
      <c r="Z1092" s="176"/>
      <c r="AA1092" s="176"/>
    </row>
    <row r="1093" spans="4:27">
      <c r="D1093" s="315"/>
      <c r="E1093" s="316"/>
      <c r="H1093" s="256"/>
      <c r="J1093" s="256"/>
      <c r="W1093" s="317"/>
      <c r="Z1093" s="176"/>
      <c r="AA1093" s="176"/>
    </row>
    <row r="1094" spans="4:27">
      <c r="D1094" s="315"/>
      <c r="E1094" s="316"/>
      <c r="H1094" s="256"/>
      <c r="J1094" s="256"/>
      <c r="W1094" s="317"/>
      <c r="Z1094" s="176"/>
      <c r="AA1094" s="176"/>
    </row>
    <row r="1095" spans="4:27">
      <c r="D1095" s="315"/>
      <c r="E1095" s="316"/>
      <c r="H1095" s="256"/>
      <c r="J1095" s="256"/>
      <c r="W1095" s="317"/>
      <c r="Z1095" s="176"/>
      <c r="AA1095" s="176"/>
    </row>
    <row r="1096" spans="4:27">
      <c r="D1096" s="315"/>
      <c r="E1096" s="316"/>
      <c r="H1096" s="256"/>
      <c r="J1096" s="256"/>
      <c r="W1096" s="317"/>
      <c r="Z1096" s="176"/>
      <c r="AA1096" s="176"/>
    </row>
    <row r="1097" spans="4:27">
      <c r="D1097" s="315"/>
      <c r="E1097" s="316"/>
      <c r="H1097" s="256"/>
      <c r="J1097" s="256"/>
      <c r="W1097" s="317"/>
      <c r="Z1097" s="176"/>
      <c r="AA1097" s="176"/>
    </row>
    <row r="1098" spans="4:27">
      <c r="D1098" s="315"/>
      <c r="E1098" s="316"/>
      <c r="H1098" s="256"/>
      <c r="J1098" s="256"/>
      <c r="W1098" s="317"/>
      <c r="Z1098" s="176"/>
      <c r="AA1098" s="176"/>
    </row>
    <row r="1099" spans="4:27">
      <c r="D1099" s="315"/>
      <c r="E1099" s="316"/>
      <c r="H1099" s="256"/>
      <c r="J1099" s="256"/>
      <c r="W1099" s="317"/>
      <c r="Z1099" s="176"/>
      <c r="AA1099" s="176"/>
    </row>
    <row r="1100" spans="4:27">
      <c r="D1100" s="315"/>
      <c r="E1100" s="316"/>
      <c r="H1100" s="256"/>
      <c r="J1100" s="256"/>
      <c r="W1100" s="317"/>
      <c r="Z1100" s="176"/>
      <c r="AA1100" s="176"/>
    </row>
    <row r="1101" spans="4:27">
      <c r="D1101" s="315"/>
      <c r="E1101" s="316"/>
      <c r="H1101" s="256"/>
      <c r="J1101" s="256"/>
      <c r="W1101" s="317"/>
      <c r="Z1101" s="176"/>
      <c r="AA1101" s="176"/>
    </row>
    <row r="1102" spans="4:27">
      <c r="D1102" s="315"/>
      <c r="E1102" s="316"/>
      <c r="H1102" s="256"/>
      <c r="J1102" s="256"/>
      <c r="W1102" s="317"/>
      <c r="Z1102" s="176"/>
      <c r="AA1102" s="176"/>
    </row>
    <row r="1103" spans="4:27">
      <c r="D1103" s="315"/>
      <c r="E1103" s="316"/>
      <c r="H1103" s="256"/>
      <c r="J1103" s="256"/>
      <c r="W1103" s="317"/>
      <c r="Z1103" s="176"/>
      <c r="AA1103" s="176"/>
    </row>
    <row r="1104" spans="4:27">
      <c r="D1104" s="315"/>
      <c r="E1104" s="316"/>
      <c r="H1104" s="256"/>
      <c r="J1104" s="256"/>
      <c r="W1104" s="317"/>
      <c r="Z1104" s="176"/>
      <c r="AA1104" s="176"/>
    </row>
    <row r="1105" spans="4:27">
      <c r="D1105" s="315"/>
      <c r="E1105" s="316"/>
      <c r="H1105" s="256"/>
      <c r="J1105" s="256"/>
      <c r="W1105" s="317"/>
      <c r="Z1105" s="176"/>
      <c r="AA1105" s="176"/>
    </row>
    <row r="1106" spans="4:27">
      <c r="D1106" s="315"/>
      <c r="E1106" s="316"/>
      <c r="H1106" s="256"/>
      <c r="J1106" s="256"/>
      <c r="W1106" s="317"/>
      <c r="Z1106" s="176"/>
      <c r="AA1106" s="176"/>
    </row>
    <row r="1107" spans="4:27">
      <c r="D1107" s="315"/>
      <c r="E1107" s="316"/>
      <c r="H1107" s="256"/>
      <c r="J1107" s="256"/>
      <c r="W1107" s="317"/>
      <c r="Z1107" s="176"/>
      <c r="AA1107" s="176"/>
    </row>
    <row r="1108" spans="4:27">
      <c r="D1108" s="315"/>
      <c r="E1108" s="316"/>
      <c r="H1108" s="256"/>
      <c r="J1108" s="256"/>
      <c r="W1108" s="317"/>
      <c r="Z1108" s="176"/>
      <c r="AA1108" s="176"/>
    </row>
    <row r="1109" spans="4:27">
      <c r="D1109" s="315"/>
      <c r="E1109" s="316"/>
      <c r="H1109" s="256"/>
      <c r="J1109" s="256"/>
      <c r="W1109" s="317"/>
      <c r="Z1109" s="176"/>
      <c r="AA1109" s="176"/>
    </row>
    <row r="1110" spans="4:27">
      <c r="D1110" s="315"/>
      <c r="E1110" s="316"/>
      <c r="H1110" s="256"/>
      <c r="J1110" s="256"/>
      <c r="W1110" s="317"/>
      <c r="Z1110" s="176"/>
      <c r="AA1110" s="176"/>
    </row>
    <row r="1111" spans="4:27">
      <c r="D1111" s="315"/>
      <c r="E1111" s="316"/>
      <c r="H1111" s="256"/>
      <c r="J1111" s="256"/>
      <c r="W1111" s="317"/>
      <c r="Z1111" s="176"/>
      <c r="AA1111" s="176"/>
    </row>
    <row r="1112" spans="4:27">
      <c r="D1112" s="315"/>
      <c r="E1112" s="316"/>
      <c r="H1112" s="256"/>
      <c r="J1112" s="256"/>
      <c r="W1112" s="317"/>
      <c r="Z1112" s="176"/>
      <c r="AA1112" s="176"/>
    </row>
    <row r="1113" spans="4:27">
      <c r="D1113" s="315"/>
      <c r="E1113" s="316"/>
      <c r="H1113" s="256"/>
      <c r="J1113" s="256"/>
      <c r="W1113" s="317"/>
      <c r="Z1113" s="176"/>
      <c r="AA1113" s="176"/>
    </row>
    <row r="1114" spans="4:27">
      <c r="D1114" s="315"/>
      <c r="E1114" s="316"/>
      <c r="H1114" s="256"/>
      <c r="J1114" s="256"/>
      <c r="W1114" s="317"/>
      <c r="Z1114" s="176"/>
      <c r="AA1114" s="176"/>
    </row>
    <row r="1115" spans="4:27">
      <c r="D1115" s="315"/>
      <c r="E1115" s="316"/>
      <c r="H1115" s="256"/>
      <c r="J1115" s="256"/>
      <c r="W1115" s="317"/>
      <c r="Z1115" s="176"/>
      <c r="AA1115" s="176"/>
    </row>
    <row r="1116" spans="4:27">
      <c r="D1116" s="315"/>
      <c r="E1116" s="316"/>
      <c r="H1116" s="256"/>
      <c r="J1116" s="256"/>
      <c r="W1116" s="317"/>
      <c r="Z1116" s="176"/>
      <c r="AA1116" s="176"/>
    </row>
    <row r="1117" spans="4:27">
      <c r="D1117" s="315"/>
      <c r="E1117" s="316"/>
      <c r="H1117" s="256"/>
      <c r="J1117" s="256"/>
      <c r="W1117" s="317"/>
      <c r="Z1117" s="176"/>
      <c r="AA1117" s="176"/>
    </row>
    <row r="1118" spans="4:27">
      <c r="D1118" s="315"/>
      <c r="E1118" s="316"/>
      <c r="H1118" s="256"/>
      <c r="J1118" s="256"/>
      <c r="W1118" s="317"/>
      <c r="Z1118" s="176"/>
      <c r="AA1118" s="176"/>
    </row>
    <row r="1119" spans="4:27">
      <c r="D1119" s="315"/>
      <c r="E1119" s="316"/>
      <c r="H1119" s="256"/>
      <c r="J1119" s="256"/>
      <c r="W1119" s="317"/>
      <c r="Z1119" s="176"/>
      <c r="AA1119" s="176"/>
    </row>
    <row r="1120" spans="4:27">
      <c r="D1120" s="315"/>
      <c r="E1120" s="316"/>
      <c r="H1120" s="256"/>
      <c r="J1120" s="256"/>
      <c r="W1120" s="317"/>
      <c r="Z1120" s="176"/>
      <c r="AA1120" s="176"/>
    </row>
    <row r="1121" spans="4:27">
      <c r="D1121" s="315"/>
      <c r="E1121" s="316"/>
      <c r="H1121" s="256"/>
      <c r="J1121" s="256"/>
      <c r="W1121" s="317"/>
      <c r="Z1121" s="176"/>
      <c r="AA1121" s="176"/>
    </row>
    <row r="1122" spans="4:27">
      <c r="D1122" s="315"/>
      <c r="E1122" s="316"/>
      <c r="H1122" s="256"/>
      <c r="J1122" s="256"/>
      <c r="W1122" s="317"/>
      <c r="Z1122" s="176"/>
      <c r="AA1122" s="176"/>
    </row>
    <row r="1123" spans="4:27">
      <c r="D1123" s="315"/>
      <c r="E1123" s="316"/>
      <c r="H1123" s="256"/>
      <c r="J1123" s="256"/>
      <c r="W1123" s="317"/>
      <c r="Z1123" s="176"/>
      <c r="AA1123" s="176"/>
    </row>
    <row r="1124" spans="4:27">
      <c r="D1124" s="315"/>
      <c r="E1124" s="316"/>
      <c r="H1124" s="256"/>
      <c r="J1124" s="256"/>
      <c r="W1124" s="317"/>
      <c r="Z1124" s="176"/>
      <c r="AA1124" s="176"/>
    </row>
    <row r="1125" spans="4:27">
      <c r="D1125" s="315"/>
      <c r="E1125" s="316"/>
      <c r="H1125" s="256"/>
      <c r="J1125" s="256"/>
      <c r="W1125" s="317"/>
      <c r="Z1125" s="176"/>
      <c r="AA1125" s="176"/>
    </row>
    <row r="1126" spans="4:27">
      <c r="D1126" s="315"/>
      <c r="E1126" s="316"/>
      <c r="H1126" s="256"/>
      <c r="J1126" s="256"/>
      <c r="W1126" s="317"/>
      <c r="Z1126" s="176"/>
      <c r="AA1126" s="176"/>
    </row>
    <row r="1127" spans="4:27">
      <c r="D1127" s="315"/>
      <c r="E1127" s="316"/>
      <c r="H1127" s="256"/>
      <c r="J1127" s="256"/>
      <c r="W1127" s="317"/>
      <c r="Z1127" s="176"/>
      <c r="AA1127" s="176"/>
    </row>
    <row r="1128" spans="4:27">
      <c r="D1128" s="315"/>
      <c r="E1128" s="316"/>
      <c r="H1128" s="256"/>
      <c r="J1128" s="256"/>
      <c r="W1128" s="317"/>
      <c r="Z1128" s="176"/>
      <c r="AA1128" s="176"/>
    </row>
    <row r="1129" spans="4:27">
      <c r="D1129" s="315"/>
      <c r="E1129" s="316"/>
      <c r="H1129" s="256"/>
      <c r="J1129" s="256"/>
      <c r="W1129" s="317"/>
      <c r="Z1129" s="176"/>
      <c r="AA1129" s="176"/>
    </row>
    <row r="1130" spans="4:27">
      <c r="D1130" s="315"/>
      <c r="E1130" s="316"/>
      <c r="H1130" s="256"/>
      <c r="J1130" s="256"/>
      <c r="W1130" s="317"/>
      <c r="Z1130" s="176"/>
      <c r="AA1130" s="176"/>
    </row>
    <row r="1131" spans="4:27">
      <c r="D1131" s="315"/>
      <c r="E1131" s="316"/>
      <c r="H1131" s="256"/>
      <c r="J1131" s="256"/>
      <c r="W1131" s="317"/>
      <c r="Z1131" s="176"/>
      <c r="AA1131" s="176"/>
    </row>
    <row r="1132" spans="4:27">
      <c r="D1132" s="315"/>
      <c r="E1132" s="316"/>
      <c r="H1132" s="256"/>
      <c r="J1132" s="256"/>
      <c r="W1132" s="317"/>
      <c r="Z1132" s="176"/>
      <c r="AA1132" s="176"/>
    </row>
    <row r="1133" spans="4:27">
      <c r="D1133" s="315"/>
      <c r="E1133" s="316"/>
      <c r="H1133" s="256"/>
      <c r="J1133" s="256"/>
      <c r="W1133" s="317"/>
      <c r="Z1133" s="176"/>
      <c r="AA1133" s="176"/>
    </row>
    <row r="1134" spans="4:27">
      <c r="D1134" s="315"/>
      <c r="E1134" s="316"/>
      <c r="H1134" s="256"/>
      <c r="J1134" s="256"/>
      <c r="W1134" s="317"/>
      <c r="Z1134" s="176"/>
      <c r="AA1134" s="176"/>
    </row>
    <row r="1135" spans="4:27">
      <c r="D1135" s="315"/>
      <c r="E1135" s="316"/>
      <c r="H1135" s="256"/>
      <c r="J1135" s="256"/>
      <c r="W1135" s="317"/>
      <c r="Z1135" s="176"/>
      <c r="AA1135" s="176"/>
    </row>
    <row r="1136" spans="4:27">
      <c r="D1136" s="315"/>
      <c r="E1136" s="316"/>
      <c r="H1136" s="256"/>
      <c r="J1136" s="256"/>
      <c r="W1136" s="317"/>
      <c r="Z1136" s="176"/>
      <c r="AA1136" s="176"/>
    </row>
    <row r="1137" spans="4:27">
      <c r="D1137" s="315"/>
      <c r="E1137" s="316"/>
      <c r="H1137" s="256"/>
      <c r="J1137" s="256"/>
      <c r="W1137" s="317"/>
      <c r="Z1137" s="176"/>
      <c r="AA1137" s="176"/>
    </row>
    <row r="1138" spans="4:27">
      <c r="D1138" s="315"/>
      <c r="E1138" s="316"/>
      <c r="H1138" s="256"/>
      <c r="J1138" s="256"/>
      <c r="W1138" s="317"/>
      <c r="Z1138" s="176"/>
      <c r="AA1138" s="176"/>
    </row>
    <row r="1139" spans="4:27">
      <c r="D1139" s="315"/>
      <c r="E1139" s="316"/>
      <c r="H1139" s="256"/>
      <c r="J1139" s="256"/>
      <c r="W1139" s="317"/>
      <c r="Z1139" s="176"/>
      <c r="AA1139" s="176"/>
    </row>
    <row r="1140" spans="4:27">
      <c r="D1140" s="315"/>
      <c r="E1140" s="316"/>
      <c r="H1140" s="256"/>
      <c r="J1140" s="256"/>
      <c r="W1140" s="317"/>
      <c r="Z1140" s="176"/>
      <c r="AA1140" s="176"/>
    </row>
    <row r="1141" spans="4:27">
      <c r="D1141" s="315"/>
      <c r="E1141" s="316"/>
      <c r="H1141" s="256"/>
      <c r="J1141" s="256"/>
      <c r="W1141" s="317"/>
      <c r="Z1141" s="176"/>
      <c r="AA1141" s="176"/>
    </row>
    <row r="1142" spans="4:27">
      <c r="D1142" s="315"/>
      <c r="E1142" s="316"/>
      <c r="H1142" s="256"/>
      <c r="J1142" s="256"/>
      <c r="W1142" s="317"/>
      <c r="Z1142" s="176"/>
      <c r="AA1142" s="176"/>
    </row>
    <row r="1143" spans="4:27">
      <c r="D1143" s="315"/>
      <c r="E1143" s="316"/>
      <c r="H1143" s="256"/>
      <c r="J1143" s="256"/>
      <c r="W1143" s="317"/>
      <c r="Z1143" s="176"/>
      <c r="AA1143" s="176"/>
    </row>
    <row r="1144" spans="4:27">
      <c r="D1144" s="315"/>
      <c r="E1144" s="316"/>
      <c r="H1144" s="256"/>
      <c r="J1144" s="256"/>
      <c r="W1144" s="317"/>
      <c r="Z1144" s="176"/>
      <c r="AA1144" s="176"/>
    </row>
    <row r="1145" spans="4:27">
      <c r="D1145" s="315"/>
      <c r="E1145" s="316"/>
      <c r="H1145" s="256"/>
      <c r="J1145" s="256"/>
      <c r="W1145" s="317"/>
      <c r="Z1145" s="176"/>
      <c r="AA1145" s="176"/>
    </row>
    <row r="1146" spans="4:27">
      <c r="D1146" s="315"/>
      <c r="E1146" s="316"/>
      <c r="H1146" s="256"/>
      <c r="J1146" s="256"/>
      <c r="W1146" s="317"/>
      <c r="Z1146" s="176"/>
      <c r="AA1146" s="176"/>
    </row>
    <row r="1147" spans="4:27">
      <c r="D1147" s="315"/>
      <c r="E1147" s="316"/>
      <c r="H1147" s="256"/>
      <c r="J1147" s="256"/>
      <c r="W1147" s="317"/>
      <c r="Z1147" s="176"/>
      <c r="AA1147" s="176"/>
    </row>
    <row r="1148" spans="4:27">
      <c r="D1148" s="315"/>
      <c r="E1148" s="316"/>
      <c r="H1148" s="256"/>
      <c r="J1148" s="256"/>
      <c r="W1148" s="317"/>
      <c r="Z1148" s="176"/>
      <c r="AA1148" s="176"/>
    </row>
    <row r="1149" spans="4:27">
      <c r="D1149" s="315"/>
      <c r="E1149" s="316"/>
      <c r="H1149" s="256"/>
      <c r="J1149" s="256"/>
      <c r="W1149" s="317"/>
      <c r="Z1149" s="176"/>
      <c r="AA1149" s="176"/>
    </row>
    <row r="1150" spans="4:27">
      <c r="D1150" s="315"/>
      <c r="E1150" s="316"/>
      <c r="H1150" s="256"/>
      <c r="J1150" s="256"/>
      <c r="W1150" s="317"/>
      <c r="Z1150" s="176"/>
      <c r="AA1150" s="176"/>
    </row>
    <row r="1151" spans="4:27">
      <c r="D1151" s="315"/>
      <c r="E1151" s="316"/>
      <c r="H1151" s="256"/>
      <c r="J1151" s="256"/>
      <c r="W1151" s="317"/>
      <c r="Z1151" s="176"/>
      <c r="AA1151" s="176"/>
    </row>
    <row r="1152" spans="4:27">
      <c r="D1152" s="315"/>
      <c r="E1152" s="316"/>
      <c r="H1152" s="256"/>
      <c r="J1152" s="256"/>
      <c r="W1152" s="317"/>
      <c r="Z1152" s="176"/>
      <c r="AA1152" s="176"/>
    </row>
    <row r="1153" spans="4:27">
      <c r="D1153" s="315"/>
      <c r="E1153" s="316"/>
      <c r="H1153" s="256"/>
      <c r="J1153" s="256"/>
      <c r="W1153" s="317"/>
      <c r="Z1153" s="176"/>
      <c r="AA1153" s="176"/>
    </row>
    <row r="1154" spans="4:27">
      <c r="D1154" s="315"/>
      <c r="E1154" s="316"/>
      <c r="H1154" s="256"/>
      <c r="J1154" s="256"/>
      <c r="W1154" s="317"/>
      <c r="Z1154" s="176"/>
      <c r="AA1154" s="176"/>
    </row>
    <row r="1155" spans="4:27">
      <c r="D1155" s="315"/>
      <c r="E1155" s="316"/>
      <c r="H1155" s="256"/>
      <c r="J1155" s="256"/>
      <c r="W1155" s="317"/>
      <c r="Z1155" s="176"/>
      <c r="AA1155" s="176"/>
    </row>
    <row r="1156" spans="4:27">
      <c r="D1156" s="315"/>
      <c r="E1156" s="316"/>
      <c r="H1156" s="256"/>
      <c r="J1156" s="256"/>
      <c r="W1156" s="317"/>
      <c r="Z1156" s="176"/>
      <c r="AA1156" s="176"/>
    </row>
    <row r="1157" spans="4:27">
      <c r="D1157" s="315"/>
      <c r="E1157" s="316"/>
      <c r="H1157" s="256"/>
      <c r="J1157" s="256"/>
      <c r="W1157" s="317"/>
      <c r="Z1157" s="176"/>
      <c r="AA1157" s="176"/>
    </row>
    <row r="1158" spans="4:27">
      <c r="D1158" s="315"/>
      <c r="E1158" s="316"/>
      <c r="H1158" s="256"/>
      <c r="J1158" s="256"/>
      <c r="W1158" s="317"/>
      <c r="Z1158" s="176"/>
      <c r="AA1158" s="176"/>
    </row>
    <row r="1159" spans="4:27">
      <c r="D1159" s="315"/>
      <c r="E1159" s="316"/>
      <c r="H1159" s="256"/>
      <c r="J1159" s="256"/>
      <c r="W1159" s="317"/>
      <c r="Z1159" s="176"/>
      <c r="AA1159" s="176"/>
    </row>
    <row r="1160" spans="4:27">
      <c r="D1160" s="315"/>
      <c r="E1160" s="316"/>
      <c r="H1160" s="256"/>
      <c r="J1160" s="256"/>
      <c r="W1160" s="317"/>
      <c r="Z1160" s="176"/>
      <c r="AA1160" s="176"/>
    </row>
    <row r="1161" spans="4:27">
      <c r="D1161" s="315"/>
      <c r="E1161" s="316"/>
      <c r="H1161" s="256"/>
      <c r="J1161" s="256"/>
      <c r="W1161" s="317"/>
      <c r="Z1161" s="176"/>
      <c r="AA1161" s="176"/>
    </row>
    <row r="1162" spans="4:27">
      <c r="D1162" s="315"/>
      <c r="E1162" s="316"/>
      <c r="H1162" s="256"/>
      <c r="J1162" s="256"/>
      <c r="W1162" s="317"/>
      <c r="Z1162" s="176"/>
      <c r="AA1162" s="176"/>
    </row>
    <row r="1163" spans="4:27">
      <c r="D1163" s="315"/>
      <c r="E1163" s="316"/>
      <c r="H1163" s="256"/>
      <c r="J1163" s="256"/>
      <c r="W1163" s="317"/>
      <c r="Z1163" s="176"/>
      <c r="AA1163" s="176"/>
    </row>
    <row r="1164" spans="4:27">
      <c r="D1164" s="315"/>
      <c r="E1164" s="316"/>
      <c r="H1164" s="256"/>
      <c r="J1164" s="256"/>
      <c r="W1164" s="317"/>
      <c r="Z1164" s="176"/>
      <c r="AA1164" s="176"/>
    </row>
    <row r="1165" spans="4:27">
      <c r="D1165" s="315"/>
      <c r="E1165" s="316"/>
      <c r="H1165" s="256"/>
      <c r="J1165" s="256"/>
      <c r="W1165" s="317"/>
      <c r="Z1165" s="176"/>
      <c r="AA1165" s="176"/>
    </row>
    <row r="1166" spans="4:27">
      <c r="D1166" s="315"/>
      <c r="E1166" s="316"/>
      <c r="H1166" s="256"/>
      <c r="J1166" s="256"/>
      <c r="W1166" s="317"/>
      <c r="Z1166" s="176"/>
      <c r="AA1166" s="176"/>
    </row>
    <row r="1167" spans="4:27">
      <c r="D1167" s="315"/>
      <c r="E1167" s="316"/>
      <c r="H1167" s="256"/>
      <c r="J1167" s="256"/>
      <c r="W1167" s="317"/>
      <c r="Z1167" s="176"/>
      <c r="AA1167" s="176"/>
    </row>
    <row r="1168" spans="4:27">
      <c r="D1168" s="315"/>
      <c r="E1168" s="316"/>
      <c r="H1168" s="256"/>
      <c r="J1168" s="256"/>
      <c r="W1168" s="317"/>
      <c r="Z1168" s="176"/>
      <c r="AA1168" s="176"/>
    </row>
    <row r="1169" spans="4:27">
      <c r="D1169" s="315"/>
      <c r="E1169" s="316"/>
      <c r="H1169" s="256"/>
      <c r="J1169" s="256"/>
      <c r="W1169" s="317"/>
      <c r="Z1169" s="176"/>
      <c r="AA1169" s="176"/>
    </row>
    <row r="1170" spans="4:27">
      <c r="D1170" s="315"/>
      <c r="E1170" s="316"/>
      <c r="H1170" s="256"/>
      <c r="J1170" s="256"/>
      <c r="W1170" s="317"/>
      <c r="Z1170" s="176"/>
      <c r="AA1170" s="176"/>
    </row>
    <row r="1171" spans="4:27">
      <c r="D1171" s="315"/>
      <c r="E1171" s="316"/>
      <c r="H1171" s="256"/>
      <c r="J1171" s="256"/>
      <c r="W1171" s="317"/>
      <c r="Z1171" s="176"/>
      <c r="AA1171" s="176"/>
    </row>
    <row r="1172" spans="4:27">
      <c r="D1172" s="315"/>
      <c r="E1172" s="316"/>
      <c r="H1172" s="256"/>
      <c r="J1172" s="256"/>
      <c r="W1172" s="317"/>
      <c r="Z1172" s="176"/>
      <c r="AA1172" s="176"/>
    </row>
    <row r="1173" spans="4:27">
      <c r="D1173" s="315"/>
      <c r="E1173" s="316"/>
      <c r="H1173" s="256"/>
      <c r="J1173" s="256"/>
      <c r="W1173" s="317"/>
      <c r="Z1173" s="176"/>
      <c r="AA1173" s="176"/>
    </row>
    <row r="1174" spans="4:27">
      <c r="D1174" s="315"/>
      <c r="E1174" s="316"/>
      <c r="H1174" s="256"/>
      <c r="J1174" s="256"/>
      <c r="W1174" s="317"/>
      <c r="Z1174" s="176"/>
      <c r="AA1174" s="176"/>
    </row>
    <row r="1175" spans="4:27">
      <c r="D1175" s="315"/>
      <c r="E1175" s="316"/>
      <c r="H1175" s="256"/>
      <c r="J1175" s="256"/>
      <c r="W1175" s="317"/>
      <c r="Z1175" s="176"/>
      <c r="AA1175" s="176"/>
    </row>
    <row r="1176" spans="4:27">
      <c r="D1176" s="315"/>
      <c r="E1176" s="316"/>
      <c r="H1176" s="256"/>
      <c r="J1176" s="256"/>
      <c r="W1176" s="317"/>
      <c r="Z1176" s="176"/>
      <c r="AA1176" s="176"/>
    </row>
    <row r="1177" spans="4:27">
      <c r="D1177" s="315"/>
      <c r="E1177" s="316"/>
      <c r="H1177" s="256"/>
      <c r="J1177" s="256"/>
      <c r="W1177" s="317"/>
      <c r="Z1177" s="176"/>
      <c r="AA1177" s="176"/>
    </row>
    <row r="1178" spans="4:27">
      <c r="D1178" s="315"/>
      <c r="E1178" s="316"/>
      <c r="H1178" s="256"/>
      <c r="J1178" s="256"/>
      <c r="W1178" s="317"/>
      <c r="Z1178" s="176"/>
      <c r="AA1178" s="176"/>
    </row>
    <row r="1179" spans="4:27">
      <c r="D1179" s="315"/>
      <c r="E1179" s="316"/>
      <c r="H1179" s="256"/>
      <c r="J1179" s="256"/>
      <c r="W1179" s="317"/>
      <c r="Z1179" s="176"/>
      <c r="AA1179" s="176"/>
    </row>
    <row r="1180" spans="4:27">
      <c r="D1180" s="315"/>
      <c r="E1180" s="316"/>
      <c r="H1180" s="256"/>
      <c r="J1180" s="256"/>
      <c r="W1180" s="317"/>
      <c r="Z1180" s="176"/>
      <c r="AA1180" s="176"/>
    </row>
    <row r="1181" spans="4:27">
      <c r="D1181" s="315"/>
      <c r="E1181" s="316"/>
      <c r="H1181" s="256"/>
      <c r="J1181" s="256"/>
      <c r="W1181" s="317"/>
      <c r="Z1181" s="176"/>
      <c r="AA1181" s="176"/>
    </row>
    <row r="1182" spans="4:27">
      <c r="D1182" s="315"/>
      <c r="E1182" s="316"/>
      <c r="H1182" s="256"/>
      <c r="J1182" s="256"/>
      <c r="W1182" s="317"/>
      <c r="Z1182" s="176"/>
      <c r="AA1182" s="176"/>
    </row>
    <row r="1183" spans="4:27">
      <c r="D1183" s="315"/>
      <c r="E1183" s="316"/>
      <c r="H1183" s="256"/>
      <c r="J1183" s="256"/>
      <c r="W1183" s="317"/>
      <c r="Z1183" s="176"/>
      <c r="AA1183" s="176"/>
    </row>
    <row r="1184" spans="4:27">
      <c r="D1184" s="315"/>
      <c r="E1184" s="316"/>
      <c r="H1184" s="256"/>
      <c r="J1184" s="256"/>
      <c r="W1184" s="317"/>
      <c r="Z1184" s="176"/>
      <c r="AA1184" s="176"/>
    </row>
    <row r="1185" spans="4:27">
      <c r="D1185" s="315"/>
      <c r="E1185" s="316"/>
      <c r="H1185" s="256"/>
      <c r="J1185" s="256"/>
      <c r="W1185" s="317"/>
      <c r="Z1185" s="176"/>
      <c r="AA1185" s="176"/>
    </row>
    <row r="1186" spans="4:27">
      <c r="D1186" s="315"/>
      <c r="E1186" s="316"/>
      <c r="H1186" s="256"/>
      <c r="J1186" s="256"/>
      <c r="W1186" s="317"/>
      <c r="Z1186" s="176"/>
      <c r="AA1186" s="176"/>
    </row>
    <row r="1187" spans="4:27">
      <c r="D1187" s="315"/>
      <c r="E1187" s="316"/>
      <c r="H1187" s="256"/>
      <c r="J1187" s="256"/>
      <c r="W1187" s="317"/>
      <c r="Z1187" s="176"/>
      <c r="AA1187" s="176"/>
    </row>
    <row r="1188" spans="4:27">
      <c r="D1188" s="315"/>
      <c r="E1188" s="316"/>
      <c r="H1188" s="256"/>
      <c r="J1188" s="256"/>
      <c r="W1188" s="317"/>
      <c r="Z1188" s="176"/>
      <c r="AA1188" s="176"/>
    </row>
    <row r="1189" spans="4:27">
      <c r="D1189" s="315"/>
      <c r="E1189" s="316"/>
      <c r="H1189" s="256"/>
      <c r="J1189" s="256"/>
      <c r="W1189" s="317"/>
      <c r="Z1189" s="176"/>
      <c r="AA1189" s="176"/>
    </row>
    <row r="1190" spans="4:27">
      <c r="D1190" s="315"/>
      <c r="E1190" s="316"/>
      <c r="H1190" s="256"/>
      <c r="J1190" s="256"/>
      <c r="W1190" s="317"/>
      <c r="Z1190" s="176"/>
      <c r="AA1190" s="176"/>
    </row>
    <row r="1191" spans="4:27">
      <c r="D1191" s="315"/>
      <c r="E1191" s="316"/>
      <c r="H1191" s="256"/>
      <c r="J1191" s="256"/>
      <c r="W1191" s="317"/>
      <c r="Z1191" s="176"/>
      <c r="AA1191" s="176"/>
    </row>
    <row r="1192" spans="4:27">
      <c r="D1192" s="315"/>
      <c r="E1192" s="316"/>
      <c r="H1192" s="256"/>
      <c r="J1192" s="256"/>
      <c r="W1192" s="317"/>
      <c r="Z1192" s="176"/>
      <c r="AA1192" s="176"/>
    </row>
    <row r="1193" spans="4:27">
      <c r="D1193" s="315"/>
      <c r="E1193" s="316"/>
      <c r="H1193" s="256"/>
      <c r="J1193" s="256"/>
      <c r="W1193" s="317"/>
      <c r="Z1193" s="176"/>
      <c r="AA1193" s="176"/>
    </row>
    <row r="1194" spans="4:27">
      <c r="D1194" s="315"/>
      <c r="E1194" s="316"/>
      <c r="H1194" s="256"/>
      <c r="J1194" s="256"/>
      <c r="W1194" s="317"/>
      <c r="Z1194" s="176"/>
      <c r="AA1194" s="176"/>
    </row>
    <row r="1195" spans="4:27">
      <c r="D1195" s="315"/>
      <c r="E1195" s="316"/>
      <c r="H1195" s="256"/>
      <c r="J1195" s="256"/>
      <c r="W1195" s="317"/>
      <c r="Z1195" s="176"/>
      <c r="AA1195" s="176"/>
    </row>
    <row r="1196" spans="4:27">
      <c r="D1196" s="315"/>
      <c r="E1196" s="316"/>
      <c r="H1196" s="256"/>
      <c r="J1196" s="256"/>
      <c r="W1196" s="317"/>
      <c r="Z1196" s="176"/>
      <c r="AA1196" s="176"/>
    </row>
    <row r="1197" spans="4:27">
      <c r="D1197" s="315"/>
      <c r="E1197" s="316"/>
      <c r="H1197" s="256"/>
      <c r="J1197" s="256"/>
      <c r="W1197" s="317"/>
      <c r="Z1197" s="176"/>
      <c r="AA1197" s="176"/>
    </row>
    <row r="1198" spans="4:27">
      <c r="D1198" s="315"/>
      <c r="E1198" s="316"/>
      <c r="H1198" s="256"/>
      <c r="J1198" s="256"/>
      <c r="W1198" s="317"/>
      <c r="Z1198" s="176"/>
      <c r="AA1198" s="176"/>
    </row>
    <row r="1199" spans="4:27">
      <c r="D1199" s="315"/>
      <c r="E1199" s="316"/>
      <c r="H1199" s="256"/>
      <c r="J1199" s="256"/>
      <c r="W1199" s="317"/>
      <c r="Z1199" s="176"/>
      <c r="AA1199" s="176"/>
    </row>
    <row r="1200" spans="4:27">
      <c r="D1200" s="315"/>
      <c r="E1200" s="316"/>
      <c r="H1200" s="256"/>
      <c r="J1200" s="256"/>
      <c r="W1200" s="317"/>
      <c r="Z1200" s="176"/>
      <c r="AA1200" s="176"/>
    </row>
    <row r="1201" spans="4:27">
      <c r="D1201" s="315"/>
      <c r="E1201" s="316"/>
      <c r="H1201" s="256"/>
      <c r="J1201" s="256"/>
      <c r="W1201" s="317"/>
      <c r="Z1201" s="176"/>
      <c r="AA1201" s="176"/>
    </row>
    <row r="1202" spans="4:27">
      <c r="D1202" s="315"/>
      <c r="E1202" s="316"/>
      <c r="H1202" s="256"/>
      <c r="J1202" s="256"/>
      <c r="W1202" s="317"/>
      <c r="Z1202" s="176"/>
      <c r="AA1202" s="176"/>
    </row>
    <row r="1203" spans="4:27">
      <c r="D1203" s="315"/>
      <c r="E1203" s="316"/>
      <c r="H1203" s="256"/>
      <c r="J1203" s="256"/>
      <c r="W1203" s="317"/>
      <c r="Z1203" s="176"/>
      <c r="AA1203" s="176"/>
    </row>
    <row r="1204" spans="4:27">
      <c r="D1204" s="315"/>
      <c r="E1204" s="316"/>
      <c r="H1204" s="256"/>
      <c r="J1204" s="256"/>
      <c r="W1204" s="317"/>
      <c r="Z1204" s="176"/>
      <c r="AA1204" s="176"/>
    </row>
    <row r="1205" spans="4:27">
      <c r="D1205" s="315"/>
      <c r="E1205" s="316"/>
      <c r="H1205" s="256"/>
      <c r="J1205" s="256"/>
      <c r="W1205" s="317"/>
      <c r="Z1205" s="176"/>
      <c r="AA1205" s="176"/>
    </row>
    <row r="1206" spans="4:27">
      <c r="D1206" s="315"/>
      <c r="E1206" s="316"/>
      <c r="H1206" s="256"/>
      <c r="J1206" s="256"/>
      <c r="W1206" s="317"/>
      <c r="Z1206" s="176"/>
      <c r="AA1206" s="176"/>
    </row>
    <row r="1207" spans="4:27">
      <c r="D1207" s="315"/>
      <c r="E1207" s="316"/>
      <c r="H1207" s="256"/>
      <c r="J1207" s="256"/>
      <c r="W1207" s="317"/>
      <c r="Z1207" s="176"/>
      <c r="AA1207" s="176"/>
    </row>
    <row r="1208" spans="4:27">
      <c r="D1208" s="315"/>
      <c r="E1208" s="316"/>
      <c r="H1208" s="256"/>
      <c r="J1208" s="256"/>
      <c r="W1208" s="317"/>
      <c r="Z1208" s="176"/>
      <c r="AA1208" s="176"/>
    </row>
    <row r="1209" spans="4:27">
      <c r="D1209" s="315"/>
      <c r="E1209" s="316"/>
      <c r="H1209" s="256"/>
      <c r="J1209" s="256"/>
      <c r="W1209" s="317"/>
      <c r="Z1209" s="176"/>
      <c r="AA1209" s="176"/>
    </row>
    <row r="1210" spans="4:27">
      <c r="D1210" s="315"/>
      <c r="E1210" s="316"/>
      <c r="H1210" s="256"/>
      <c r="J1210" s="256"/>
      <c r="W1210" s="317"/>
      <c r="Z1210" s="176"/>
      <c r="AA1210" s="176"/>
    </row>
    <row r="1211" spans="4:27">
      <c r="D1211" s="315"/>
      <c r="E1211" s="316"/>
      <c r="H1211" s="256"/>
      <c r="J1211" s="256"/>
      <c r="W1211" s="317"/>
      <c r="Z1211" s="176"/>
      <c r="AA1211" s="176"/>
    </row>
    <row r="1212" spans="4:27">
      <c r="D1212" s="315"/>
      <c r="E1212" s="316"/>
      <c r="H1212" s="256"/>
      <c r="J1212" s="256"/>
      <c r="W1212" s="317"/>
      <c r="Z1212" s="176"/>
      <c r="AA1212" s="176"/>
    </row>
    <row r="1213" spans="4:27">
      <c r="D1213" s="315"/>
      <c r="E1213" s="316"/>
      <c r="H1213" s="256"/>
      <c r="J1213" s="256"/>
      <c r="W1213" s="317"/>
      <c r="Z1213" s="176"/>
      <c r="AA1213" s="176"/>
    </row>
    <row r="1214" spans="4:27">
      <c r="D1214" s="315"/>
      <c r="E1214" s="316"/>
      <c r="H1214" s="256"/>
      <c r="J1214" s="256"/>
      <c r="W1214" s="317"/>
      <c r="Z1214" s="176"/>
      <c r="AA1214" s="176"/>
    </row>
    <row r="1215" spans="4:27">
      <c r="D1215" s="315"/>
      <c r="E1215" s="316"/>
      <c r="H1215" s="256"/>
      <c r="J1215" s="256"/>
      <c r="W1215" s="317"/>
      <c r="Z1215" s="176"/>
      <c r="AA1215" s="176"/>
    </row>
    <row r="1216" spans="4:27">
      <c r="D1216" s="315"/>
      <c r="E1216" s="316"/>
      <c r="H1216" s="256"/>
      <c r="J1216" s="256"/>
      <c r="W1216" s="317"/>
      <c r="Z1216" s="176"/>
      <c r="AA1216" s="176"/>
    </row>
    <row r="1217" spans="4:27">
      <c r="D1217" s="315"/>
      <c r="E1217" s="316"/>
      <c r="H1217" s="256"/>
      <c r="J1217" s="256"/>
      <c r="W1217" s="317"/>
      <c r="Z1217" s="176"/>
      <c r="AA1217" s="176"/>
    </row>
    <row r="1218" spans="4:27">
      <c r="D1218" s="315"/>
      <c r="E1218" s="316"/>
      <c r="H1218" s="256"/>
      <c r="J1218" s="256"/>
      <c r="W1218" s="317"/>
      <c r="Z1218" s="176"/>
      <c r="AA1218" s="176"/>
    </row>
    <row r="1219" spans="4:27">
      <c r="D1219" s="315"/>
      <c r="E1219" s="316"/>
      <c r="H1219" s="256"/>
      <c r="J1219" s="256"/>
      <c r="W1219" s="317"/>
      <c r="Z1219" s="176"/>
      <c r="AA1219" s="176"/>
    </row>
    <row r="1220" spans="4:27">
      <c r="D1220" s="315"/>
      <c r="E1220" s="316"/>
      <c r="H1220" s="256"/>
      <c r="J1220" s="256"/>
      <c r="W1220" s="317"/>
      <c r="Z1220" s="176"/>
      <c r="AA1220" s="176"/>
    </row>
    <row r="1221" spans="4:27">
      <c r="D1221" s="315"/>
      <c r="E1221" s="316"/>
      <c r="H1221" s="256"/>
      <c r="J1221" s="256"/>
      <c r="W1221" s="317"/>
      <c r="Z1221" s="176"/>
      <c r="AA1221" s="176"/>
    </row>
    <row r="1222" spans="4:27">
      <c r="D1222" s="315"/>
      <c r="E1222" s="316"/>
      <c r="H1222" s="256"/>
      <c r="J1222" s="256"/>
      <c r="W1222" s="317"/>
      <c r="Z1222" s="176"/>
      <c r="AA1222" s="176"/>
    </row>
    <row r="1223" spans="4:27">
      <c r="D1223" s="315"/>
      <c r="E1223" s="316"/>
      <c r="H1223" s="256"/>
      <c r="J1223" s="256"/>
      <c r="W1223" s="317"/>
      <c r="Z1223" s="176"/>
      <c r="AA1223" s="176"/>
    </row>
    <row r="1224" spans="4:27">
      <c r="D1224" s="315"/>
      <c r="E1224" s="316"/>
      <c r="H1224" s="256"/>
      <c r="J1224" s="256"/>
      <c r="W1224" s="317"/>
      <c r="Z1224" s="176"/>
      <c r="AA1224" s="176"/>
    </row>
    <row r="1225" spans="4:27">
      <c r="D1225" s="315"/>
      <c r="E1225" s="316"/>
      <c r="H1225" s="256"/>
      <c r="J1225" s="256"/>
      <c r="W1225" s="317"/>
      <c r="Z1225" s="176"/>
      <c r="AA1225" s="176"/>
    </row>
    <row r="1226" spans="4:27">
      <c r="D1226" s="315"/>
      <c r="E1226" s="316"/>
      <c r="H1226" s="256"/>
      <c r="J1226" s="256"/>
      <c r="W1226" s="317"/>
      <c r="Z1226" s="176"/>
      <c r="AA1226" s="176"/>
    </row>
    <row r="1227" spans="4:27">
      <c r="D1227" s="315"/>
      <c r="E1227" s="316"/>
      <c r="H1227" s="256"/>
      <c r="J1227" s="256"/>
      <c r="W1227" s="317"/>
      <c r="Z1227" s="176"/>
      <c r="AA1227" s="176"/>
    </row>
    <row r="1228" spans="4:27">
      <c r="D1228" s="315"/>
      <c r="E1228" s="316"/>
      <c r="H1228" s="256"/>
      <c r="J1228" s="256"/>
      <c r="W1228" s="317"/>
      <c r="Z1228" s="176"/>
      <c r="AA1228" s="176"/>
    </row>
    <row r="1229" spans="4:27">
      <c r="D1229" s="315"/>
      <c r="E1229" s="316"/>
      <c r="H1229" s="256"/>
      <c r="J1229" s="256"/>
      <c r="W1229" s="317"/>
      <c r="Z1229" s="176"/>
      <c r="AA1229" s="176"/>
    </row>
    <row r="1230" spans="4:27">
      <c r="D1230" s="315"/>
      <c r="E1230" s="316"/>
      <c r="H1230" s="256"/>
      <c r="J1230" s="256"/>
      <c r="W1230" s="317"/>
      <c r="Z1230" s="176"/>
      <c r="AA1230" s="176"/>
    </row>
    <row r="1231" spans="4:27">
      <c r="D1231" s="315"/>
      <c r="E1231" s="316"/>
      <c r="H1231" s="256"/>
      <c r="J1231" s="256"/>
      <c r="W1231" s="317"/>
      <c r="Z1231" s="176"/>
      <c r="AA1231" s="176"/>
    </row>
    <row r="1232" spans="4:27">
      <c r="D1232" s="315"/>
      <c r="E1232" s="316"/>
      <c r="H1232" s="256"/>
      <c r="J1232" s="256"/>
      <c r="W1232" s="317"/>
      <c r="Z1232" s="176"/>
      <c r="AA1232" s="176"/>
    </row>
    <row r="1233" spans="4:27">
      <c r="D1233" s="315"/>
      <c r="E1233" s="316"/>
      <c r="H1233" s="256"/>
      <c r="J1233" s="256"/>
      <c r="W1233" s="317"/>
      <c r="Z1233" s="176"/>
      <c r="AA1233" s="176"/>
    </row>
    <row r="1234" spans="4:27">
      <c r="D1234" s="315"/>
      <c r="E1234" s="316"/>
      <c r="H1234" s="256"/>
      <c r="J1234" s="256"/>
      <c r="W1234" s="317"/>
      <c r="Z1234" s="176"/>
      <c r="AA1234" s="176"/>
    </row>
    <row r="1235" spans="4:27">
      <c r="D1235" s="315"/>
      <c r="E1235" s="316"/>
      <c r="H1235" s="256"/>
      <c r="J1235" s="256"/>
      <c r="W1235" s="317"/>
      <c r="Z1235" s="176"/>
      <c r="AA1235" s="176"/>
    </row>
    <row r="1236" spans="4:27">
      <c r="D1236" s="315"/>
      <c r="E1236" s="316"/>
      <c r="H1236" s="256"/>
      <c r="J1236" s="256"/>
      <c r="W1236" s="317"/>
      <c r="Z1236" s="176"/>
      <c r="AA1236" s="176"/>
    </row>
    <row r="1237" spans="4:27">
      <c r="D1237" s="315"/>
      <c r="E1237" s="316"/>
      <c r="H1237" s="256"/>
      <c r="J1237" s="256"/>
      <c r="W1237" s="317"/>
      <c r="Z1237" s="176"/>
      <c r="AA1237" s="176"/>
    </row>
    <row r="1238" spans="4:27">
      <c r="D1238" s="315"/>
      <c r="E1238" s="316"/>
      <c r="H1238" s="256"/>
      <c r="J1238" s="256"/>
      <c r="W1238" s="317"/>
      <c r="Z1238" s="176"/>
      <c r="AA1238" s="176"/>
    </row>
    <row r="1239" spans="4:27">
      <c r="D1239" s="315"/>
      <c r="E1239" s="316"/>
      <c r="H1239" s="256"/>
      <c r="J1239" s="256"/>
      <c r="W1239" s="317"/>
      <c r="Z1239" s="176"/>
      <c r="AA1239" s="176"/>
    </row>
    <row r="1240" spans="4:27">
      <c r="D1240" s="315"/>
      <c r="E1240" s="316"/>
      <c r="H1240" s="256"/>
      <c r="J1240" s="256"/>
      <c r="W1240" s="317"/>
      <c r="Z1240" s="176"/>
      <c r="AA1240" s="176"/>
    </row>
    <row r="1241" spans="4:27">
      <c r="D1241" s="315"/>
      <c r="E1241" s="316"/>
      <c r="H1241" s="256"/>
      <c r="J1241" s="256"/>
      <c r="W1241" s="317"/>
      <c r="Z1241" s="176"/>
      <c r="AA1241" s="176"/>
    </row>
    <row r="1242" spans="4:27">
      <c r="D1242" s="315"/>
      <c r="E1242" s="316"/>
      <c r="H1242" s="256"/>
      <c r="J1242" s="256"/>
      <c r="W1242" s="317"/>
      <c r="Z1242" s="176"/>
      <c r="AA1242" s="176"/>
    </row>
    <row r="1243" spans="4:27">
      <c r="D1243" s="315"/>
      <c r="E1243" s="316"/>
      <c r="H1243" s="256"/>
      <c r="J1243" s="256"/>
      <c r="W1243" s="317"/>
      <c r="Z1243" s="176"/>
      <c r="AA1243" s="176"/>
    </row>
    <row r="1244" spans="4:27">
      <c r="D1244" s="315"/>
      <c r="E1244" s="316"/>
      <c r="H1244" s="256"/>
      <c r="J1244" s="256"/>
      <c r="W1244" s="317"/>
      <c r="Z1244" s="176"/>
      <c r="AA1244" s="176"/>
    </row>
    <row r="1245" spans="4:27">
      <c r="D1245" s="315"/>
      <c r="E1245" s="316"/>
      <c r="H1245" s="256"/>
      <c r="J1245" s="256"/>
      <c r="W1245" s="317"/>
      <c r="Z1245" s="176"/>
      <c r="AA1245" s="176"/>
    </row>
    <row r="1246" spans="4:27">
      <c r="D1246" s="315"/>
      <c r="E1246" s="316"/>
      <c r="H1246" s="256"/>
      <c r="J1246" s="256"/>
      <c r="W1246" s="317"/>
      <c r="Z1246" s="176"/>
      <c r="AA1246" s="176"/>
    </row>
    <row r="1247" spans="4:27">
      <c r="D1247" s="315"/>
      <c r="E1247" s="316"/>
      <c r="H1247" s="256"/>
      <c r="J1247" s="256"/>
      <c r="W1247" s="317"/>
      <c r="Z1247" s="176"/>
      <c r="AA1247" s="176"/>
    </row>
    <row r="1248" spans="4:27">
      <c r="D1248" s="315"/>
      <c r="E1248" s="316"/>
      <c r="H1248" s="256"/>
      <c r="J1248" s="256"/>
      <c r="W1248" s="317"/>
      <c r="Z1248" s="176"/>
      <c r="AA1248" s="176"/>
    </row>
    <row r="1249" spans="4:27">
      <c r="D1249" s="315"/>
      <c r="E1249" s="316"/>
      <c r="H1249" s="256"/>
      <c r="J1249" s="256"/>
      <c r="W1249" s="317"/>
      <c r="Z1249" s="176"/>
      <c r="AA1249" s="176"/>
    </row>
    <row r="1250" spans="4:27">
      <c r="D1250" s="315"/>
      <c r="E1250" s="316"/>
      <c r="H1250" s="256"/>
      <c r="J1250" s="256"/>
      <c r="W1250" s="317"/>
      <c r="Z1250" s="176"/>
      <c r="AA1250" s="176"/>
    </row>
    <row r="1251" spans="4:27">
      <c r="D1251" s="315"/>
      <c r="E1251" s="316"/>
      <c r="H1251" s="256"/>
      <c r="J1251" s="256"/>
      <c r="W1251" s="317"/>
      <c r="Z1251" s="176"/>
      <c r="AA1251" s="176"/>
    </row>
    <row r="1252" spans="4:27">
      <c r="D1252" s="315"/>
      <c r="E1252" s="316"/>
      <c r="H1252" s="256"/>
      <c r="J1252" s="256"/>
      <c r="W1252" s="317"/>
      <c r="Z1252" s="176"/>
      <c r="AA1252" s="176"/>
    </row>
    <row r="1253" spans="4:27">
      <c r="D1253" s="315"/>
      <c r="E1253" s="316"/>
      <c r="H1253" s="256"/>
      <c r="J1253" s="256"/>
      <c r="W1253" s="317"/>
      <c r="Z1253" s="176"/>
      <c r="AA1253" s="176"/>
    </row>
    <row r="1254" spans="4:27">
      <c r="D1254" s="315"/>
      <c r="E1254" s="316"/>
      <c r="H1254" s="256"/>
      <c r="J1254" s="256"/>
      <c r="W1254" s="317"/>
      <c r="Z1254" s="176"/>
      <c r="AA1254" s="176"/>
    </row>
    <row r="1255" spans="4:27">
      <c r="D1255" s="315"/>
      <c r="E1255" s="316"/>
      <c r="H1255" s="256"/>
      <c r="J1255" s="256"/>
      <c r="W1255" s="317"/>
      <c r="Z1255" s="176"/>
      <c r="AA1255" s="176"/>
    </row>
    <row r="1256" spans="4:27">
      <c r="D1256" s="315"/>
      <c r="E1256" s="316"/>
      <c r="H1256" s="256"/>
      <c r="J1256" s="256"/>
      <c r="W1256" s="317"/>
      <c r="Z1256" s="176"/>
      <c r="AA1256" s="176"/>
    </row>
    <row r="1257" spans="4:27">
      <c r="D1257" s="315"/>
      <c r="E1257" s="316"/>
      <c r="H1257" s="256"/>
      <c r="J1257" s="256"/>
      <c r="W1257" s="317"/>
      <c r="Z1257" s="176"/>
      <c r="AA1257" s="176"/>
    </row>
    <row r="1258" spans="4:27">
      <c r="D1258" s="315"/>
      <c r="E1258" s="316"/>
      <c r="H1258" s="256"/>
      <c r="J1258" s="256"/>
      <c r="W1258" s="317"/>
      <c r="Z1258" s="176"/>
      <c r="AA1258" s="176"/>
    </row>
    <row r="1259" spans="4:27">
      <c r="D1259" s="315"/>
      <c r="E1259" s="316"/>
      <c r="H1259" s="256"/>
      <c r="J1259" s="256"/>
      <c r="W1259" s="317"/>
      <c r="Z1259" s="176"/>
      <c r="AA1259" s="176"/>
    </row>
    <row r="1260" spans="4:27">
      <c r="D1260" s="315"/>
      <c r="E1260" s="316"/>
      <c r="H1260" s="256"/>
      <c r="J1260" s="256"/>
      <c r="W1260" s="317"/>
      <c r="Z1260" s="176"/>
      <c r="AA1260" s="176"/>
    </row>
    <row r="1261" spans="4:27">
      <c r="D1261" s="315"/>
      <c r="E1261" s="316"/>
      <c r="H1261" s="256"/>
      <c r="J1261" s="256"/>
      <c r="W1261" s="317"/>
      <c r="Z1261" s="176"/>
      <c r="AA1261" s="176"/>
    </row>
    <row r="1262" spans="4:27">
      <c r="D1262" s="315"/>
      <c r="E1262" s="316"/>
      <c r="H1262" s="256"/>
      <c r="J1262" s="256"/>
      <c r="W1262" s="317"/>
      <c r="Z1262" s="176"/>
      <c r="AA1262" s="176"/>
    </row>
    <row r="1263" spans="4:27">
      <c r="D1263" s="315"/>
      <c r="E1263" s="316"/>
      <c r="H1263" s="256"/>
      <c r="J1263" s="256"/>
      <c r="W1263" s="317"/>
      <c r="Z1263" s="176"/>
      <c r="AA1263" s="176"/>
    </row>
    <row r="1264" spans="4:27">
      <c r="D1264" s="315"/>
      <c r="E1264" s="316"/>
      <c r="H1264" s="256"/>
      <c r="J1264" s="256"/>
      <c r="W1264" s="317"/>
      <c r="Z1264" s="176"/>
      <c r="AA1264" s="176"/>
    </row>
    <row r="1265" spans="4:27">
      <c r="D1265" s="315"/>
      <c r="E1265" s="316"/>
      <c r="H1265" s="256"/>
      <c r="J1265" s="256"/>
      <c r="W1265" s="317"/>
      <c r="Z1265" s="176"/>
      <c r="AA1265" s="176"/>
    </row>
    <row r="1266" spans="4:27">
      <c r="D1266" s="315"/>
      <c r="E1266" s="316"/>
      <c r="H1266" s="256"/>
      <c r="J1266" s="256"/>
      <c r="W1266" s="317"/>
      <c r="Z1266" s="176"/>
      <c r="AA1266" s="176"/>
    </row>
    <row r="1267" spans="4:27">
      <c r="D1267" s="315"/>
      <c r="E1267" s="316"/>
      <c r="H1267" s="256"/>
      <c r="J1267" s="256"/>
      <c r="W1267" s="317"/>
      <c r="Z1267" s="176"/>
      <c r="AA1267" s="176"/>
    </row>
    <row r="1268" spans="4:27">
      <c r="D1268" s="315"/>
      <c r="E1268" s="316"/>
      <c r="H1268" s="256"/>
      <c r="J1268" s="256"/>
      <c r="W1268" s="317"/>
      <c r="Z1268" s="176"/>
      <c r="AA1268" s="176"/>
    </row>
    <row r="1269" spans="4:27">
      <c r="D1269" s="315"/>
      <c r="E1269" s="316"/>
      <c r="H1269" s="256"/>
      <c r="J1269" s="256"/>
      <c r="W1269" s="317"/>
      <c r="Z1269" s="176"/>
      <c r="AA1269" s="176"/>
    </row>
    <row r="1270" spans="4:27">
      <c r="D1270" s="315"/>
      <c r="E1270" s="316"/>
      <c r="H1270" s="256"/>
      <c r="J1270" s="256"/>
      <c r="W1270" s="317"/>
      <c r="Z1270" s="176"/>
      <c r="AA1270" s="176"/>
    </row>
    <row r="1271" spans="4:27">
      <c r="D1271" s="315"/>
      <c r="E1271" s="316"/>
      <c r="H1271" s="256"/>
      <c r="J1271" s="256"/>
      <c r="W1271" s="317"/>
      <c r="Z1271" s="176"/>
      <c r="AA1271" s="176"/>
    </row>
    <row r="1272" spans="4:27">
      <c r="D1272" s="315"/>
      <c r="E1272" s="316"/>
      <c r="H1272" s="256"/>
      <c r="J1272" s="256"/>
      <c r="W1272" s="317"/>
      <c r="Z1272" s="176"/>
      <c r="AA1272" s="176"/>
    </row>
    <row r="1273" spans="4:27">
      <c r="D1273" s="315"/>
      <c r="E1273" s="316"/>
      <c r="H1273" s="256"/>
      <c r="J1273" s="256"/>
      <c r="W1273" s="317"/>
      <c r="Z1273" s="176"/>
      <c r="AA1273" s="176"/>
    </row>
    <row r="1274" spans="4:27">
      <c r="D1274" s="315"/>
      <c r="E1274" s="316"/>
      <c r="H1274" s="256"/>
      <c r="J1274" s="256"/>
      <c r="W1274" s="317"/>
      <c r="Z1274" s="176"/>
      <c r="AA1274" s="176"/>
    </row>
    <row r="1275" spans="4:27">
      <c r="D1275" s="315"/>
      <c r="E1275" s="316"/>
      <c r="H1275" s="256"/>
      <c r="J1275" s="256"/>
      <c r="W1275" s="317"/>
      <c r="Z1275" s="176"/>
      <c r="AA1275" s="176"/>
    </row>
    <row r="1276" spans="4:27">
      <c r="D1276" s="315"/>
      <c r="E1276" s="316"/>
      <c r="H1276" s="256"/>
      <c r="J1276" s="256"/>
      <c r="W1276" s="317"/>
      <c r="Z1276" s="176"/>
      <c r="AA1276" s="176"/>
    </row>
    <row r="1277" spans="4:27">
      <c r="D1277" s="315"/>
      <c r="E1277" s="316"/>
      <c r="H1277" s="256"/>
      <c r="J1277" s="256"/>
      <c r="W1277" s="317"/>
      <c r="Z1277" s="176"/>
      <c r="AA1277" s="176"/>
    </row>
    <row r="1278" spans="4:27">
      <c r="D1278" s="315"/>
      <c r="E1278" s="316"/>
      <c r="H1278" s="256"/>
      <c r="J1278" s="256"/>
      <c r="W1278" s="317"/>
      <c r="Z1278" s="176"/>
      <c r="AA1278" s="176"/>
    </row>
    <row r="1279" spans="4:27">
      <c r="D1279" s="315"/>
      <c r="E1279" s="316"/>
      <c r="H1279" s="256"/>
      <c r="J1279" s="256"/>
      <c r="W1279" s="317"/>
      <c r="Z1279" s="176"/>
      <c r="AA1279" s="176"/>
    </row>
    <row r="1280" spans="4:27">
      <c r="D1280" s="315"/>
      <c r="E1280" s="316"/>
      <c r="H1280" s="256"/>
      <c r="J1280" s="256"/>
      <c r="W1280" s="317"/>
      <c r="Z1280" s="176"/>
      <c r="AA1280" s="176"/>
    </row>
    <row r="1281" spans="4:27">
      <c r="D1281" s="315"/>
      <c r="E1281" s="316"/>
      <c r="H1281" s="256"/>
      <c r="J1281" s="256"/>
      <c r="W1281" s="317"/>
      <c r="Z1281" s="176"/>
      <c r="AA1281" s="176"/>
    </row>
    <row r="1282" spans="4:27">
      <c r="D1282" s="315"/>
      <c r="E1282" s="316"/>
      <c r="H1282" s="256"/>
      <c r="J1282" s="256"/>
      <c r="W1282" s="317"/>
      <c r="Z1282" s="176"/>
      <c r="AA1282" s="176"/>
    </row>
    <row r="1283" spans="4:27">
      <c r="D1283" s="315"/>
      <c r="E1283" s="316"/>
      <c r="H1283" s="256"/>
      <c r="J1283" s="256"/>
      <c r="W1283" s="317"/>
      <c r="Z1283" s="176"/>
      <c r="AA1283" s="176"/>
    </row>
    <row r="1284" spans="4:27">
      <c r="D1284" s="315"/>
      <c r="E1284" s="316"/>
      <c r="H1284" s="256"/>
      <c r="J1284" s="256"/>
      <c r="W1284" s="317"/>
      <c r="Z1284" s="176"/>
      <c r="AA1284" s="176"/>
    </row>
    <row r="1285" spans="4:27">
      <c r="D1285" s="315"/>
      <c r="E1285" s="316"/>
      <c r="H1285" s="256"/>
      <c r="J1285" s="256"/>
      <c r="W1285" s="317"/>
      <c r="Z1285" s="176"/>
      <c r="AA1285" s="176"/>
    </row>
    <row r="1286" spans="4:27">
      <c r="D1286" s="315"/>
      <c r="E1286" s="316"/>
      <c r="H1286" s="256"/>
      <c r="J1286" s="256"/>
      <c r="W1286" s="317"/>
      <c r="Z1286" s="176"/>
      <c r="AA1286" s="176"/>
    </row>
    <row r="1287" spans="4:27">
      <c r="D1287" s="315"/>
      <c r="E1287" s="316"/>
      <c r="H1287" s="256"/>
      <c r="J1287" s="256"/>
      <c r="W1287" s="317"/>
      <c r="Z1287" s="176"/>
      <c r="AA1287" s="176"/>
    </row>
    <row r="1288" spans="4:27">
      <c r="D1288" s="315"/>
      <c r="E1288" s="316"/>
      <c r="H1288" s="256"/>
      <c r="J1288" s="256"/>
      <c r="W1288" s="317"/>
      <c r="Z1288" s="176"/>
      <c r="AA1288" s="176"/>
    </row>
    <row r="1289" spans="4:27">
      <c r="D1289" s="315"/>
      <c r="E1289" s="316"/>
      <c r="H1289" s="256"/>
      <c r="J1289" s="256"/>
      <c r="W1289" s="317"/>
      <c r="Z1289" s="176"/>
      <c r="AA1289" s="176"/>
    </row>
    <row r="1290" spans="4:27">
      <c r="D1290" s="315"/>
      <c r="E1290" s="316"/>
      <c r="H1290" s="256"/>
      <c r="J1290" s="256"/>
      <c r="W1290" s="317"/>
      <c r="Z1290" s="176"/>
      <c r="AA1290" s="176"/>
    </row>
    <row r="1291" spans="4:27">
      <c r="D1291" s="315"/>
      <c r="E1291" s="316"/>
      <c r="H1291" s="256"/>
      <c r="J1291" s="256"/>
      <c r="W1291" s="317"/>
      <c r="Z1291" s="176"/>
      <c r="AA1291" s="176"/>
    </row>
    <row r="1292" spans="4:27">
      <c r="D1292" s="315"/>
      <c r="E1292" s="316"/>
      <c r="H1292" s="256"/>
      <c r="J1292" s="256"/>
      <c r="W1292" s="317"/>
      <c r="Z1292" s="176"/>
      <c r="AA1292" s="176"/>
    </row>
    <row r="1293" spans="4:27">
      <c r="D1293" s="315"/>
      <c r="E1293" s="316"/>
      <c r="H1293" s="256"/>
      <c r="J1293" s="256"/>
      <c r="W1293" s="317"/>
      <c r="Z1293" s="176"/>
      <c r="AA1293" s="176"/>
    </row>
    <row r="1294" spans="4:27">
      <c r="D1294" s="315"/>
      <c r="E1294" s="316"/>
      <c r="H1294" s="256"/>
      <c r="J1294" s="256"/>
      <c r="W1294" s="317"/>
      <c r="Z1294" s="176"/>
      <c r="AA1294" s="176"/>
    </row>
    <row r="1295" spans="4:27">
      <c r="D1295" s="315"/>
      <c r="E1295" s="316"/>
      <c r="H1295" s="256"/>
      <c r="J1295" s="256"/>
      <c r="W1295" s="317"/>
      <c r="Z1295" s="176"/>
      <c r="AA1295" s="176"/>
    </row>
    <row r="1296" spans="4:27">
      <c r="D1296" s="315"/>
      <c r="E1296" s="316"/>
      <c r="H1296" s="256"/>
      <c r="J1296" s="256"/>
      <c r="W1296" s="317"/>
      <c r="Z1296" s="176"/>
      <c r="AA1296" s="176"/>
    </row>
    <row r="1297" spans="4:27">
      <c r="D1297" s="315"/>
      <c r="E1297" s="316"/>
      <c r="H1297" s="256"/>
      <c r="J1297" s="256"/>
      <c r="W1297" s="317"/>
      <c r="Z1297" s="176"/>
      <c r="AA1297" s="176"/>
    </row>
    <row r="1298" spans="4:27">
      <c r="D1298" s="315"/>
      <c r="E1298" s="316"/>
      <c r="H1298" s="256"/>
      <c r="J1298" s="256"/>
      <c r="W1298" s="317"/>
      <c r="Z1298" s="176"/>
      <c r="AA1298" s="176"/>
    </row>
    <row r="1299" spans="4:27">
      <c r="D1299" s="315"/>
      <c r="E1299" s="316"/>
      <c r="H1299" s="256"/>
      <c r="J1299" s="256"/>
      <c r="W1299" s="317"/>
      <c r="Z1299" s="176"/>
      <c r="AA1299" s="176"/>
    </row>
    <row r="1300" spans="4:27">
      <c r="D1300" s="315"/>
      <c r="E1300" s="316"/>
      <c r="H1300" s="256"/>
      <c r="J1300" s="256"/>
      <c r="W1300" s="317"/>
      <c r="Z1300" s="176"/>
      <c r="AA1300" s="176"/>
    </row>
    <row r="1301" spans="4:27">
      <c r="D1301" s="315"/>
      <c r="E1301" s="316"/>
      <c r="H1301" s="256"/>
      <c r="J1301" s="256"/>
      <c r="W1301" s="317"/>
      <c r="Z1301" s="176"/>
      <c r="AA1301" s="176"/>
    </row>
    <row r="1302" spans="4:27">
      <c r="D1302" s="315"/>
      <c r="E1302" s="316"/>
      <c r="H1302" s="256"/>
      <c r="J1302" s="256"/>
      <c r="W1302" s="317"/>
      <c r="Z1302" s="176"/>
      <c r="AA1302" s="176"/>
    </row>
    <row r="1303" spans="4:27">
      <c r="D1303" s="315"/>
      <c r="E1303" s="316"/>
      <c r="H1303" s="256"/>
      <c r="J1303" s="256"/>
      <c r="W1303" s="317"/>
      <c r="Z1303" s="176"/>
      <c r="AA1303" s="176"/>
    </row>
    <row r="1304" spans="4:27">
      <c r="D1304" s="315"/>
      <c r="E1304" s="316"/>
      <c r="H1304" s="256"/>
      <c r="J1304" s="256"/>
      <c r="W1304" s="317"/>
      <c r="Z1304" s="176"/>
      <c r="AA1304" s="176"/>
    </row>
    <row r="1305" spans="4:27">
      <c r="D1305" s="315"/>
      <c r="E1305" s="316"/>
      <c r="H1305" s="256"/>
      <c r="J1305" s="256"/>
      <c r="W1305" s="317"/>
      <c r="Z1305" s="176"/>
      <c r="AA1305" s="176"/>
    </row>
    <row r="1306" spans="4:27">
      <c r="D1306" s="315"/>
      <c r="E1306" s="316"/>
      <c r="H1306" s="256"/>
      <c r="J1306" s="256"/>
      <c r="W1306" s="317"/>
      <c r="Z1306" s="176"/>
      <c r="AA1306" s="176"/>
    </row>
    <row r="1307" spans="4:27">
      <c r="D1307" s="315"/>
      <c r="E1307" s="316"/>
      <c r="H1307" s="256"/>
      <c r="J1307" s="256"/>
      <c r="W1307" s="317"/>
      <c r="Z1307" s="176"/>
      <c r="AA1307" s="176"/>
    </row>
    <row r="1308" spans="4:27">
      <c r="D1308" s="315"/>
      <c r="E1308" s="316"/>
      <c r="H1308" s="256"/>
      <c r="J1308" s="256"/>
      <c r="W1308" s="317"/>
      <c r="Z1308" s="176"/>
      <c r="AA1308" s="176"/>
    </row>
    <row r="1309" spans="4:27">
      <c r="D1309" s="315"/>
      <c r="E1309" s="316"/>
      <c r="H1309" s="256"/>
      <c r="J1309" s="256"/>
      <c r="W1309" s="317"/>
      <c r="Z1309" s="176"/>
      <c r="AA1309" s="176"/>
    </row>
    <row r="1310" spans="4:27">
      <c r="D1310" s="315"/>
      <c r="E1310" s="316"/>
      <c r="H1310" s="256"/>
      <c r="J1310" s="256"/>
      <c r="W1310" s="317"/>
      <c r="Z1310" s="176"/>
      <c r="AA1310" s="176"/>
    </row>
    <row r="1311" spans="4:27">
      <c r="D1311" s="315"/>
      <c r="E1311" s="316"/>
      <c r="H1311" s="256"/>
      <c r="J1311" s="256"/>
      <c r="W1311" s="317"/>
      <c r="Z1311" s="176"/>
      <c r="AA1311" s="176"/>
    </row>
    <row r="1312" spans="4:27">
      <c r="D1312" s="315"/>
      <c r="E1312" s="316"/>
      <c r="H1312" s="256"/>
      <c r="J1312" s="256"/>
      <c r="W1312" s="317"/>
      <c r="Z1312" s="176"/>
      <c r="AA1312" s="176"/>
    </row>
    <row r="1313" spans="4:27">
      <c r="D1313" s="315"/>
      <c r="E1313" s="316"/>
      <c r="H1313" s="256"/>
      <c r="J1313" s="256"/>
      <c r="W1313" s="317"/>
      <c r="Z1313" s="176"/>
      <c r="AA1313" s="176"/>
    </row>
    <row r="1314" spans="4:27">
      <c r="D1314" s="315"/>
      <c r="E1314" s="316"/>
      <c r="H1314" s="256"/>
      <c r="J1314" s="256"/>
      <c r="W1314" s="317"/>
      <c r="Z1314" s="176"/>
      <c r="AA1314" s="176"/>
    </row>
    <row r="1315" spans="4:27">
      <c r="D1315" s="315"/>
      <c r="E1315" s="316"/>
      <c r="H1315" s="256"/>
      <c r="J1315" s="256"/>
      <c r="W1315" s="317"/>
      <c r="Z1315" s="176"/>
      <c r="AA1315" s="176"/>
    </row>
    <row r="1316" spans="4:27">
      <c r="D1316" s="315"/>
      <c r="E1316" s="316"/>
      <c r="H1316" s="256"/>
      <c r="J1316" s="256"/>
      <c r="W1316" s="317"/>
      <c r="Z1316" s="176"/>
      <c r="AA1316" s="176"/>
    </row>
    <row r="1317" spans="4:27">
      <c r="D1317" s="315"/>
      <c r="E1317" s="316"/>
      <c r="H1317" s="256"/>
      <c r="J1317" s="256"/>
      <c r="W1317" s="317"/>
      <c r="Z1317" s="176"/>
      <c r="AA1317" s="176"/>
    </row>
    <row r="1318" spans="4:27">
      <c r="D1318" s="315"/>
      <c r="E1318" s="316"/>
      <c r="H1318" s="256"/>
      <c r="J1318" s="256"/>
      <c r="W1318" s="317"/>
      <c r="Z1318" s="176"/>
      <c r="AA1318" s="176"/>
    </row>
    <row r="1319" spans="4:27">
      <c r="D1319" s="315"/>
      <c r="E1319" s="316"/>
      <c r="H1319" s="256"/>
      <c r="J1319" s="256"/>
      <c r="W1319" s="317"/>
      <c r="Z1319" s="176"/>
      <c r="AA1319" s="176"/>
    </row>
    <row r="1320" spans="4:27">
      <c r="D1320" s="315"/>
      <c r="E1320" s="316"/>
      <c r="H1320" s="256"/>
      <c r="J1320" s="256"/>
      <c r="W1320" s="317"/>
      <c r="Z1320" s="176"/>
      <c r="AA1320" s="176"/>
    </row>
    <row r="1321" spans="4:27">
      <c r="D1321" s="315"/>
      <c r="E1321" s="316"/>
      <c r="H1321" s="256"/>
      <c r="J1321" s="256"/>
      <c r="W1321" s="317"/>
      <c r="Z1321" s="176"/>
      <c r="AA1321" s="176"/>
    </row>
    <row r="1322" spans="4:27">
      <c r="D1322" s="315"/>
      <c r="E1322" s="316"/>
      <c r="H1322" s="256"/>
      <c r="J1322" s="256"/>
      <c r="W1322" s="317"/>
      <c r="Z1322" s="176"/>
      <c r="AA1322" s="176"/>
    </row>
    <row r="1323" spans="4:27">
      <c r="D1323" s="315"/>
      <c r="E1323" s="316"/>
      <c r="H1323" s="256"/>
      <c r="J1323" s="256"/>
      <c r="W1323" s="317"/>
      <c r="Z1323" s="176"/>
      <c r="AA1323" s="176"/>
    </row>
    <row r="1324" spans="4:27">
      <c r="D1324" s="315"/>
      <c r="E1324" s="316"/>
      <c r="H1324" s="256"/>
      <c r="J1324" s="256"/>
      <c r="W1324" s="317"/>
      <c r="Z1324" s="176"/>
      <c r="AA1324" s="176"/>
    </row>
    <row r="1325" spans="4:27">
      <c r="D1325" s="315"/>
      <c r="E1325" s="316"/>
      <c r="H1325" s="256"/>
      <c r="J1325" s="256"/>
      <c r="W1325" s="317"/>
      <c r="Z1325" s="176"/>
      <c r="AA1325" s="176"/>
    </row>
    <row r="1326" spans="4:27">
      <c r="D1326" s="315"/>
      <c r="E1326" s="316"/>
      <c r="H1326" s="256"/>
      <c r="J1326" s="256"/>
      <c r="W1326" s="317"/>
      <c r="Z1326" s="176"/>
      <c r="AA1326" s="176"/>
    </row>
    <row r="1327" spans="4:27">
      <c r="D1327" s="315"/>
      <c r="E1327" s="316"/>
      <c r="H1327" s="256"/>
      <c r="J1327" s="256"/>
      <c r="W1327" s="317"/>
      <c r="Z1327" s="176"/>
      <c r="AA1327" s="176"/>
    </row>
    <row r="1328" spans="4:27">
      <c r="D1328" s="315"/>
      <c r="E1328" s="316"/>
      <c r="H1328" s="256"/>
      <c r="J1328" s="256"/>
      <c r="W1328" s="317"/>
      <c r="Z1328" s="176"/>
      <c r="AA1328" s="176"/>
    </row>
    <row r="1329" spans="4:27">
      <c r="D1329" s="315"/>
      <c r="E1329" s="316"/>
      <c r="H1329" s="256"/>
      <c r="J1329" s="256"/>
      <c r="W1329" s="317"/>
      <c r="Z1329" s="176"/>
      <c r="AA1329" s="176"/>
    </row>
    <row r="1330" spans="4:27">
      <c r="D1330" s="315"/>
      <c r="E1330" s="316"/>
      <c r="H1330" s="256"/>
      <c r="J1330" s="256"/>
      <c r="W1330" s="317"/>
      <c r="Z1330" s="176"/>
      <c r="AA1330" s="176"/>
    </row>
    <row r="1331" spans="4:27">
      <c r="D1331" s="315"/>
      <c r="E1331" s="316"/>
      <c r="H1331" s="256"/>
      <c r="J1331" s="256"/>
      <c r="W1331" s="317"/>
      <c r="Z1331" s="176"/>
      <c r="AA1331" s="176"/>
    </row>
    <row r="1332" spans="4:27">
      <c r="D1332" s="315"/>
      <c r="E1332" s="316"/>
      <c r="H1332" s="256"/>
      <c r="J1332" s="256"/>
      <c r="W1332" s="317"/>
      <c r="Z1332" s="176"/>
      <c r="AA1332" s="176"/>
    </row>
    <row r="1333" spans="4:27">
      <c r="D1333" s="315"/>
      <c r="E1333" s="316"/>
      <c r="H1333" s="256"/>
      <c r="J1333" s="256"/>
      <c r="W1333" s="317"/>
      <c r="Z1333" s="176"/>
      <c r="AA1333" s="176"/>
    </row>
    <row r="1334" spans="4:27">
      <c r="D1334" s="315"/>
      <c r="E1334" s="316"/>
      <c r="H1334" s="256"/>
      <c r="J1334" s="256"/>
      <c r="W1334" s="317"/>
      <c r="Z1334" s="176"/>
      <c r="AA1334" s="176"/>
    </row>
    <row r="1335" spans="4:27">
      <c r="D1335" s="315"/>
      <c r="E1335" s="316"/>
      <c r="H1335" s="256"/>
      <c r="J1335" s="256"/>
      <c r="W1335" s="317"/>
      <c r="Z1335" s="176"/>
      <c r="AA1335" s="176"/>
    </row>
    <row r="1336" spans="4:27">
      <c r="D1336" s="315"/>
      <c r="E1336" s="316"/>
      <c r="H1336" s="256"/>
      <c r="J1336" s="256"/>
      <c r="W1336" s="317"/>
      <c r="Z1336" s="176"/>
      <c r="AA1336" s="176"/>
    </row>
    <row r="1337" spans="4:27">
      <c r="D1337" s="315"/>
      <c r="E1337" s="316"/>
      <c r="H1337" s="256"/>
      <c r="J1337" s="256"/>
      <c r="W1337" s="317"/>
      <c r="Z1337" s="176"/>
      <c r="AA1337" s="176"/>
    </row>
    <row r="1338" spans="4:27">
      <c r="D1338" s="315"/>
      <c r="E1338" s="316"/>
      <c r="H1338" s="256"/>
      <c r="J1338" s="256"/>
      <c r="W1338" s="317"/>
      <c r="Z1338" s="176"/>
      <c r="AA1338" s="176"/>
    </row>
    <row r="1339" spans="4:27">
      <c r="D1339" s="315"/>
      <c r="E1339" s="316"/>
      <c r="H1339" s="256"/>
      <c r="J1339" s="256"/>
      <c r="W1339" s="317"/>
      <c r="Z1339" s="176"/>
      <c r="AA1339" s="176"/>
    </row>
    <row r="1340" spans="4:27">
      <c r="D1340" s="315"/>
      <c r="E1340" s="316"/>
      <c r="H1340" s="256"/>
      <c r="J1340" s="256"/>
      <c r="W1340" s="317"/>
      <c r="Z1340" s="176"/>
      <c r="AA1340" s="176"/>
    </row>
    <row r="1341" spans="4:27">
      <c r="D1341" s="315"/>
      <c r="E1341" s="316"/>
      <c r="H1341" s="256"/>
      <c r="J1341" s="256"/>
      <c r="W1341" s="317"/>
      <c r="Z1341" s="176"/>
      <c r="AA1341" s="176"/>
    </row>
    <row r="1342" spans="4:27">
      <c r="D1342" s="315"/>
      <c r="E1342" s="316"/>
      <c r="H1342" s="256"/>
      <c r="J1342" s="256"/>
      <c r="W1342" s="317"/>
      <c r="Z1342" s="176"/>
      <c r="AA1342" s="176"/>
    </row>
    <row r="1343" spans="4:27">
      <c r="D1343" s="315"/>
      <c r="E1343" s="316"/>
      <c r="H1343" s="256"/>
      <c r="J1343" s="256"/>
      <c r="W1343" s="317"/>
      <c r="Z1343" s="176"/>
      <c r="AA1343" s="176"/>
    </row>
    <row r="1344" spans="4:27">
      <c r="D1344" s="315"/>
      <c r="E1344" s="316"/>
      <c r="H1344" s="256"/>
      <c r="J1344" s="256"/>
      <c r="W1344" s="317"/>
      <c r="Z1344" s="176"/>
      <c r="AA1344" s="176"/>
    </row>
    <row r="1345" spans="4:27">
      <c r="D1345" s="315"/>
      <c r="E1345" s="316"/>
      <c r="H1345" s="256"/>
      <c r="J1345" s="256"/>
      <c r="W1345" s="317"/>
      <c r="Z1345" s="176"/>
      <c r="AA1345" s="176"/>
    </row>
    <row r="1346" spans="4:27">
      <c r="D1346" s="315"/>
      <c r="E1346" s="316"/>
      <c r="H1346" s="256"/>
      <c r="J1346" s="256"/>
      <c r="W1346" s="317"/>
      <c r="Z1346" s="176"/>
      <c r="AA1346" s="176"/>
    </row>
    <row r="1347" spans="4:27">
      <c r="D1347" s="315"/>
      <c r="E1347" s="316"/>
      <c r="H1347" s="256"/>
      <c r="J1347" s="256"/>
      <c r="W1347" s="317"/>
      <c r="Z1347" s="176"/>
      <c r="AA1347" s="176"/>
    </row>
    <row r="1348" spans="4:27">
      <c r="D1348" s="315"/>
      <c r="E1348" s="316"/>
      <c r="H1348" s="256"/>
      <c r="J1348" s="256"/>
      <c r="W1348" s="317"/>
      <c r="Z1348" s="176"/>
      <c r="AA1348" s="176"/>
    </row>
    <row r="1349" spans="4:27">
      <c r="D1349" s="315"/>
      <c r="E1349" s="316"/>
      <c r="H1349" s="256"/>
      <c r="J1349" s="256"/>
      <c r="W1349" s="317"/>
      <c r="Z1349" s="176"/>
      <c r="AA1349" s="176"/>
    </row>
    <row r="1350" spans="4:27">
      <c r="D1350" s="315"/>
      <c r="E1350" s="316"/>
      <c r="H1350" s="256"/>
      <c r="J1350" s="256"/>
      <c r="W1350" s="317"/>
      <c r="Z1350" s="176"/>
      <c r="AA1350" s="176"/>
    </row>
    <row r="1351" spans="4:27">
      <c r="D1351" s="315"/>
      <c r="E1351" s="316"/>
      <c r="H1351" s="256"/>
      <c r="J1351" s="256"/>
      <c r="W1351" s="317"/>
      <c r="Z1351" s="176"/>
      <c r="AA1351" s="176"/>
    </row>
    <row r="1352" spans="4:27">
      <c r="D1352" s="315"/>
      <c r="E1352" s="316"/>
      <c r="H1352" s="256"/>
      <c r="J1352" s="256"/>
      <c r="W1352" s="317"/>
      <c r="Z1352" s="176"/>
      <c r="AA1352" s="176"/>
    </row>
    <row r="1353" spans="4:27">
      <c r="D1353" s="315"/>
      <c r="E1353" s="316"/>
      <c r="H1353" s="256"/>
      <c r="J1353" s="256"/>
      <c r="W1353" s="317"/>
      <c r="Z1353" s="176"/>
      <c r="AA1353" s="176"/>
    </row>
    <row r="1354" spans="4:27">
      <c r="D1354" s="315"/>
      <c r="E1354" s="316"/>
      <c r="H1354" s="256"/>
      <c r="J1354" s="256"/>
      <c r="W1354" s="317"/>
      <c r="Z1354" s="176"/>
      <c r="AA1354" s="176"/>
    </row>
    <row r="1355" spans="4:27">
      <c r="D1355" s="315"/>
      <c r="E1355" s="316"/>
      <c r="H1355" s="256"/>
      <c r="J1355" s="256"/>
      <c r="W1355" s="317"/>
      <c r="Z1355" s="176"/>
      <c r="AA1355" s="176"/>
    </row>
    <row r="1356" spans="4:27">
      <c r="D1356" s="315"/>
      <c r="E1356" s="316"/>
      <c r="H1356" s="256"/>
      <c r="J1356" s="256"/>
      <c r="W1356" s="317"/>
      <c r="Z1356" s="176"/>
      <c r="AA1356" s="176"/>
    </row>
    <row r="1357" spans="4:27">
      <c r="D1357" s="315"/>
      <c r="E1357" s="316"/>
      <c r="H1357" s="256"/>
      <c r="J1357" s="256"/>
      <c r="W1357" s="317"/>
      <c r="Z1357" s="176"/>
      <c r="AA1357" s="176"/>
    </row>
    <row r="1358" spans="4:27">
      <c r="D1358" s="315"/>
      <c r="E1358" s="316"/>
      <c r="H1358" s="256"/>
      <c r="J1358" s="256"/>
      <c r="W1358" s="317"/>
      <c r="Z1358" s="176"/>
      <c r="AA1358" s="176"/>
    </row>
    <row r="1359" spans="4:27">
      <c r="D1359" s="315"/>
      <c r="E1359" s="316"/>
      <c r="H1359" s="256"/>
      <c r="J1359" s="256"/>
      <c r="W1359" s="317"/>
      <c r="Z1359" s="176"/>
      <c r="AA1359" s="176"/>
    </row>
    <row r="1360" spans="4:27">
      <c r="D1360" s="315"/>
      <c r="E1360" s="316"/>
      <c r="H1360" s="256"/>
      <c r="J1360" s="256"/>
      <c r="W1360" s="317"/>
      <c r="Z1360" s="176"/>
      <c r="AA1360" s="176"/>
    </row>
    <row r="1361" spans="4:27">
      <c r="D1361" s="315"/>
      <c r="E1361" s="316"/>
      <c r="H1361" s="256"/>
      <c r="J1361" s="256"/>
      <c r="W1361" s="317"/>
      <c r="Z1361" s="176"/>
      <c r="AA1361" s="176"/>
    </row>
    <row r="1362" spans="4:27">
      <c r="D1362" s="315"/>
      <c r="E1362" s="316"/>
      <c r="H1362" s="256"/>
      <c r="J1362" s="256"/>
      <c r="W1362" s="317"/>
      <c r="Z1362" s="176"/>
      <c r="AA1362" s="176"/>
    </row>
    <row r="1363" spans="4:27">
      <c r="D1363" s="315"/>
      <c r="E1363" s="316"/>
      <c r="H1363" s="256"/>
      <c r="J1363" s="256"/>
      <c r="W1363" s="317"/>
      <c r="Z1363" s="176"/>
      <c r="AA1363" s="176"/>
    </row>
    <row r="1364" spans="4:27">
      <c r="D1364" s="315"/>
      <c r="E1364" s="316"/>
      <c r="H1364" s="256"/>
      <c r="J1364" s="256"/>
      <c r="W1364" s="317"/>
      <c r="Z1364" s="176"/>
      <c r="AA1364" s="176"/>
    </row>
    <row r="1365" spans="4:27">
      <c r="D1365" s="315"/>
      <c r="E1365" s="316"/>
      <c r="H1365" s="256"/>
      <c r="J1365" s="256"/>
      <c r="W1365" s="317"/>
      <c r="Z1365" s="176"/>
      <c r="AA1365" s="176"/>
    </row>
    <row r="1366" spans="4:27">
      <c r="D1366" s="315"/>
      <c r="E1366" s="316"/>
      <c r="H1366" s="256"/>
      <c r="J1366" s="256"/>
      <c r="W1366" s="317"/>
      <c r="Z1366" s="176"/>
      <c r="AA1366" s="176"/>
    </row>
    <row r="1367" spans="4:27">
      <c r="D1367" s="315"/>
      <c r="E1367" s="316"/>
      <c r="H1367" s="256"/>
      <c r="J1367" s="256"/>
      <c r="W1367" s="317"/>
      <c r="Z1367" s="176"/>
      <c r="AA1367" s="176"/>
    </row>
    <row r="1368" spans="4:27">
      <c r="D1368" s="315"/>
      <c r="E1368" s="316"/>
      <c r="H1368" s="256"/>
      <c r="J1368" s="256"/>
      <c r="W1368" s="317"/>
      <c r="Z1368" s="176"/>
      <c r="AA1368" s="176"/>
    </row>
    <row r="1369" spans="4:27">
      <c r="D1369" s="315"/>
      <c r="E1369" s="316"/>
      <c r="H1369" s="256"/>
      <c r="J1369" s="256"/>
      <c r="W1369" s="317"/>
      <c r="Z1369" s="176"/>
      <c r="AA1369" s="176"/>
    </row>
    <row r="1370" spans="4:27">
      <c r="D1370" s="315"/>
      <c r="E1370" s="316"/>
      <c r="H1370" s="256"/>
      <c r="J1370" s="256"/>
      <c r="W1370" s="317"/>
      <c r="Z1370" s="176"/>
      <c r="AA1370" s="176"/>
    </row>
    <row r="1371" spans="4:27">
      <c r="D1371" s="315"/>
      <c r="E1371" s="316"/>
      <c r="H1371" s="256"/>
      <c r="J1371" s="256"/>
      <c r="W1371" s="317"/>
      <c r="Z1371" s="176"/>
      <c r="AA1371" s="176"/>
    </row>
    <row r="1372" spans="4:27">
      <c r="D1372" s="315"/>
      <c r="E1372" s="316"/>
      <c r="H1372" s="256"/>
      <c r="J1372" s="256"/>
      <c r="W1372" s="317"/>
      <c r="Z1372" s="176"/>
      <c r="AA1372" s="176"/>
    </row>
    <row r="1373" spans="4:27">
      <c r="D1373" s="315"/>
      <c r="E1373" s="316"/>
      <c r="H1373" s="256"/>
      <c r="J1373" s="256"/>
      <c r="W1373" s="317"/>
      <c r="Z1373" s="176"/>
      <c r="AA1373" s="176"/>
    </row>
    <row r="1374" spans="4:27">
      <c r="D1374" s="315"/>
      <c r="E1374" s="316"/>
      <c r="H1374" s="256"/>
      <c r="J1374" s="256"/>
      <c r="W1374" s="317"/>
      <c r="Z1374" s="176"/>
      <c r="AA1374" s="176"/>
    </row>
    <row r="1375" spans="4:27">
      <c r="D1375" s="315"/>
      <c r="E1375" s="316"/>
      <c r="H1375" s="256"/>
      <c r="J1375" s="256"/>
      <c r="W1375" s="317"/>
      <c r="Z1375" s="176"/>
      <c r="AA1375" s="176"/>
    </row>
    <row r="1376" spans="4:27">
      <c r="D1376" s="315"/>
      <c r="E1376" s="316"/>
      <c r="H1376" s="256"/>
      <c r="J1376" s="256"/>
      <c r="W1376" s="317"/>
      <c r="Z1376" s="176"/>
      <c r="AA1376" s="176"/>
    </row>
    <row r="1377" spans="4:27">
      <c r="D1377" s="315"/>
      <c r="E1377" s="316"/>
      <c r="H1377" s="256"/>
      <c r="J1377" s="256"/>
      <c r="W1377" s="317"/>
      <c r="Z1377" s="176"/>
      <c r="AA1377" s="176"/>
    </row>
    <row r="1378" spans="4:27">
      <c r="D1378" s="315"/>
      <c r="E1378" s="316"/>
      <c r="H1378" s="256"/>
      <c r="J1378" s="256"/>
      <c r="W1378" s="317"/>
      <c r="Z1378" s="176"/>
      <c r="AA1378" s="176"/>
    </row>
    <row r="1379" spans="4:27">
      <c r="D1379" s="315"/>
      <c r="E1379" s="316"/>
      <c r="H1379" s="256"/>
      <c r="J1379" s="256"/>
      <c r="W1379" s="317"/>
      <c r="Z1379" s="176"/>
      <c r="AA1379" s="176"/>
    </row>
    <row r="1380" spans="4:27">
      <c r="D1380" s="315"/>
      <c r="E1380" s="316"/>
      <c r="H1380" s="256"/>
      <c r="J1380" s="256"/>
      <c r="W1380" s="317"/>
      <c r="Z1380" s="176"/>
      <c r="AA1380" s="176"/>
    </row>
    <row r="1381" spans="4:27">
      <c r="D1381" s="315"/>
      <c r="E1381" s="316"/>
      <c r="H1381" s="256"/>
      <c r="J1381" s="256"/>
      <c r="W1381" s="317"/>
      <c r="Z1381" s="176"/>
      <c r="AA1381" s="176"/>
    </row>
    <row r="1382" spans="4:27">
      <c r="D1382" s="315"/>
      <c r="E1382" s="316"/>
      <c r="H1382" s="256"/>
      <c r="J1382" s="256"/>
      <c r="W1382" s="317"/>
      <c r="Z1382" s="176"/>
      <c r="AA1382" s="176"/>
    </row>
    <row r="1383" spans="4:27">
      <c r="D1383" s="315"/>
      <c r="E1383" s="316"/>
      <c r="H1383" s="256"/>
      <c r="J1383" s="256"/>
      <c r="W1383" s="317"/>
      <c r="Z1383" s="176"/>
      <c r="AA1383" s="176"/>
    </row>
    <row r="1384" spans="4:27">
      <c r="D1384" s="315"/>
      <c r="E1384" s="316"/>
      <c r="H1384" s="256"/>
      <c r="J1384" s="256"/>
      <c r="W1384" s="317"/>
      <c r="Z1384" s="176"/>
      <c r="AA1384" s="176"/>
    </row>
    <row r="1385" spans="4:27">
      <c r="D1385" s="315"/>
      <c r="E1385" s="316"/>
      <c r="H1385" s="256"/>
      <c r="J1385" s="256"/>
      <c r="W1385" s="317"/>
      <c r="Z1385" s="176"/>
      <c r="AA1385" s="176"/>
    </row>
    <row r="1386" spans="4:27">
      <c r="D1386" s="315"/>
      <c r="E1386" s="316"/>
      <c r="H1386" s="256"/>
      <c r="J1386" s="256"/>
      <c r="W1386" s="317"/>
      <c r="Z1386" s="176"/>
      <c r="AA1386" s="176"/>
    </row>
    <row r="1387" spans="4:27">
      <c r="D1387" s="315"/>
      <c r="E1387" s="316"/>
      <c r="H1387" s="256"/>
      <c r="J1387" s="256"/>
      <c r="W1387" s="317"/>
      <c r="Z1387" s="176"/>
      <c r="AA1387" s="176"/>
    </row>
    <row r="1388" spans="4:27">
      <c r="D1388" s="315"/>
      <c r="E1388" s="316"/>
      <c r="H1388" s="256"/>
      <c r="J1388" s="256"/>
      <c r="W1388" s="317"/>
      <c r="Z1388" s="176"/>
      <c r="AA1388" s="176"/>
    </row>
    <row r="1389" spans="4:27">
      <c r="D1389" s="315"/>
      <c r="E1389" s="316"/>
      <c r="H1389" s="256"/>
      <c r="J1389" s="256"/>
      <c r="W1389" s="317"/>
      <c r="Z1389" s="176"/>
      <c r="AA1389" s="176"/>
    </row>
    <row r="1390" spans="4:27">
      <c r="D1390" s="315"/>
      <c r="E1390" s="316"/>
      <c r="H1390" s="256"/>
      <c r="J1390" s="256"/>
      <c r="W1390" s="317"/>
      <c r="Z1390" s="176"/>
      <c r="AA1390" s="176"/>
    </row>
    <row r="1391" spans="4:27">
      <c r="D1391" s="315"/>
      <c r="E1391" s="316"/>
      <c r="H1391" s="256"/>
      <c r="J1391" s="256"/>
      <c r="W1391" s="317"/>
      <c r="Z1391" s="176"/>
      <c r="AA1391" s="176"/>
    </row>
    <row r="1392" spans="4:27">
      <c r="D1392" s="315"/>
      <c r="E1392" s="316"/>
      <c r="H1392" s="256"/>
      <c r="J1392" s="256"/>
      <c r="W1392" s="317"/>
      <c r="Z1392" s="176"/>
      <c r="AA1392" s="176"/>
    </row>
    <row r="1393" spans="4:27">
      <c r="D1393" s="315"/>
      <c r="E1393" s="316"/>
      <c r="H1393" s="256"/>
      <c r="J1393" s="256"/>
      <c r="W1393" s="317"/>
      <c r="Z1393" s="176"/>
      <c r="AA1393" s="176"/>
    </row>
    <row r="1394" spans="4:27">
      <c r="D1394" s="315"/>
      <c r="E1394" s="316"/>
      <c r="H1394" s="256"/>
      <c r="J1394" s="256"/>
      <c r="W1394" s="317"/>
      <c r="Z1394" s="176"/>
      <c r="AA1394" s="176"/>
    </row>
    <row r="1395" spans="4:27">
      <c r="D1395" s="315"/>
      <c r="E1395" s="316"/>
      <c r="H1395" s="256"/>
      <c r="J1395" s="256"/>
      <c r="W1395" s="317"/>
      <c r="Z1395" s="176"/>
      <c r="AA1395" s="176"/>
    </row>
    <row r="1396" spans="4:27">
      <c r="D1396" s="315"/>
      <c r="E1396" s="316"/>
      <c r="H1396" s="256"/>
      <c r="J1396" s="256"/>
      <c r="W1396" s="317"/>
      <c r="Z1396" s="176"/>
      <c r="AA1396" s="176"/>
    </row>
    <row r="1397" spans="4:27">
      <c r="D1397" s="315"/>
      <c r="E1397" s="316"/>
      <c r="H1397" s="256"/>
      <c r="J1397" s="256"/>
      <c r="W1397" s="317"/>
      <c r="Z1397" s="176"/>
      <c r="AA1397" s="176"/>
    </row>
    <row r="1398" spans="4:27">
      <c r="D1398" s="315"/>
      <c r="E1398" s="316"/>
      <c r="H1398" s="256"/>
      <c r="J1398" s="256"/>
      <c r="W1398" s="317"/>
      <c r="Z1398" s="176"/>
      <c r="AA1398" s="176"/>
    </row>
    <row r="1399" spans="4:27">
      <c r="D1399" s="315"/>
      <c r="E1399" s="316"/>
      <c r="H1399" s="256"/>
      <c r="J1399" s="256"/>
      <c r="W1399" s="317"/>
      <c r="Z1399" s="176"/>
      <c r="AA1399" s="176"/>
    </row>
    <row r="1400" spans="4:27">
      <c r="D1400" s="315"/>
      <c r="E1400" s="316"/>
      <c r="H1400" s="256"/>
      <c r="J1400" s="256"/>
      <c r="W1400" s="317"/>
      <c r="Z1400" s="176"/>
      <c r="AA1400" s="176"/>
    </row>
    <row r="1401" spans="4:27">
      <c r="D1401" s="315"/>
      <c r="E1401" s="316"/>
      <c r="H1401" s="256"/>
      <c r="J1401" s="256"/>
      <c r="W1401" s="317"/>
      <c r="Z1401" s="176"/>
      <c r="AA1401" s="176"/>
    </row>
    <row r="1402" spans="4:27">
      <c r="D1402" s="315"/>
      <c r="E1402" s="316"/>
      <c r="H1402" s="256"/>
      <c r="J1402" s="256"/>
      <c r="W1402" s="317"/>
      <c r="Z1402" s="176"/>
      <c r="AA1402" s="176"/>
    </row>
    <row r="1403" spans="4:27">
      <c r="D1403" s="315"/>
      <c r="E1403" s="316"/>
      <c r="H1403" s="256"/>
      <c r="J1403" s="256"/>
      <c r="W1403" s="317"/>
      <c r="Z1403" s="176"/>
      <c r="AA1403" s="176"/>
    </row>
    <row r="1404" spans="4:27">
      <c r="D1404" s="315"/>
      <c r="E1404" s="316"/>
      <c r="H1404" s="256"/>
      <c r="J1404" s="256"/>
      <c r="W1404" s="317"/>
      <c r="Z1404" s="176"/>
      <c r="AA1404" s="176"/>
    </row>
    <row r="1405" spans="4:27">
      <c r="D1405" s="315"/>
      <c r="E1405" s="316"/>
      <c r="H1405" s="256"/>
      <c r="J1405" s="256"/>
      <c r="W1405" s="317"/>
      <c r="Z1405" s="176"/>
      <c r="AA1405" s="176"/>
    </row>
    <row r="1406" spans="4:27">
      <c r="D1406" s="315"/>
      <c r="E1406" s="316"/>
      <c r="H1406" s="256"/>
      <c r="J1406" s="256"/>
      <c r="W1406" s="317"/>
      <c r="Z1406" s="176"/>
      <c r="AA1406" s="176"/>
    </row>
    <row r="1407" spans="4:27">
      <c r="D1407" s="315"/>
      <c r="E1407" s="316"/>
      <c r="H1407" s="256"/>
      <c r="J1407" s="256"/>
      <c r="W1407" s="317"/>
      <c r="Z1407" s="176"/>
      <c r="AA1407" s="176"/>
    </row>
    <row r="1408" spans="4:27">
      <c r="D1408" s="315"/>
      <c r="E1408" s="316"/>
      <c r="H1408" s="256"/>
      <c r="J1408" s="256"/>
      <c r="W1408" s="317"/>
      <c r="Z1408" s="176"/>
      <c r="AA1408" s="176"/>
    </row>
    <row r="1409" spans="4:27">
      <c r="D1409" s="315"/>
      <c r="E1409" s="316"/>
      <c r="H1409" s="256"/>
      <c r="J1409" s="256"/>
      <c r="W1409" s="317"/>
      <c r="Z1409" s="176"/>
      <c r="AA1409" s="176"/>
    </row>
    <row r="1410" spans="4:27">
      <c r="D1410" s="315"/>
      <c r="E1410" s="316"/>
      <c r="H1410" s="256"/>
      <c r="J1410" s="256"/>
      <c r="W1410" s="317"/>
      <c r="Z1410" s="176"/>
      <c r="AA1410" s="176"/>
    </row>
    <row r="1411" spans="4:27">
      <c r="D1411" s="315"/>
      <c r="E1411" s="316"/>
      <c r="H1411" s="256"/>
      <c r="J1411" s="256"/>
      <c r="W1411" s="317"/>
      <c r="Z1411" s="176"/>
      <c r="AA1411" s="176"/>
    </row>
    <row r="1412" spans="4:27">
      <c r="D1412" s="315"/>
      <c r="E1412" s="316"/>
      <c r="H1412" s="256"/>
      <c r="J1412" s="256"/>
      <c r="W1412" s="317"/>
      <c r="Z1412" s="176"/>
      <c r="AA1412" s="176"/>
    </row>
    <row r="1413" spans="4:27">
      <c r="D1413" s="315"/>
      <c r="E1413" s="316"/>
      <c r="H1413" s="256"/>
      <c r="J1413" s="256"/>
      <c r="W1413" s="317"/>
      <c r="Z1413" s="176"/>
      <c r="AA1413" s="176"/>
    </row>
    <row r="1414" spans="4:27">
      <c r="D1414" s="315"/>
      <c r="E1414" s="316"/>
      <c r="H1414" s="256"/>
      <c r="J1414" s="256"/>
      <c r="W1414" s="317"/>
      <c r="Z1414" s="176"/>
      <c r="AA1414" s="176"/>
    </row>
    <row r="1415" spans="4:27">
      <c r="D1415" s="315"/>
      <c r="E1415" s="316"/>
      <c r="H1415" s="256"/>
      <c r="J1415" s="256"/>
      <c r="W1415" s="317"/>
      <c r="Z1415" s="176"/>
      <c r="AA1415" s="176"/>
    </row>
    <row r="1416" spans="4:27">
      <c r="D1416" s="315"/>
      <c r="E1416" s="316"/>
      <c r="H1416" s="256"/>
      <c r="J1416" s="256"/>
      <c r="W1416" s="317"/>
      <c r="Z1416" s="176"/>
      <c r="AA1416" s="176"/>
    </row>
    <row r="1417" spans="4:27">
      <c r="D1417" s="315"/>
      <c r="E1417" s="316"/>
      <c r="H1417" s="256"/>
      <c r="J1417" s="256"/>
      <c r="W1417" s="317"/>
      <c r="Z1417" s="176"/>
      <c r="AA1417" s="176"/>
    </row>
    <row r="1418" spans="4:27">
      <c r="D1418" s="315"/>
      <c r="E1418" s="316"/>
      <c r="H1418" s="256"/>
      <c r="J1418" s="256"/>
      <c r="W1418" s="317"/>
      <c r="Z1418" s="176"/>
      <c r="AA1418" s="176"/>
    </row>
    <row r="1419" spans="4:27">
      <c r="D1419" s="315"/>
      <c r="E1419" s="316"/>
      <c r="H1419" s="256"/>
      <c r="J1419" s="256"/>
      <c r="W1419" s="317"/>
      <c r="Z1419" s="176"/>
      <c r="AA1419" s="176"/>
    </row>
    <row r="1420" spans="4:27">
      <c r="D1420" s="315"/>
      <c r="E1420" s="316"/>
      <c r="H1420" s="256"/>
      <c r="J1420" s="256"/>
      <c r="W1420" s="317"/>
      <c r="Z1420" s="176"/>
      <c r="AA1420" s="176"/>
    </row>
    <row r="1421" spans="4:27">
      <c r="D1421" s="315"/>
      <c r="E1421" s="316"/>
      <c r="H1421" s="256"/>
      <c r="J1421" s="256"/>
      <c r="W1421" s="317"/>
      <c r="Z1421" s="176"/>
      <c r="AA1421" s="176"/>
    </row>
    <row r="1422" spans="4:27">
      <c r="D1422" s="315"/>
      <c r="E1422" s="316"/>
      <c r="H1422" s="256"/>
      <c r="J1422" s="256"/>
      <c r="W1422" s="317"/>
      <c r="Z1422" s="176"/>
      <c r="AA1422" s="176"/>
    </row>
    <row r="1423" spans="4:27">
      <c r="D1423" s="315"/>
      <c r="E1423" s="316"/>
      <c r="H1423" s="256"/>
      <c r="J1423" s="256"/>
      <c r="W1423" s="317"/>
      <c r="Z1423" s="176"/>
      <c r="AA1423" s="176"/>
    </row>
    <row r="1424" spans="4:27">
      <c r="D1424" s="315"/>
      <c r="E1424" s="316"/>
      <c r="H1424" s="256"/>
      <c r="J1424" s="256"/>
      <c r="W1424" s="317"/>
      <c r="Z1424" s="176"/>
      <c r="AA1424" s="176"/>
    </row>
    <row r="1425" spans="4:27">
      <c r="D1425" s="315"/>
      <c r="E1425" s="316"/>
      <c r="H1425" s="256"/>
      <c r="J1425" s="256"/>
      <c r="W1425" s="317"/>
      <c r="Z1425" s="176"/>
      <c r="AA1425" s="176"/>
    </row>
    <row r="1426" spans="4:27">
      <c r="D1426" s="315"/>
      <c r="E1426" s="316"/>
      <c r="H1426" s="256"/>
      <c r="J1426" s="256"/>
      <c r="W1426" s="317"/>
      <c r="Z1426" s="176"/>
      <c r="AA1426" s="176"/>
    </row>
    <row r="1427" spans="4:27">
      <c r="D1427" s="315"/>
      <c r="E1427" s="316"/>
      <c r="H1427" s="256"/>
      <c r="J1427" s="256"/>
      <c r="W1427" s="317"/>
      <c r="Z1427" s="176"/>
      <c r="AA1427" s="176"/>
    </row>
    <row r="1428" spans="4:27">
      <c r="D1428" s="315"/>
      <c r="E1428" s="316"/>
      <c r="H1428" s="256"/>
      <c r="J1428" s="256"/>
      <c r="W1428" s="317"/>
      <c r="Z1428" s="176"/>
      <c r="AA1428" s="176"/>
    </row>
    <row r="1429" spans="4:27">
      <c r="D1429" s="315"/>
      <c r="E1429" s="316"/>
      <c r="H1429" s="256"/>
      <c r="J1429" s="256"/>
      <c r="W1429" s="317"/>
      <c r="Z1429" s="176"/>
      <c r="AA1429" s="176"/>
    </row>
    <row r="1430" spans="4:27">
      <c r="D1430" s="315"/>
      <c r="E1430" s="316"/>
      <c r="H1430" s="256"/>
      <c r="J1430" s="256"/>
      <c r="W1430" s="317"/>
      <c r="Z1430" s="176"/>
      <c r="AA1430" s="176"/>
    </row>
    <row r="1431" spans="4:27">
      <c r="D1431" s="315"/>
      <c r="E1431" s="316"/>
      <c r="H1431" s="256"/>
      <c r="J1431" s="256"/>
      <c r="W1431" s="317"/>
      <c r="Z1431" s="176"/>
      <c r="AA1431" s="176"/>
    </row>
    <row r="1432" spans="4:27">
      <c r="D1432" s="315"/>
      <c r="E1432" s="316"/>
      <c r="H1432" s="256"/>
      <c r="J1432" s="256"/>
      <c r="W1432" s="317"/>
      <c r="Z1432" s="176"/>
      <c r="AA1432" s="176"/>
    </row>
    <row r="1433" spans="4:27">
      <c r="D1433" s="315"/>
      <c r="E1433" s="316"/>
      <c r="H1433" s="256"/>
      <c r="J1433" s="256"/>
      <c r="W1433" s="317"/>
      <c r="Z1433" s="176"/>
      <c r="AA1433" s="176"/>
    </row>
    <row r="1434" spans="4:27">
      <c r="D1434" s="315"/>
      <c r="E1434" s="316"/>
      <c r="H1434" s="256"/>
      <c r="J1434" s="256"/>
      <c r="W1434" s="317"/>
      <c r="Z1434" s="176"/>
      <c r="AA1434" s="176"/>
    </row>
    <row r="1435" spans="4:27">
      <c r="D1435" s="315"/>
      <c r="E1435" s="316"/>
      <c r="H1435" s="256"/>
      <c r="J1435" s="256"/>
      <c r="W1435" s="317"/>
      <c r="Z1435" s="176"/>
      <c r="AA1435" s="176"/>
    </row>
    <row r="1436" spans="4:27">
      <c r="D1436" s="315"/>
      <c r="E1436" s="316"/>
      <c r="H1436" s="256"/>
      <c r="J1436" s="256"/>
      <c r="W1436" s="317"/>
      <c r="Z1436" s="176"/>
      <c r="AA1436" s="176"/>
    </row>
    <row r="1437" spans="4:27">
      <c r="D1437" s="315"/>
      <c r="E1437" s="316"/>
      <c r="H1437" s="256"/>
      <c r="J1437" s="256"/>
      <c r="W1437" s="317"/>
      <c r="Z1437" s="176"/>
      <c r="AA1437" s="176"/>
    </row>
    <row r="1438" spans="4:27">
      <c r="D1438" s="315"/>
      <c r="E1438" s="316"/>
      <c r="H1438" s="256"/>
      <c r="J1438" s="256"/>
      <c r="W1438" s="317"/>
      <c r="Z1438" s="176"/>
      <c r="AA1438" s="176"/>
    </row>
    <row r="1439" spans="4:27">
      <c r="D1439" s="315"/>
      <c r="E1439" s="316"/>
      <c r="H1439" s="256"/>
      <c r="J1439" s="256"/>
      <c r="W1439" s="317"/>
      <c r="Z1439" s="176"/>
      <c r="AA1439" s="176"/>
    </row>
    <row r="1440" spans="4:27">
      <c r="D1440" s="315"/>
      <c r="E1440" s="316"/>
      <c r="H1440" s="256"/>
      <c r="J1440" s="256"/>
      <c r="W1440" s="317"/>
      <c r="Z1440" s="176"/>
      <c r="AA1440" s="176"/>
    </row>
    <row r="1441" spans="4:27">
      <c r="D1441" s="315"/>
      <c r="E1441" s="316"/>
      <c r="H1441" s="256"/>
      <c r="J1441" s="256"/>
      <c r="W1441" s="317"/>
      <c r="Z1441" s="176"/>
      <c r="AA1441" s="176"/>
    </row>
    <row r="1442" spans="4:27">
      <c r="D1442" s="315"/>
      <c r="E1442" s="316"/>
      <c r="H1442" s="256"/>
      <c r="J1442" s="256"/>
      <c r="W1442" s="317"/>
      <c r="Z1442" s="176"/>
      <c r="AA1442" s="176"/>
    </row>
    <row r="1443" spans="4:27">
      <c r="D1443" s="315"/>
      <c r="E1443" s="316"/>
      <c r="H1443" s="256"/>
      <c r="J1443" s="256"/>
      <c r="W1443" s="317"/>
      <c r="Z1443" s="176"/>
      <c r="AA1443" s="176"/>
    </row>
    <row r="1444" spans="4:27">
      <c r="D1444" s="315"/>
      <c r="E1444" s="316"/>
      <c r="H1444" s="256"/>
      <c r="J1444" s="256"/>
      <c r="W1444" s="317"/>
      <c r="Z1444" s="176"/>
      <c r="AA1444" s="176"/>
    </row>
    <row r="1445" spans="4:27">
      <c r="D1445" s="315"/>
      <c r="E1445" s="316"/>
      <c r="H1445" s="256"/>
      <c r="J1445" s="256"/>
      <c r="W1445" s="317"/>
      <c r="Z1445" s="176"/>
      <c r="AA1445" s="176"/>
    </row>
    <row r="1446" spans="4:27">
      <c r="D1446" s="315"/>
      <c r="E1446" s="316"/>
      <c r="H1446" s="256"/>
      <c r="J1446" s="256"/>
      <c r="W1446" s="317"/>
      <c r="Z1446" s="176"/>
      <c r="AA1446" s="176"/>
    </row>
    <row r="1447" spans="4:27">
      <c r="D1447" s="315"/>
      <c r="E1447" s="316"/>
      <c r="H1447" s="256"/>
      <c r="J1447" s="256"/>
      <c r="W1447" s="317"/>
      <c r="Z1447" s="176"/>
      <c r="AA1447" s="176"/>
    </row>
    <row r="1448" spans="4:27">
      <c r="D1448" s="315"/>
      <c r="E1448" s="316"/>
      <c r="H1448" s="256"/>
      <c r="J1448" s="256"/>
      <c r="W1448" s="317"/>
      <c r="Z1448" s="176"/>
      <c r="AA1448" s="176"/>
    </row>
    <row r="1449" spans="4:27">
      <c r="D1449" s="315"/>
      <c r="E1449" s="316"/>
      <c r="H1449" s="256"/>
      <c r="J1449" s="256"/>
      <c r="W1449" s="317"/>
      <c r="Z1449" s="176"/>
      <c r="AA1449" s="176"/>
    </row>
    <row r="1450" spans="4:27">
      <c r="D1450" s="315"/>
      <c r="E1450" s="316"/>
      <c r="H1450" s="256"/>
      <c r="J1450" s="256"/>
      <c r="W1450" s="317"/>
      <c r="Z1450" s="176"/>
      <c r="AA1450" s="176"/>
    </row>
    <row r="1451" spans="4:27">
      <c r="D1451" s="315"/>
      <c r="E1451" s="316"/>
      <c r="H1451" s="256"/>
      <c r="J1451" s="256"/>
      <c r="W1451" s="317"/>
      <c r="Z1451" s="176"/>
      <c r="AA1451" s="176"/>
    </row>
    <row r="1452" spans="4:27">
      <c r="D1452" s="315"/>
      <c r="E1452" s="316"/>
      <c r="H1452" s="256"/>
      <c r="J1452" s="256"/>
      <c r="W1452" s="317"/>
      <c r="Z1452" s="176"/>
      <c r="AA1452" s="176"/>
    </row>
    <row r="1453" spans="4:27">
      <c r="D1453" s="315"/>
      <c r="E1453" s="316"/>
      <c r="H1453" s="256"/>
      <c r="J1453" s="256"/>
      <c r="W1453" s="317"/>
      <c r="Z1453" s="176"/>
      <c r="AA1453" s="176"/>
    </row>
    <row r="1454" spans="4:27">
      <c r="D1454" s="315"/>
      <c r="E1454" s="316"/>
      <c r="H1454" s="256"/>
      <c r="J1454" s="256"/>
      <c r="W1454" s="317"/>
      <c r="Z1454" s="176"/>
      <c r="AA1454" s="176"/>
    </row>
    <row r="1455" spans="4:27">
      <c r="D1455" s="315"/>
      <c r="E1455" s="316"/>
      <c r="H1455" s="256"/>
      <c r="J1455" s="256"/>
      <c r="W1455" s="317"/>
      <c r="Z1455" s="176"/>
      <c r="AA1455" s="176"/>
    </row>
    <row r="1456" spans="4:27">
      <c r="D1456" s="315"/>
      <c r="E1456" s="316"/>
      <c r="H1456" s="256"/>
      <c r="J1456" s="256"/>
      <c r="W1456" s="317"/>
      <c r="Z1456" s="176"/>
      <c r="AA1456" s="176"/>
    </row>
    <row r="1457" spans="4:27">
      <c r="D1457" s="315"/>
      <c r="E1457" s="316"/>
      <c r="H1457" s="256"/>
      <c r="J1457" s="256"/>
      <c r="W1457" s="317"/>
      <c r="Z1457" s="176"/>
      <c r="AA1457" s="176"/>
    </row>
    <row r="1458" spans="4:27">
      <c r="D1458" s="315"/>
      <c r="E1458" s="316"/>
      <c r="H1458" s="256"/>
      <c r="J1458" s="256"/>
      <c r="W1458" s="317"/>
      <c r="Z1458" s="176"/>
      <c r="AA1458" s="176"/>
    </row>
    <row r="1459" spans="4:27">
      <c r="D1459" s="315"/>
      <c r="E1459" s="316"/>
      <c r="H1459" s="256"/>
      <c r="J1459" s="256"/>
      <c r="W1459" s="317"/>
      <c r="Z1459" s="176"/>
      <c r="AA1459" s="176"/>
    </row>
    <row r="1460" spans="4:27">
      <c r="D1460" s="315"/>
      <c r="E1460" s="316"/>
      <c r="H1460" s="256"/>
      <c r="J1460" s="256"/>
      <c r="W1460" s="317"/>
      <c r="Z1460" s="176"/>
      <c r="AA1460" s="176"/>
    </row>
    <row r="1461" spans="4:27">
      <c r="D1461" s="315"/>
      <c r="E1461" s="316"/>
      <c r="H1461" s="256"/>
      <c r="J1461" s="256"/>
      <c r="W1461" s="317"/>
      <c r="Z1461" s="176"/>
      <c r="AA1461" s="176"/>
    </row>
    <row r="1462" spans="4:27">
      <c r="D1462" s="315"/>
      <c r="E1462" s="316"/>
      <c r="H1462" s="256"/>
      <c r="J1462" s="256"/>
      <c r="W1462" s="317"/>
      <c r="Z1462" s="176"/>
      <c r="AA1462" s="176"/>
    </row>
    <row r="1463" spans="4:27">
      <c r="D1463" s="315"/>
      <c r="E1463" s="316"/>
      <c r="H1463" s="256"/>
      <c r="J1463" s="256"/>
      <c r="W1463" s="317"/>
      <c r="Z1463" s="176"/>
      <c r="AA1463" s="176"/>
    </row>
    <row r="1464" spans="4:27">
      <c r="D1464" s="315"/>
      <c r="E1464" s="316"/>
      <c r="H1464" s="256"/>
      <c r="J1464" s="256"/>
      <c r="W1464" s="317"/>
      <c r="Z1464" s="176"/>
      <c r="AA1464" s="176"/>
    </row>
    <row r="1465" spans="4:27">
      <c r="D1465" s="315"/>
      <c r="E1465" s="316"/>
      <c r="H1465" s="256"/>
      <c r="J1465" s="256"/>
      <c r="W1465" s="317"/>
      <c r="Z1465" s="176"/>
      <c r="AA1465" s="176"/>
    </row>
    <row r="1466" spans="4:27">
      <c r="D1466" s="315"/>
      <c r="E1466" s="316"/>
      <c r="H1466" s="256"/>
      <c r="J1466" s="256"/>
      <c r="W1466" s="317"/>
      <c r="Z1466" s="176"/>
      <c r="AA1466" s="176"/>
    </row>
    <row r="1467" spans="4:27">
      <c r="D1467" s="315"/>
      <c r="E1467" s="316"/>
      <c r="H1467" s="256"/>
      <c r="J1467" s="256"/>
      <c r="W1467" s="317"/>
      <c r="Z1467" s="176"/>
      <c r="AA1467" s="176"/>
    </row>
    <row r="1468" spans="4:27">
      <c r="D1468" s="315"/>
      <c r="E1468" s="316"/>
      <c r="H1468" s="256"/>
      <c r="J1468" s="256"/>
      <c r="W1468" s="317"/>
      <c r="Z1468" s="176"/>
      <c r="AA1468" s="176"/>
    </row>
    <row r="1469" spans="4:27">
      <c r="D1469" s="315"/>
      <c r="E1469" s="316"/>
      <c r="H1469" s="256"/>
      <c r="J1469" s="256"/>
      <c r="W1469" s="317"/>
      <c r="Z1469" s="176"/>
      <c r="AA1469" s="176"/>
    </row>
    <row r="1470" spans="4:27">
      <c r="D1470" s="315"/>
      <c r="E1470" s="316"/>
      <c r="H1470" s="256"/>
      <c r="J1470" s="256"/>
      <c r="W1470" s="317"/>
      <c r="Z1470" s="176"/>
      <c r="AA1470" s="176"/>
    </row>
    <row r="1471" spans="4:27">
      <c r="D1471" s="315"/>
      <c r="E1471" s="316"/>
      <c r="H1471" s="256"/>
      <c r="J1471" s="256"/>
      <c r="W1471" s="317"/>
      <c r="Z1471" s="176"/>
      <c r="AA1471" s="176"/>
    </row>
    <row r="1472" spans="4:27">
      <c r="D1472" s="315"/>
      <c r="E1472" s="316"/>
      <c r="H1472" s="256"/>
      <c r="J1472" s="256"/>
      <c r="W1472" s="317"/>
      <c r="Z1472" s="176"/>
      <c r="AA1472" s="176"/>
    </row>
    <row r="1473" spans="4:27">
      <c r="D1473" s="315"/>
      <c r="E1473" s="316"/>
      <c r="H1473" s="256"/>
      <c r="J1473" s="256"/>
      <c r="W1473" s="317"/>
      <c r="Z1473" s="176"/>
      <c r="AA1473" s="176"/>
    </row>
    <row r="1474" spans="4:27">
      <c r="D1474" s="315"/>
      <c r="E1474" s="316"/>
      <c r="H1474" s="256"/>
      <c r="J1474" s="256"/>
      <c r="W1474" s="317"/>
      <c r="Z1474" s="176"/>
      <c r="AA1474" s="176"/>
    </row>
    <row r="1475" spans="4:27">
      <c r="D1475" s="315"/>
      <c r="E1475" s="316"/>
      <c r="H1475" s="256"/>
      <c r="J1475" s="256"/>
      <c r="W1475" s="317"/>
      <c r="Z1475" s="176"/>
      <c r="AA1475" s="176"/>
    </row>
    <row r="1476" spans="4:27">
      <c r="D1476" s="315"/>
      <c r="E1476" s="316"/>
      <c r="H1476" s="256"/>
      <c r="J1476" s="256"/>
      <c r="W1476" s="317"/>
      <c r="Z1476" s="176"/>
      <c r="AA1476" s="176"/>
    </row>
    <row r="1477" spans="4:27">
      <c r="D1477" s="315"/>
      <c r="E1477" s="316"/>
      <c r="H1477" s="256"/>
      <c r="J1477" s="256"/>
      <c r="W1477" s="317"/>
      <c r="Z1477" s="176"/>
      <c r="AA1477" s="176"/>
    </row>
    <row r="1478" spans="4:27">
      <c r="D1478" s="315"/>
      <c r="E1478" s="316"/>
      <c r="H1478" s="256"/>
      <c r="J1478" s="256"/>
      <c r="W1478" s="317"/>
      <c r="Z1478" s="176"/>
      <c r="AA1478" s="176"/>
    </row>
    <row r="1479" spans="4:27">
      <c r="D1479" s="315"/>
      <c r="E1479" s="316"/>
      <c r="H1479" s="256"/>
      <c r="J1479" s="256"/>
      <c r="W1479" s="317"/>
      <c r="Z1479" s="176"/>
      <c r="AA1479" s="176"/>
    </row>
    <row r="1480" spans="4:27">
      <c r="D1480" s="315"/>
      <c r="E1480" s="316"/>
      <c r="H1480" s="256"/>
      <c r="J1480" s="256"/>
      <c r="W1480" s="317"/>
      <c r="Z1480" s="176"/>
      <c r="AA1480" s="176"/>
    </row>
    <row r="1481" spans="4:27">
      <c r="D1481" s="315"/>
      <c r="E1481" s="316"/>
      <c r="H1481" s="256"/>
      <c r="J1481" s="256"/>
      <c r="W1481" s="317"/>
      <c r="Z1481" s="176"/>
      <c r="AA1481" s="176"/>
    </row>
    <row r="1482" spans="4:27">
      <c r="D1482" s="315"/>
      <c r="E1482" s="316"/>
      <c r="H1482" s="256"/>
      <c r="J1482" s="256"/>
      <c r="W1482" s="317"/>
      <c r="Z1482" s="176"/>
      <c r="AA1482" s="176"/>
    </row>
    <row r="1483" spans="4:27">
      <c r="D1483" s="315"/>
      <c r="E1483" s="316"/>
      <c r="H1483" s="256"/>
      <c r="J1483" s="256"/>
      <c r="W1483" s="317"/>
      <c r="Z1483" s="176"/>
      <c r="AA1483" s="176"/>
    </row>
    <row r="1484" spans="4:27">
      <c r="D1484" s="315"/>
      <c r="E1484" s="316"/>
      <c r="H1484" s="256"/>
      <c r="J1484" s="256"/>
      <c r="W1484" s="317"/>
      <c r="Z1484" s="176"/>
      <c r="AA1484" s="176"/>
    </row>
    <row r="1485" spans="4:27">
      <c r="D1485" s="315"/>
      <c r="E1485" s="316"/>
      <c r="H1485" s="256"/>
      <c r="J1485" s="256"/>
      <c r="W1485" s="317"/>
      <c r="Z1485" s="176"/>
      <c r="AA1485" s="176"/>
    </row>
    <row r="1486" spans="4:27">
      <c r="D1486" s="315"/>
      <c r="E1486" s="316"/>
      <c r="H1486" s="256"/>
      <c r="J1486" s="256"/>
      <c r="W1486" s="317"/>
      <c r="Z1486" s="176"/>
      <c r="AA1486" s="176"/>
    </row>
    <row r="1487" spans="4:27">
      <c r="D1487" s="315"/>
      <c r="E1487" s="316"/>
      <c r="H1487" s="256"/>
      <c r="J1487" s="256"/>
      <c r="W1487" s="317"/>
      <c r="Z1487" s="176"/>
      <c r="AA1487" s="176"/>
    </row>
    <row r="1488" spans="4:27">
      <c r="D1488" s="315"/>
      <c r="E1488" s="316"/>
      <c r="H1488" s="256"/>
      <c r="J1488" s="256"/>
      <c r="W1488" s="317"/>
      <c r="Z1488" s="176"/>
      <c r="AA1488" s="176"/>
    </row>
    <row r="1489" spans="4:27">
      <c r="D1489" s="315"/>
      <c r="E1489" s="316"/>
      <c r="H1489" s="256"/>
      <c r="J1489" s="256"/>
      <c r="W1489" s="317"/>
      <c r="Z1489" s="176"/>
      <c r="AA1489" s="176"/>
    </row>
    <row r="1490" spans="4:27">
      <c r="D1490" s="315"/>
      <c r="E1490" s="316"/>
      <c r="H1490" s="256"/>
      <c r="J1490" s="256"/>
      <c r="W1490" s="317"/>
      <c r="Z1490" s="176"/>
      <c r="AA1490" s="176"/>
    </row>
    <row r="1491" spans="4:27">
      <c r="D1491" s="315"/>
      <c r="E1491" s="316"/>
      <c r="H1491" s="256"/>
      <c r="J1491" s="256"/>
      <c r="W1491" s="317"/>
      <c r="Z1491" s="176"/>
      <c r="AA1491" s="176"/>
    </row>
    <row r="1492" spans="4:27">
      <c r="D1492" s="315"/>
      <c r="E1492" s="316"/>
      <c r="H1492" s="256"/>
      <c r="J1492" s="256"/>
      <c r="W1492" s="317"/>
      <c r="Z1492" s="176"/>
      <c r="AA1492" s="176"/>
    </row>
    <row r="1493" spans="4:27">
      <c r="D1493" s="315"/>
      <c r="E1493" s="316"/>
      <c r="H1493" s="256"/>
      <c r="J1493" s="256"/>
      <c r="W1493" s="317"/>
      <c r="Z1493" s="176"/>
      <c r="AA1493" s="176"/>
    </row>
    <row r="1494" spans="4:27">
      <c r="D1494" s="315"/>
      <c r="E1494" s="316"/>
      <c r="H1494" s="256"/>
      <c r="J1494" s="256"/>
      <c r="W1494" s="317"/>
      <c r="Z1494" s="176"/>
      <c r="AA1494" s="176"/>
    </row>
    <row r="1495" spans="4:27">
      <c r="D1495" s="315"/>
      <c r="E1495" s="316"/>
      <c r="H1495" s="256"/>
      <c r="J1495" s="256"/>
      <c r="W1495" s="317"/>
      <c r="Z1495" s="176"/>
      <c r="AA1495" s="176"/>
    </row>
    <row r="1496" spans="4:27">
      <c r="D1496" s="315"/>
      <c r="E1496" s="316"/>
      <c r="H1496" s="256"/>
      <c r="J1496" s="256"/>
      <c r="W1496" s="317"/>
      <c r="Z1496" s="176"/>
      <c r="AA1496" s="176"/>
    </row>
    <row r="1497" spans="4:27">
      <c r="D1497" s="315"/>
      <c r="E1497" s="316"/>
      <c r="H1497" s="256"/>
      <c r="J1497" s="256"/>
      <c r="W1497" s="317"/>
      <c r="Z1497" s="176"/>
      <c r="AA1497" s="176"/>
    </row>
    <row r="1498" spans="4:27">
      <c r="D1498" s="315"/>
      <c r="E1498" s="316"/>
      <c r="H1498" s="256"/>
      <c r="J1498" s="256"/>
      <c r="W1498" s="317"/>
      <c r="Z1498" s="176"/>
      <c r="AA1498" s="176"/>
    </row>
    <row r="1499" spans="4:27">
      <c r="D1499" s="315"/>
      <c r="E1499" s="316"/>
      <c r="H1499" s="256"/>
      <c r="J1499" s="256"/>
      <c r="W1499" s="317"/>
      <c r="Z1499" s="176"/>
      <c r="AA1499" s="176"/>
    </row>
    <row r="1500" spans="4:27">
      <c r="D1500" s="315"/>
      <c r="E1500" s="316"/>
      <c r="H1500" s="256"/>
      <c r="J1500" s="256"/>
      <c r="W1500" s="317"/>
      <c r="Z1500" s="176"/>
      <c r="AA1500" s="176"/>
    </row>
    <row r="1501" spans="4:27">
      <c r="D1501" s="315"/>
      <c r="E1501" s="316"/>
      <c r="H1501" s="256"/>
      <c r="J1501" s="256"/>
      <c r="W1501" s="317"/>
      <c r="Z1501" s="176"/>
      <c r="AA1501" s="176"/>
    </row>
    <row r="1502" spans="4:27">
      <c r="D1502" s="315"/>
      <c r="E1502" s="316"/>
      <c r="H1502" s="256"/>
      <c r="J1502" s="256"/>
      <c r="W1502" s="317"/>
      <c r="Z1502" s="176"/>
      <c r="AA1502" s="176"/>
    </row>
    <row r="1503" spans="4:27">
      <c r="D1503" s="315"/>
      <c r="E1503" s="316"/>
      <c r="H1503" s="256"/>
      <c r="J1503" s="256"/>
      <c r="W1503" s="317"/>
      <c r="Z1503" s="176"/>
      <c r="AA1503" s="176"/>
    </row>
    <row r="1504" spans="4:27">
      <c r="D1504" s="315"/>
      <c r="E1504" s="316"/>
      <c r="H1504" s="256"/>
      <c r="J1504" s="256"/>
      <c r="W1504" s="317"/>
      <c r="Z1504" s="176"/>
      <c r="AA1504" s="176"/>
    </row>
    <row r="1505" spans="4:27">
      <c r="D1505" s="315"/>
      <c r="E1505" s="316"/>
      <c r="H1505" s="256"/>
      <c r="J1505" s="256"/>
      <c r="W1505" s="317"/>
      <c r="Z1505" s="176"/>
      <c r="AA1505" s="176"/>
    </row>
    <row r="1506" spans="4:27">
      <c r="D1506" s="315"/>
      <c r="E1506" s="316"/>
      <c r="H1506" s="256"/>
      <c r="J1506" s="256"/>
      <c r="W1506" s="317"/>
      <c r="Z1506" s="176"/>
      <c r="AA1506" s="176"/>
    </row>
    <row r="1507" spans="4:27">
      <c r="D1507" s="315"/>
      <c r="E1507" s="316"/>
      <c r="H1507" s="256"/>
      <c r="J1507" s="256"/>
      <c r="W1507" s="317"/>
      <c r="Z1507" s="176"/>
      <c r="AA1507" s="176"/>
    </row>
    <row r="1508" spans="4:27">
      <c r="D1508" s="315"/>
      <c r="E1508" s="316"/>
      <c r="H1508" s="256"/>
      <c r="J1508" s="256"/>
      <c r="W1508" s="317"/>
      <c r="Z1508" s="176"/>
      <c r="AA1508" s="176"/>
    </row>
    <row r="1509" spans="4:27">
      <c r="D1509" s="315"/>
      <c r="E1509" s="316"/>
      <c r="H1509" s="256"/>
      <c r="J1509" s="256"/>
      <c r="W1509" s="317"/>
      <c r="Z1509" s="176"/>
      <c r="AA1509" s="176"/>
    </row>
    <row r="1510" spans="4:27">
      <c r="D1510" s="315"/>
      <c r="E1510" s="316"/>
      <c r="H1510" s="256"/>
      <c r="J1510" s="256"/>
      <c r="W1510" s="317"/>
      <c r="Z1510" s="176"/>
      <c r="AA1510" s="176"/>
    </row>
    <row r="1511" spans="4:27">
      <c r="D1511" s="315"/>
      <c r="E1511" s="316"/>
      <c r="H1511" s="256"/>
      <c r="J1511" s="256"/>
      <c r="W1511" s="317"/>
      <c r="Z1511" s="176"/>
      <c r="AA1511" s="176"/>
    </row>
    <row r="1512" spans="4:27">
      <c r="D1512" s="315"/>
      <c r="E1512" s="316"/>
      <c r="H1512" s="256"/>
      <c r="J1512" s="256"/>
      <c r="W1512" s="317"/>
      <c r="Z1512" s="176"/>
      <c r="AA1512" s="176"/>
    </row>
    <row r="1513" spans="4:27">
      <c r="D1513" s="315"/>
      <c r="E1513" s="316"/>
      <c r="H1513" s="256"/>
      <c r="J1513" s="256"/>
      <c r="W1513" s="317"/>
      <c r="Z1513" s="176"/>
      <c r="AA1513" s="176"/>
    </row>
    <row r="1514" spans="4:27">
      <c r="D1514" s="315"/>
      <c r="E1514" s="316"/>
      <c r="H1514" s="256"/>
      <c r="J1514" s="256"/>
      <c r="W1514" s="317"/>
      <c r="Z1514" s="176"/>
      <c r="AA1514" s="176"/>
    </row>
    <row r="1515" spans="4:27">
      <c r="D1515" s="315"/>
      <c r="E1515" s="316"/>
      <c r="H1515" s="256"/>
      <c r="J1515" s="256"/>
      <c r="W1515" s="317"/>
      <c r="Z1515" s="176"/>
      <c r="AA1515" s="176"/>
    </row>
    <row r="1516" spans="4:27">
      <c r="D1516" s="315"/>
      <c r="E1516" s="316"/>
      <c r="H1516" s="256"/>
      <c r="J1516" s="256"/>
      <c r="W1516" s="317"/>
      <c r="Z1516" s="176"/>
      <c r="AA1516" s="176"/>
    </row>
    <row r="1517" spans="4:27">
      <c r="D1517" s="315"/>
      <c r="E1517" s="316"/>
      <c r="H1517" s="256"/>
      <c r="J1517" s="256"/>
      <c r="W1517" s="317"/>
      <c r="Z1517" s="176"/>
      <c r="AA1517" s="176"/>
    </row>
    <row r="1518" spans="4:27">
      <c r="D1518" s="315"/>
      <c r="E1518" s="316"/>
      <c r="H1518" s="256"/>
      <c r="J1518" s="256"/>
      <c r="W1518" s="317"/>
      <c r="Z1518" s="176"/>
      <c r="AA1518" s="176"/>
    </row>
    <row r="1519" spans="4:27">
      <c r="D1519" s="315"/>
      <c r="E1519" s="316"/>
      <c r="H1519" s="256"/>
      <c r="J1519" s="256"/>
      <c r="W1519" s="317"/>
      <c r="Z1519" s="176"/>
      <c r="AA1519" s="176"/>
    </row>
    <row r="1520" spans="4:27">
      <c r="D1520" s="315"/>
      <c r="E1520" s="316"/>
      <c r="H1520" s="256"/>
      <c r="J1520" s="256"/>
      <c r="W1520" s="317"/>
      <c r="Z1520" s="176"/>
      <c r="AA1520" s="176"/>
    </row>
    <row r="1521" spans="4:27">
      <c r="D1521" s="315"/>
      <c r="E1521" s="316"/>
      <c r="H1521" s="256"/>
      <c r="J1521" s="256"/>
      <c r="W1521" s="317"/>
      <c r="Z1521" s="176"/>
      <c r="AA1521" s="176"/>
    </row>
    <row r="1522" spans="4:27">
      <c r="D1522" s="315"/>
      <c r="E1522" s="316"/>
      <c r="H1522" s="256"/>
      <c r="J1522" s="256"/>
      <c r="W1522" s="317"/>
      <c r="Z1522" s="176"/>
      <c r="AA1522" s="176"/>
    </row>
    <row r="1523" spans="4:27">
      <c r="D1523" s="315"/>
      <c r="E1523" s="316"/>
      <c r="H1523" s="256"/>
      <c r="J1523" s="256"/>
      <c r="W1523" s="317"/>
      <c r="Z1523" s="176"/>
      <c r="AA1523" s="176"/>
    </row>
    <row r="1524" spans="4:27">
      <c r="D1524" s="315"/>
      <c r="E1524" s="316"/>
      <c r="H1524" s="256"/>
      <c r="J1524" s="256"/>
      <c r="W1524" s="317"/>
      <c r="Z1524" s="176"/>
      <c r="AA1524" s="176"/>
    </row>
    <row r="1525" spans="4:27">
      <c r="D1525" s="315"/>
      <c r="E1525" s="316"/>
      <c r="H1525" s="256"/>
      <c r="J1525" s="256"/>
      <c r="W1525" s="317"/>
      <c r="Z1525" s="176"/>
      <c r="AA1525" s="176"/>
    </row>
    <row r="1526" spans="4:27">
      <c r="D1526" s="315"/>
      <c r="E1526" s="316"/>
      <c r="H1526" s="256"/>
      <c r="J1526" s="256"/>
      <c r="W1526" s="317"/>
      <c r="Z1526" s="176"/>
      <c r="AA1526" s="176"/>
    </row>
    <row r="1527" spans="4:27">
      <c r="D1527" s="315"/>
      <c r="E1527" s="316"/>
      <c r="H1527" s="256"/>
      <c r="J1527" s="256"/>
      <c r="W1527" s="317"/>
      <c r="Z1527" s="176"/>
      <c r="AA1527" s="176"/>
    </row>
    <row r="1528" spans="4:27">
      <c r="D1528" s="315"/>
      <c r="E1528" s="316"/>
      <c r="H1528" s="256"/>
      <c r="J1528" s="256"/>
      <c r="W1528" s="317"/>
      <c r="Z1528" s="176"/>
      <c r="AA1528" s="176"/>
    </row>
    <row r="1529" spans="4:27">
      <c r="D1529" s="315"/>
      <c r="E1529" s="316"/>
      <c r="H1529" s="256"/>
      <c r="J1529" s="256"/>
      <c r="W1529" s="317"/>
      <c r="Z1529" s="176"/>
      <c r="AA1529" s="176"/>
    </row>
    <row r="1530" spans="4:27">
      <c r="D1530" s="315"/>
      <c r="E1530" s="316"/>
      <c r="H1530" s="256"/>
      <c r="J1530" s="256"/>
      <c r="W1530" s="317"/>
      <c r="Z1530" s="176"/>
      <c r="AA1530" s="176"/>
    </row>
    <row r="1531" spans="4:27">
      <c r="D1531" s="315"/>
      <c r="E1531" s="316"/>
      <c r="H1531" s="256"/>
      <c r="J1531" s="256"/>
      <c r="W1531" s="317"/>
      <c r="Z1531" s="176"/>
      <c r="AA1531" s="176"/>
    </row>
    <row r="1532" spans="4:27">
      <c r="D1532" s="315"/>
      <c r="E1532" s="316"/>
      <c r="H1532" s="256"/>
      <c r="J1532" s="256"/>
      <c r="W1532" s="317"/>
      <c r="Z1532" s="176"/>
      <c r="AA1532" s="176"/>
    </row>
    <row r="1533" spans="4:27">
      <c r="D1533" s="315"/>
      <c r="E1533" s="316"/>
      <c r="H1533" s="256"/>
      <c r="J1533" s="256"/>
      <c r="W1533" s="317"/>
      <c r="Z1533" s="176"/>
      <c r="AA1533" s="176"/>
    </row>
    <row r="1534" spans="4:27">
      <c r="D1534" s="315"/>
      <c r="E1534" s="316"/>
      <c r="H1534" s="256"/>
      <c r="J1534" s="256"/>
      <c r="W1534" s="317"/>
      <c r="Z1534" s="176"/>
      <c r="AA1534" s="176"/>
    </row>
    <row r="1535" spans="4:27">
      <c r="D1535" s="315"/>
      <c r="E1535" s="316"/>
      <c r="H1535" s="256"/>
      <c r="J1535" s="256"/>
      <c r="W1535" s="317"/>
      <c r="Z1535" s="176"/>
      <c r="AA1535" s="176"/>
    </row>
    <row r="1536" spans="4:27">
      <c r="D1536" s="315"/>
      <c r="E1536" s="316"/>
      <c r="H1536" s="256"/>
      <c r="J1536" s="256"/>
      <c r="W1536" s="317"/>
      <c r="Z1536" s="176"/>
      <c r="AA1536" s="176"/>
    </row>
    <row r="1537" spans="4:27">
      <c r="D1537" s="315"/>
      <c r="E1537" s="316"/>
      <c r="H1537" s="256"/>
      <c r="J1537" s="256"/>
      <c r="W1537" s="317"/>
      <c r="Z1537" s="176"/>
      <c r="AA1537" s="176"/>
    </row>
    <row r="1538" spans="4:27">
      <c r="D1538" s="315"/>
      <c r="E1538" s="316"/>
      <c r="H1538" s="256"/>
      <c r="J1538" s="256"/>
      <c r="W1538" s="317"/>
      <c r="Z1538" s="176"/>
      <c r="AA1538" s="176"/>
    </row>
    <row r="1539" spans="4:27">
      <c r="D1539" s="315"/>
      <c r="E1539" s="316"/>
      <c r="H1539" s="256"/>
      <c r="J1539" s="256"/>
      <c r="W1539" s="317"/>
      <c r="Z1539" s="176"/>
      <c r="AA1539" s="176"/>
    </row>
    <row r="1540" spans="4:27">
      <c r="D1540" s="315"/>
      <c r="E1540" s="316"/>
      <c r="H1540" s="256"/>
      <c r="J1540" s="256"/>
      <c r="W1540" s="317"/>
      <c r="Z1540" s="176"/>
      <c r="AA1540" s="176"/>
    </row>
    <row r="1541" spans="4:27">
      <c r="D1541" s="315"/>
      <c r="E1541" s="316"/>
      <c r="H1541" s="256"/>
      <c r="J1541" s="256"/>
      <c r="W1541" s="317"/>
      <c r="Z1541" s="176"/>
      <c r="AA1541" s="176"/>
    </row>
    <row r="1542" spans="4:27">
      <c r="D1542" s="315"/>
      <c r="E1542" s="316"/>
      <c r="H1542" s="256"/>
      <c r="J1542" s="256"/>
      <c r="W1542" s="317"/>
      <c r="Z1542" s="176"/>
      <c r="AA1542" s="176"/>
    </row>
    <row r="1543" spans="4:27">
      <c r="D1543" s="315"/>
      <c r="E1543" s="316"/>
      <c r="H1543" s="256"/>
      <c r="J1543" s="256"/>
      <c r="W1543" s="317"/>
      <c r="Z1543" s="176"/>
      <c r="AA1543" s="176"/>
    </row>
    <row r="1544" spans="4:27">
      <c r="D1544" s="315"/>
      <c r="E1544" s="316"/>
      <c r="H1544" s="256"/>
      <c r="J1544" s="256"/>
      <c r="W1544" s="317"/>
      <c r="Z1544" s="176"/>
      <c r="AA1544" s="176"/>
    </row>
    <row r="1545" spans="4:27">
      <c r="D1545" s="315"/>
      <c r="E1545" s="316"/>
      <c r="H1545" s="256"/>
      <c r="J1545" s="256"/>
      <c r="W1545" s="317"/>
      <c r="Z1545" s="176"/>
      <c r="AA1545" s="176"/>
    </row>
    <row r="1546" spans="4:27">
      <c r="D1546" s="315"/>
      <c r="E1546" s="316"/>
      <c r="H1546" s="256"/>
      <c r="J1546" s="256"/>
      <c r="W1546" s="317"/>
      <c r="Z1546" s="176"/>
      <c r="AA1546" s="176"/>
    </row>
    <row r="1547" spans="4:27">
      <c r="D1547" s="315"/>
      <c r="E1547" s="316"/>
      <c r="H1547" s="256"/>
      <c r="J1547" s="256"/>
      <c r="W1547" s="317"/>
      <c r="Z1547" s="176"/>
      <c r="AA1547" s="176"/>
    </row>
    <row r="1548" spans="4:27">
      <c r="D1548" s="315"/>
      <c r="E1548" s="316"/>
      <c r="H1548" s="256"/>
      <c r="J1548" s="256"/>
      <c r="W1548" s="317"/>
      <c r="Z1548" s="176"/>
      <c r="AA1548" s="176"/>
    </row>
    <row r="1549" spans="4:27">
      <c r="D1549" s="315"/>
      <c r="E1549" s="316"/>
      <c r="H1549" s="256"/>
      <c r="J1549" s="256"/>
      <c r="W1549" s="317"/>
      <c r="Z1549" s="176"/>
      <c r="AA1549" s="176"/>
    </row>
    <row r="1550" spans="4:27">
      <c r="D1550" s="315"/>
      <c r="E1550" s="316"/>
      <c r="H1550" s="256"/>
      <c r="J1550" s="256"/>
      <c r="W1550" s="317"/>
      <c r="Z1550" s="176"/>
      <c r="AA1550" s="176"/>
    </row>
    <row r="1551" spans="4:27">
      <c r="D1551" s="315"/>
      <c r="E1551" s="316"/>
      <c r="H1551" s="256"/>
      <c r="J1551" s="256"/>
      <c r="W1551" s="317"/>
      <c r="Z1551" s="176"/>
      <c r="AA1551" s="176"/>
    </row>
    <row r="1552" spans="4:27">
      <c r="D1552" s="315"/>
      <c r="E1552" s="316"/>
      <c r="H1552" s="256"/>
      <c r="J1552" s="256"/>
      <c r="W1552" s="317"/>
      <c r="Z1552" s="176"/>
      <c r="AA1552" s="176"/>
    </row>
    <row r="1553" spans="4:27">
      <c r="D1553" s="315"/>
      <c r="E1553" s="316"/>
      <c r="H1553" s="256"/>
      <c r="J1553" s="256"/>
      <c r="W1553" s="317"/>
      <c r="Z1553" s="176"/>
      <c r="AA1553" s="176"/>
    </row>
    <row r="1554" spans="4:27">
      <c r="D1554" s="315"/>
      <c r="E1554" s="316"/>
      <c r="H1554" s="256"/>
      <c r="J1554" s="256"/>
      <c r="W1554" s="317"/>
      <c r="Z1554" s="176"/>
      <c r="AA1554" s="176"/>
    </row>
    <row r="1555" spans="4:27">
      <c r="D1555" s="315"/>
      <c r="E1555" s="316"/>
      <c r="H1555" s="256"/>
      <c r="J1555" s="256"/>
      <c r="W1555" s="317"/>
      <c r="Z1555" s="176"/>
      <c r="AA1555" s="176"/>
    </row>
    <row r="1556" spans="4:27">
      <c r="D1556" s="315"/>
      <c r="E1556" s="316"/>
      <c r="H1556" s="256"/>
      <c r="J1556" s="256"/>
      <c r="W1556" s="317"/>
      <c r="Z1556" s="176"/>
      <c r="AA1556" s="176"/>
    </row>
    <row r="1557" spans="4:27">
      <c r="D1557" s="315"/>
      <c r="E1557" s="316"/>
      <c r="H1557" s="256"/>
      <c r="J1557" s="256"/>
      <c r="W1557" s="317"/>
      <c r="Z1557" s="176"/>
      <c r="AA1557" s="176"/>
    </row>
    <row r="1558" spans="4:27">
      <c r="D1558" s="315"/>
      <c r="E1558" s="316"/>
      <c r="H1558" s="256"/>
      <c r="J1558" s="256"/>
      <c r="W1558" s="317"/>
      <c r="Z1558" s="176"/>
      <c r="AA1558" s="176"/>
    </row>
    <row r="1559" spans="4:27">
      <c r="D1559" s="315"/>
      <c r="E1559" s="316"/>
      <c r="H1559" s="256"/>
      <c r="J1559" s="256"/>
      <c r="W1559" s="317"/>
      <c r="Z1559" s="176"/>
      <c r="AA1559" s="176"/>
    </row>
    <row r="1560" spans="4:27">
      <c r="D1560" s="315"/>
      <c r="E1560" s="316"/>
      <c r="H1560" s="256"/>
      <c r="J1560" s="256"/>
      <c r="W1560" s="317"/>
      <c r="Z1560" s="176"/>
      <c r="AA1560" s="176"/>
    </row>
    <row r="1561" spans="4:27">
      <c r="D1561" s="315"/>
      <c r="E1561" s="316"/>
      <c r="H1561" s="256"/>
      <c r="J1561" s="256"/>
      <c r="W1561" s="317"/>
      <c r="Z1561" s="176"/>
      <c r="AA1561" s="176"/>
    </row>
    <row r="1562" spans="4:27">
      <c r="D1562" s="315"/>
      <c r="E1562" s="316"/>
      <c r="H1562" s="256"/>
      <c r="J1562" s="256"/>
      <c r="W1562" s="317"/>
      <c r="Z1562" s="176"/>
      <c r="AA1562" s="176"/>
    </row>
    <row r="1563" spans="4:27">
      <c r="D1563" s="315"/>
      <c r="E1563" s="316"/>
      <c r="H1563" s="256"/>
      <c r="J1563" s="256"/>
      <c r="W1563" s="317"/>
      <c r="Z1563" s="176"/>
      <c r="AA1563" s="176"/>
    </row>
    <row r="1564" spans="4:27">
      <c r="D1564" s="315"/>
      <c r="E1564" s="316"/>
      <c r="H1564" s="256"/>
      <c r="J1564" s="256"/>
      <c r="W1564" s="317"/>
      <c r="Z1564" s="176"/>
      <c r="AA1564" s="176"/>
    </row>
    <row r="1565" spans="4:27">
      <c r="D1565" s="315"/>
      <c r="E1565" s="316"/>
      <c r="H1565" s="256"/>
      <c r="J1565" s="256"/>
      <c r="W1565" s="317"/>
      <c r="Z1565" s="176"/>
      <c r="AA1565" s="176"/>
    </row>
    <row r="1566" spans="4:27">
      <c r="D1566" s="315"/>
      <c r="E1566" s="316"/>
      <c r="H1566" s="256"/>
      <c r="J1566" s="256"/>
      <c r="W1566" s="317"/>
      <c r="Z1566" s="176"/>
      <c r="AA1566" s="176"/>
    </row>
    <row r="1567" spans="4:27">
      <c r="D1567" s="315"/>
      <c r="E1567" s="316"/>
      <c r="H1567" s="256"/>
      <c r="J1567" s="256"/>
      <c r="W1567" s="317"/>
      <c r="Z1567" s="176"/>
      <c r="AA1567" s="176"/>
    </row>
    <row r="1568" spans="4:27">
      <c r="D1568" s="315"/>
      <c r="E1568" s="316"/>
      <c r="H1568" s="256"/>
      <c r="J1568" s="256"/>
      <c r="W1568" s="317"/>
      <c r="Z1568" s="176"/>
      <c r="AA1568" s="176"/>
    </row>
    <row r="1569" spans="4:27">
      <c r="D1569" s="315"/>
      <c r="E1569" s="316"/>
      <c r="H1569" s="256"/>
      <c r="J1569" s="256"/>
      <c r="W1569" s="317"/>
      <c r="Z1569" s="176"/>
      <c r="AA1569" s="176"/>
    </row>
    <row r="1570" spans="4:27">
      <c r="D1570" s="315"/>
      <c r="E1570" s="316"/>
      <c r="H1570" s="256"/>
      <c r="J1570" s="256"/>
      <c r="W1570" s="317"/>
      <c r="Z1570" s="176"/>
      <c r="AA1570" s="176"/>
    </row>
    <row r="1571" spans="4:27">
      <c r="D1571" s="315"/>
      <c r="E1571" s="316"/>
      <c r="H1571" s="256"/>
      <c r="J1571" s="256"/>
      <c r="W1571" s="317"/>
      <c r="Z1571" s="176"/>
      <c r="AA1571" s="176"/>
    </row>
    <row r="1572" spans="4:27">
      <c r="D1572" s="315"/>
      <c r="E1572" s="316"/>
      <c r="H1572" s="256"/>
      <c r="J1572" s="256"/>
      <c r="W1572" s="317"/>
      <c r="Z1572" s="176"/>
      <c r="AA1572" s="176"/>
    </row>
    <row r="1573" spans="4:27">
      <c r="D1573" s="315"/>
      <c r="E1573" s="316"/>
      <c r="H1573" s="256"/>
      <c r="J1573" s="256"/>
      <c r="W1573" s="317"/>
      <c r="Z1573" s="176"/>
      <c r="AA1573" s="176"/>
    </row>
    <row r="1574" spans="4:27">
      <c r="D1574" s="315"/>
      <c r="E1574" s="316"/>
      <c r="H1574" s="256"/>
      <c r="J1574" s="256"/>
      <c r="W1574" s="317"/>
      <c r="Z1574" s="176"/>
      <c r="AA1574" s="176"/>
    </row>
    <row r="1575" spans="4:27">
      <c r="D1575" s="315"/>
      <c r="E1575" s="316"/>
      <c r="H1575" s="256"/>
      <c r="J1575" s="256"/>
      <c r="W1575" s="317"/>
      <c r="Z1575" s="176"/>
      <c r="AA1575" s="176"/>
    </row>
    <row r="1576" spans="4:27">
      <c r="D1576" s="315"/>
      <c r="E1576" s="316"/>
      <c r="H1576" s="256"/>
      <c r="J1576" s="256"/>
      <c r="W1576" s="317"/>
      <c r="Z1576" s="176"/>
      <c r="AA1576" s="176"/>
    </row>
    <row r="1577" spans="4:27">
      <c r="D1577" s="315"/>
      <c r="E1577" s="316"/>
      <c r="H1577" s="256"/>
      <c r="J1577" s="256"/>
      <c r="W1577" s="317"/>
      <c r="Z1577" s="176"/>
      <c r="AA1577" s="176"/>
    </row>
    <row r="1578" spans="4:27">
      <c r="D1578" s="315"/>
      <c r="E1578" s="316"/>
      <c r="H1578" s="256"/>
      <c r="J1578" s="256"/>
      <c r="W1578" s="317"/>
      <c r="Z1578" s="176"/>
      <c r="AA1578" s="176"/>
    </row>
    <row r="1579" spans="4:27">
      <c r="D1579" s="315"/>
      <c r="E1579" s="316"/>
      <c r="H1579" s="256"/>
      <c r="J1579" s="256"/>
      <c r="W1579" s="317"/>
      <c r="Z1579" s="176"/>
      <c r="AA1579" s="176"/>
    </row>
    <row r="1580" spans="4:27">
      <c r="D1580" s="315"/>
      <c r="E1580" s="316"/>
      <c r="H1580" s="256"/>
      <c r="J1580" s="256"/>
      <c r="W1580" s="317"/>
      <c r="Z1580" s="176"/>
      <c r="AA1580" s="176"/>
    </row>
    <row r="1581" spans="4:27">
      <c r="D1581" s="315"/>
      <c r="E1581" s="316"/>
      <c r="H1581" s="256"/>
      <c r="J1581" s="256"/>
      <c r="W1581" s="317"/>
      <c r="Z1581" s="176"/>
      <c r="AA1581" s="176"/>
    </row>
    <row r="1582" spans="4:27">
      <c r="D1582" s="315"/>
      <c r="E1582" s="316"/>
      <c r="H1582" s="256"/>
      <c r="J1582" s="256"/>
      <c r="W1582" s="317"/>
      <c r="Z1582" s="176"/>
      <c r="AA1582" s="176"/>
    </row>
    <row r="1583" spans="4:27">
      <c r="D1583" s="315"/>
      <c r="E1583" s="316"/>
      <c r="H1583" s="256"/>
      <c r="J1583" s="256"/>
      <c r="W1583" s="317"/>
      <c r="Z1583" s="176"/>
      <c r="AA1583" s="176"/>
    </row>
    <row r="1584" spans="4:27">
      <c r="D1584" s="315"/>
      <c r="E1584" s="316"/>
      <c r="H1584" s="256"/>
      <c r="J1584" s="256"/>
      <c r="W1584" s="317"/>
      <c r="Z1584" s="176"/>
      <c r="AA1584" s="176"/>
    </row>
    <row r="1585" spans="4:27">
      <c r="D1585" s="315"/>
      <c r="E1585" s="316"/>
      <c r="H1585" s="256"/>
      <c r="J1585" s="256"/>
      <c r="W1585" s="317"/>
      <c r="Z1585" s="176"/>
      <c r="AA1585" s="176"/>
    </row>
    <row r="1586" spans="4:27">
      <c r="D1586" s="315"/>
      <c r="E1586" s="316"/>
      <c r="H1586" s="256"/>
      <c r="J1586" s="256"/>
      <c r="W1586" s="317"/>
      <c r="Z1586" s="176"/>
      <c r="AA1586" s="176"/>
    </row>
    <row r="1587" spans="4:27">
      <c r="D1587" s="315"/>
      <c r="E1587" s="316"/>
      <c r="H1587" s="256"/>
      <c r="J1587" s="256"/>
      <c r="W1587" s="317"/>
      <c r="Z1587" s="176"/>
      <c r="AA1587" s="176"/>
    </row>
    <row r="1588" spans="4:27">
      <c r="D1588" s="315"/>
      <c r="E1588" s="316"/>
      <c r="H1588" s="256"/>
      <c r="J1588" s="256"/>
      <c r="W1588" s="317"/>
      <c r="Z1588" s="176"/>
      <c r="AA1588" s="176"/>
    </row>
    <row r="1589" spans="4:27">
      <c r="D1589" s="315"/>
      <c r="E1589" s="316"/>
      <c r="H1589" s="256"/>
      <c r="J1589" s="256"/>
      <c r="W1589" s="317"/>
      <c r="Z1589" s="176"/>
      <c r="AA1589" s="176"/>
    </row>
    <row r="1590" spans="4:27">
      <c r="D1590" s="315"/>
      <c r="E1590" s="316"/>
      <c r="H1590" s="256"/>
      <c r="J1590" s="256"/>
      <c r="W1590" s="317"/>
      <c r="Z1590" s="176"/>
      <c r="AA1590" s="176"/>
    </row>
    <row r="1591" spans="4:27">
      <c r="D1591" s="315"/>
      <c r="E1591" s="316"/>
      <c r="H1591" s="256"/>
      <c r="J1591" s="256"/>
      <c r="W1591" s="317"/>
      <c r="Z1591" s="176"/>
      <c r="AA1591" s="176"/>
    </row>
    <row r="1592" spans="4:27">
      <c r="D1592" s="315"/>
      <c r="E1592" s="316"/>
      <c r="H1592" s="256"/>
      <c r="J1592" s="256"/>
      <c r="W1592" s="317"/>
      <c r="Z1592" s="176"/>
      <c r="AA1592" s="176"/>
    </row>
    <row r="1593" spans="4:27">
      <c r="D1593" s="315"/>
      <c r="E1593" s="316"/>
      <c r="H1593" s="256"/>
      <c r="J1593" s="256"/>
      <c r="W1593" s="317"/>
      <c r="Z1593" s="176"/>
      <c r="AA1593" s="176"/>
    </row>
    <row r="1594" spans="4:27">
      <c r="D1594" s="315"/>
      <c r="E1594" s="316"/>
      <c r="H1594" s="256"/>
      <c r="J1594" s="256"/>
      <c r="W1594" s="317"/>
      <c r="Z1594" s="176"/>
      <c r="AA1594" s="176"/>
    </row>
    <row r="1595" spans="4:27">
      <c r="D1595" s="315"/>
      <c r="E1595" s="316"/>
      <c r="H1595" s="256"/>
      <c r="J1595" s="256"/>
      <c r="W1595" s="317"/>
      <c r="Z1595" s="176"/>
      <c r="AA1595" s="176"/>
    </row>
    <row r="1596" spans="4:27">
      <c r="D1596" s="315"/>
      <c r="E1596" s="316"/>
      <c r="H1596" s="256"/>
      <c r="J1596" s="256"/>
      <c r="W1596" s="317"/>
      <c r="Z1596" s="176"/>
      <c r="AA1596" s="176"/>
    </row>
    <row r="1597" spans="4:27">
      <c r="D1597" s="315"/>
      <c r="E1597" s="316"/>
      <c r="H1597" s="256"/>
      <c r="J1597" s="256"/>
      <c r="W1597" s="317"/>
      <c r="Z1597" s="176"/>
      <c r="AA1597" s="176"/>
    </row>
    <row r="1598" spans="4:27">
      <c r="D1598" s="315"/>
      <c r="E1598" s="316"/>
      <c r="H1598" s="256"/>
      <c r="J1598" s="256"/>
      <c r="W1598" s="317"/>
      <c r="Z1598" s="176"/>
      <c r="AA1598" s="176"/>
    </row>
    <row r="1599" spans="4:27">
      <c r="D1599" s="315"/>
      <c r="E1599" s="316"/>
      <c r="H1599" s="256"/>
      <c r="J1599" s="256"/>
      <c r="W1599" s="317"/>
      <c r="Z1599" s="176"/>
      <c r="AA1599" s="176"/>
    </row>
    <row r="1600" spans="4:27">
      <c r="D1600" s="315"/>
      <c r="E1600" s="316"/>
      <c r="H1600" s="256"/>
      <c r="J1600" s="256"/>
      <c r="W1600" s="317"/>
      <c r="Z1600" s="176"/>
      <c r="AA1600" s="176"/>
    </row>
    <row r="1601" spans="4:27">
      <c r="D1601" s="315"/>
      <c r="E1601" s="316"/>
      <c r="H1601" s="256"/>
      <c r="J1601" s="256"/>
      <c r="W1601" s="317"/>
      <c r="Z1601" s="176"/>
      <c r="AA1601" s="176"/>
    </row>
    <row r="1602" spans="4:27">
      <c r="D1602" s="315"/>
      <c r="E1602" s="316"/>
      <c r="H1602" s="256"/>
      <c r="J1602" s="256"/>
      <c r="W1602" s="317"/>
      <c r="Z1602" s="176"/>
      <c r="AA1602" s="176"/>
    </row>
    <row r="1603" spans="4:27">
      <c r="D1603" s="315"/>
      <c r="E1603" s="316"/>
      <c r="H1603" s="256"/>
      <c r="J1603" s="256"/>
      <c r="W1603" s="317"/>
      <c r="Z1603" s="176"/>
      <c r="AA1603" s="176"/>
    </row>
    <row r="1604" spans="4:27">
      <c r="D1604" s="315"/>
      <c r="E1604" s="316"/>
      <c r="H1604" s="256"/>
      <c r="J1604" s="256"/>
      <c r="W1604" s="317"/>
      <c r="Z1604" s="176"/>
      <c r="AA1604" s="176"/>
    </row>
    <row r="1605" spans="4:27">
      <c r="D1605" s="315"/>
      <c r="E1605" s="316"/>
      <c r="H1605" s="256"/>
      <c r="J1605" s="256"/>
      <c r="W1605" s="317"/>
      <c r="Z1605" s="176"/>
      <c r="AA1605" s="176"/>
    </row>
    <row r="1606" spans="4:27">
      <c r="D1606" s="315"/>
      <c r="E1606" s="316"/>
      <c r="H1606" s="256"/>
      <c r="J1606" s="256"/>
      <c r="W1606" s="317"/>
      <c r="Z1606" s="176"/>
      <c r="AA1606" s="176"/>
    </row>
    <row r="1607" spans="4:27">
      <c r="D1607" s="315"/>
      <c r="E1607" s="316"/>
      <c r="H1607" s="256"/>
      <c r="J1607" s="256"/>
      <c r="W1607" s="317"/>
      <c r="Z1607" s="176"/>
      <c r="AA1607" s="176"/>
    </row>
    <row r="1608" spans="4:27">
      <c r="D1608" s="315"/>
      <c r="E1608" s="316"/>
      <c r="H1608" s="256"/>
      <c r="J1608" s="256"/>
      <c r="W1608" s="317"/>
      <c r="Z1608" s="176"/>
      <c r="AA1608" s="176"/>
    </row>
    <row r="1609" spans="4:27">
      <c r="D1609" s="315"/>
      <c r="E1609" s="316"/>
      <c r="H1609" s="256"/>
      <c r="J1609" s="256"/>
      <c r="W1609" s="317"/>
      <c r="Z1609" s="176"/>
      <c r="AA1609" s="176"/>
    </row>
    <row r="1610" spans="4:27">
      <c r="D1610" s="315"/>
      <c r="E1610" s="316"/>
      <c r="H1610" s="256"/>
      <c r="J1610" s="256"/>
      <c r="W1610" s="317"/>
      <c r="Z1610" s="176"/>
      <c r="AA1610" s="176"/>
    </row>
    <row r="1611" spans="4:27">
      <c r="D1611" s="315"/>
      <c r="E1611" s="316"/>
      <c r="H1611" s="256"/>
      <c r="J1611" s="256"/>
      <c r="W1611" s="317"/>
      <c r="Z1611" s="176"/>
      <c r="AA1611" s="176"/>
    </row>
    <row r="1612" spans="4:27">
      <c r="D1612" s="315"/>
      <c r="E1612" s="316"/>
      <c r="H1612" s="256"/>
      <c r="J1612" s="256"/>
      <c r="W1612" s="317"/>
      <c r="Z1612" s="176"/>
      <c r="AA1612" s="176"/>
    </row>
    <row r="1613" spans="4:27">
      <c r="D1613" s="315"/>
      <c r="E1613" s="316"/>
      <c r="H1613" s="256"/>
      <c r="J1613" s="256"/>
      <c r="W1613" s="317"/>
      <c r="Z1613" s="176"/>
      <c r="AA1613" s="176"/>
    </row>
    <row r="1614" spans="4:27">
      <c r="D1614" s="315"/>
      <c r="E1614" s="316"/>
      <c r="H1614" s="256"/>
      <c r="J1614" s="256"/>
      <c r="W1614" s="317"/>
      <c r="Z1614" s="176"/>
      <c r="AA1614" s="176"/>
    </row>
    <row r="1615" spans="4:27">
      <c r="D1615" s="315"/>
      <c r="E1615" s="316"/>
      <c r="H1615" s="256"/>
      <c r="J1615" s="256"/>
      <c r="W1615" s="317"/>
      <c r="Z1615" s="176"/>
      <c r="AA1615" s="176"/>
    </row>
    <row r="1616" spans="4:27">
      <c r="D1616" s="315"/>
      <c r="E1616" s="316"/>
      <c r="H1616" s="256"/>
      <c r="J1616" s="256"/>
      <c r="W1616" s="317"/>
      <c r="Z1616" s="176"/>
      <c r="AA1616" s="176"/>
    </row>
    <row r="1617" spans="4:27">
      <c r="D1617" s="315"/>
      <c r="E1617" s="316"/>
      <c r="H1617" s="256"/>
      <c r="J1617" s="256"/>
      <c r="W1617" s="317"/>
      <c r="Z1617" s="176"/>
      <c r="AA1617" s="176"/>
    </row>
    <row r="1618" spans="4:27">
      <c r="D1618" s="315"/>
      <c r="E1618" s="316"/>
      <c r="H1618" s="256"/>
      <c r="J1618" s="256"/>
      <c r="W1618" s="317"/>
      <c r="Z1618" s="176"/>
      <c r="AA1618" s="176"/>
    </row>
    <row r="1619" spans="4:27">
      <c r="D1619" s="315"/>
      <c r="E1619" s="316"/>
      <c r="H1619" s="256"/>
      <c r="J1619" s="256"/>
      <c r="W1619" s="317"/>
      <c r="Z1619" s="176"/>
      <c r="AA1619" s="176"/>
    </row>
    <row r="1620" spans="4:27">
      <c r="D1620" s="315"/>
      <c r="E1620" s="316"/>
      <c r="H1620" s="256"/>
      <c r="J1620" s="256"/>
      <c r="W1620" s="317"/>
      <c r="Z1620" s="176"/>
      <c r="AA1620" s="176"/>
    </row>
    <row r="1621" spans="4:27">
      <c r="D1621" s="315"/>
      <c r="E1621" s="316"/>
      <c r="H1621" s="256"/>
      <c r="J1621" s="256"/>
      <c r="W1621" s="317"/>
      <c r="Z1621" s="176"/>
      <c r="AA1621" s="176"/>
    </row>
    <row r="1622" spans="4:27">
      <c r="D1622" s="315"/>
      <c r="E1622" s="316"/>
      <c r="H1622" s="256"/>
      <c r="J1622" s="256"/>
      <c r="W1622" s="317"/>
      <c r="Z1622" s="176"/>
      <c r="AA1622" s="176"/>
    </row>
    <row r="1623" spans="4:27">
      <c r="D1623" s="315"/>
      <c r="E1623" s="316"/>
      <c r="H1623" s="256"/>
      <c r="J1623" s="256"/>
      <c r="W1623" s="317"/>
      <c r="Z1623" s="176"/>
      <c r="AA1623" s="176"/>
    </row>
    <row r="1624" spans="4:27">
      <c r="D1624" s="315"/>
      <c r="E1624" s="316"/>
      <c r="H1624" s="256"/>
      <c r="J1624" s="256"/>
      <c r="W1624" s="317"/>
      <c r="Z1624" s="176"/>
      <c r="AA1624" s="176"/>
    </row>
    <row r="1625" spans="4:27">
      <c r="D1625" s="315"/>
      <c r="E1625" s="316"/>
      <c r="H1625" s="256"/>
      <c r="J1625" s="256"/>
      <c r="W1625" s="317"/>
      <c r="Z1625" s="176"/>
      <c r="AA1625" s="176"/>
    </row>
    <row r="1626" spans="4:27">
      <c r="D1626" s="315"/>
      <c r="E1626" s="316"/>
      <c r="H1626" s="256"/>
      <c r="J1626" s="256"/>
      <c r="W1626" s="317"/>
      <c r="Z1626" s="176"/>
      <c r="AA1626" s="176"/>
    </row>
    <row r="1627" spans="4:27">
      <c r="D1627" s="315"/>
      <c r="E1627" s="316"/>
      <c r="H1627" s="256"/>
      <c r="J1627" s="256"/>
      <c r="W1627" s="317"/>
      <c r="Z1627" s="176"/>
      <c r="AA1627" s="176"/>
    </row>
    <row r="1628" spans="4:27">
      <c r="D1628" s="315"/>
      <c r="E1628" s="316"/>
      <c r="H1628" s="256"/>
      <c r="J1628" s="256"/>
      <c r="W1628" s="317"/>
      <c r="Z1628" s="176"/>
      <c r="AA1628" s="176"/>
    </row>
    <row r="1629" spans="4:27">
      <c r="D1629" s="315"/>
      <c r="E1629" s="316"/>
      <c r="H1629" s="256"/>
      <c r="J1629" s="256"/>
      <c r="W1629" s="317"/>
      <c r="Z1629" s="176"/>
      <c r="AA1629" s="176"/>
    </row>
    <row r="1630" spans="4:27">
      <c r="D1630" s="315"/>
      <c r="E1630" s="316"/>
      <c r="H1630" s="256"/>
      <c r="J1630" s="256"/>
      <c r="W1630" s="317"/>
      <c r="Z1630" s="176"/>
      <c r="AA1630" s="176"/>
    </row>
    <row r="1631" spans="4:27">
      <c r="D1631" s="315"/>
      <c r="E1631" s="316"/>
      <c r="H1631" s="256"/>
      <c r="J1631" s="256"/>
      <c r="W1631" s="317"/>
      <c r="Z1631" s="176"/>
      <c r="AA1631" s="176"/>
    </row>
    <row r="1632" spans="4:27">
      <c r="D1632" s="315"/>
      <c r="E1632" s="316"/>
      <c r="H1632" s="256"/>
      <c r="J1632" s="256"/>
      <c r="W1632" s="317"/>
      <c r="Z1632" s="176"/>
      <c r="AA1632" s="176"/>
    </row>
    <row r="1633" spans="4:27">
      <c r="D1633" s="315"/>
      <c r="E1633" s="316"/>
      <c r="H1633" s="256"/>
      <c r="J1633" s="256"/>
      <c r="W1633" s="317"/>
      <c r="Z1633" s="176"/>
      <c r="AA1633" s="176"/>
    </row>
    <row r="1634" spans="4:27">
      <c r="D1634" s="315"/>
      <c r="E1634" s="316"/>
      <c r="H1634" s="256"/>
      <c r="J1634" s="256"/>
      <c r="W1634" s="317"/>
      <c r="Z1634" s="176"/>
      <c r="AA1634" s="176"/>
    </row>
    <row r="1635" spans="4:27">
      <c r="D1635" s="315"/>
      <c r="E1635" s="316"/>
      <c r="H1635" s="256"/>
      <c r="J1635" s="256"/>
      <c r="W1635" s="317"/>
      <c r="Z1635" s="176"/>
      <c r="AA1635" s="176"/>
    </row>
    <row r="1636" spans="4:27">
      <c r="D1636" s="315"/>
      <c r="E1636" s="316"/>
      <c r="H1636" s="256"/>
      <c r="J1636" s="256"/>
      <c r="W1636" s="317"/>
      <c r="Z1636" s="176"/>
      <c r="AA1636" s="176"/>
    </row>
    <row r="1637" spans="4:27">
      <c r="D1637" s="315"/>
      <c r="E1637" s="316"/>
      <c r="H1637" s="256"/>
      <c r="J1637" s="256"/>
      <c r="W1637" s="317"/>
      <c r="Z1637" s="176"/>
      <c r="AA1637" s="176"/>
    </row>
    <row r="1638" spans="4:27">
      <c r="D1638" s="315"/>
      <c r="E1638" s="316"/>
      <c r="H1638" s="256"/>
      <c r="J1638" s="256"/>
      <c r="W1638" s="317"/>
      <c r="Z1638" s="176"/>
      <c r="AA1638" s="176"/>
    </row>
    <row r="1639" spans="4:27">
      <c r="D1639" s="315"/>
      <c r="E1639" s="316"/>
      <c r="H1639" s="256"/>
      <c r="J1639" s="256"/>
      <c r="W1639" s="317"/>
      <c r="Z1639" s="176"/>
      <c r="AA1639" s="176"/>
    </row>
    <row r="1640" spans="4:27">
      <c r="D1640" s="315"/>
      <c r="E1640" s="316"/>
      <c r="H1640" s="256"/>
      <c r="J1640" s="256"/>
      <c r="W1640" s="317"/>
      <c r="Z1640" s="176"/>
      <c r="AA1640" s="176"/>
    </row>
    <row r="1641" spans="4:27">
      <c r="D1641" s="315"/>
      <c r="E1641" s="316"/>
      <c r="H1641" s="256"/>
      <c r="J1641" s="256"/>
      <c r="W1641" s="317"/>
      <c r="Z1641" s="176"/>
      <c r="AA1641" s="176"/>
    </row>
    <row r="1642" spans="4:27">
      <c r="D1642" s="315"/>
      <c r="E1642" s="316"/>
      <c r="H1642" s="256"/>
      <c r="J1642" s="256"/>
      <c r="W1642" s="317"/>
      <c r="Z1642" s="176"/>
      <c r="AA1642" s="176"/>
    </row>
    <row r="1643" spans="4:27">
      <c r="D1643" s="315"/>
      <c r="E1643" s="316"/>
      <c r="H1643" s="256"/>
      <c r="J1643" s="256"/>
      <c r="W1643" s="317"/>
      <c r="Z1643" s="176"/>
      <c r="AA1643" s="176"/>
    </row>
    <row r="1644" spans="4:27">
      <c r="D1644" s="315"/>
      <c r="E1644" s="316"/>
      <c r="H1644" s="256"/>
      <c r="J1644" s="256"/>
      <c r="W1644" s="317"/>
      <c r="Z1644" s="176"/>
      <c r="AA1644" s="176"/>
    </row>
    <row r="1645" spans="4:27">
      <c r="D1645" s="315"/>
      <c r="E1645" s="316"/>
      <c r="H1645" s="256"/>
      <c r="J1645" s="256"/>
      <c r="W1645" s="317"/>
      <c r="Z1645" s="176"/>
      <c r="AA1645" s="176"/>
    </row>
    <row r="1646" spans="4:27">
      <c r="D1646" s="315"/>
      <c r="E1646" s="316"/>
      <c r="H1646" s="256"/>
      <c r="J1646" s="256"/>
      <c r="W1646" s="317"/>
      <c r="Z1646" s="176"/>
      <c r="AA1646" s="176"/>
    </row>
    <row r="1647" spans="4:27">
      <c r="D1647" s="315"/>
      <c r="E1647" s="316"/>
      <c r="H1647" s="256"/>
      <c r="J1647" s="256"/>
      <c r="W1647" s="317"/>
      <c r="Z1647" s="176"/>
      <c r="AA1647" s="176"/>
    </row>
    <row r="1648" spans="4:27">
      <c r="D1648" s="315"/>
      <c r="E1648" s="316"/>
      <c r="H1648" s="256"/>
      <c r="J1648" s="256"/>
      <c r="W1648" s="317"/>
      <c r="Z1648" s="176"/>
      <c r="AA1648" s="176"/>
    </row>
    <row r="1649" spans="4:27">
      <c r="D1649" s="315"/>
      <c r="E1649" s="316"/>
      <c r="H1649" s="256"/>
      <c r="J1649" s="256"/>
      <c r="W1649" s="317"/>
      <c r="Z1649" s="176"/>
      <c r="AA1649" s="176"/>
    </row>
    <row r="1650" spans="4:27">
      <c r="D1650" s="315"/>
      <c r="E1650" s="316"/>
      <c r="H1650" s="256"/>
      <c r="J1650" s="256"/>
      <c r="W1650" s="317"/>
      <c r="Z1650" s="176"/>
      <c r="AA1650" s="176"/>
    </row>
    <row r="1651" spans="4:27">
      <c r="D1651" s="315"/>
      <c r="E1651" s="316"/>
      <c r="H1651" s="256"/>
      <c r="J1651" s="256"/>
      <c r="W1651" s="317"/>
      <c r="Z1651" s="176"/>
      <c r="AA1651" s="176"/>
    </row>
    <row r="1652" spans="4:27">
      <c r="D1652" s="315"/>
      <c r="E1652" s="316"/>
      <c r="H1652" s="256"/>
      <c r="J1652" s="256"/>
      <c r="W1652" s="317"/>
      <c r="Z1652" s="176"/>
      <c r="AA1652" s="176"/>
    </row>
    <row r="1653" spans="4:27">
      <c r="D1653" s="315"/>
      <c r="E1653" s="316"/>
      <c r="H1653" s="256"/>
      <c r="J1653" s="256"/>
      <c r="W1653" s="317"/>
      <c r="Z1653" s="176"/>
      <c r="AA1653" s="176"/>
    </row>
    <row r="1654" spans="4:27">
      <c r="D1654" s="315"/>
      <c r="E1654" s="316"/>
      <c r="H1654" s="256"/>
      <c r="J1654" s="256"/>
      <c r="W1654" s="317"/>
      <c r="Z1654" s="176"/>
      <c r="AA1654" s="176"/>
    </row>
    <row r="1655" spans="4:27">
      <c r="D1655" s="315"/>
      <c r="E1655" s="316"/>
      <c r="H1655" s="256"/>
      <c r="J1655" s="256"/>
      <c r="W1655" s="317"/>
      <c r="Z1655" s="176"/>
      <c r="AA1655" s="176"/>
    </row>
    <row r="1656" spans="4:27">
      <c r="D1656" s="315"/>
      <c r="E1656" s="316"/>
      <c r="H1656" s="256"/>
      <c r="J1656" s="256"/>
      <c r="W1656" s="317"/>
      <c r="Z1656" s="176"/>
      <c r="AA1656" s="176"/>
    </row>
    <row r="1657" spans="4:27">
      <c r="D1657" s="315"/>
      <c r="E1657" s="316"/>
      <c r="H1657" s="256"/>
      <c r="J1657" s="256"/>
      <c r="W1657" s="317"/>
      <c r="Z1657" s="176"/>
      <c r="AA1657" s="176"/>
    </row>
    <row r="1658" spans="4:27">
      <c r="D1658" s="315"/>
      <c r="E1658" s="316"/>
      <c r="H1658" s="256"/>
      <c r="J1658" s="256"/>
      <c r="W1658" s="317"/>
      <c r="Z1658" s="176"/>
      <c r="AA1658" s="176"/>
    </row>
    <row r="1659" spans="4:27">
      <c r="D1659" s="315"/>
      <c r="E1659" s="316"/>
      <c r="H1659" s="256"/>
      <c r="J1659" s="256"/>
      <c r="W1659" s="317"/>
      <c r="Z1659" s="176"/>
      <c r="AA1659" s="176"/>
    </row>
    <row r="1660" spans="4:27">
      <c r="D1660" s="315"/>
      <c r="E1660" s="316"/>
      <c r="H1660" s="256"/>
      <c r="J1660" s="256"/>
      <c r="W1660" s="317"/>
      <c r="Z1660" s="176"/>
      <c r="AA1660" s="176"/>
    </row>
    <row r="1661" spans="4:27">
      <c r="D1661" s="315"/>
      <c r="E1661" s="316"/>
      <c r="H1661" s="256"/>
      <c r="J1661" s="256"/>
      <c r="W1661" s="317"/>
      <c r="Z1661" s="176"/>
      <c r="AA1661" s="176"/>
    </row>
    <row r="1662" spans="4:27">
      <c r="D1662" s="315"/>
      <c r="E1662" s="316"/>
      <c r="H1662" s="256"/>
      <c r="J1662" s="256"/>
      <c r="W1662" s="317"/>
      <c r="Z1662" s="176"/>
      <c r="AA1662" s="176"/>
    </row>
    <row r="1663" spans="4:27">
      <c r="D1663" s="315"/>
      <c r="E1663" s="316"/>
      <c r="H1663" s="256"/>
      <c r="J1663" s="256"/>
      <c r="W1663" s="317"/>
      <c r="Z1663" s="176"/>
      <c r="AA1663" s="176"/>
    </row>
    <row r="1664" spans="4:27">
      <c r="D1664" s="315"/>
      <c r="E1664" s="316"/>
      <c r="H1664" s="256"/>
      <c r="J1664" s="256"/>
      <c r="W1664" s="317"/>
      <c r="Z1664" s="176"/>
      <c r="AA1664" s="176"/>
    </row>
    <row r="1665" spans="4:27">
      <c r="D1665" s="315"/>
      <c r="E1665" s="316"/>
      <c r="H1665" s="256"/>
      <c r="J1665" s="256"/>
      <c r="W1665" s="317"/>
      <c r="Z1665" s="176"/>
      <c r="AA1665" s="176"/>
    </row>
    <row r="1666" spans="4:27">
      <c r="D1666" s="315"/>
      <c r="E1666" s="316"/>
      <c r="H1666" s="256"/>
      <c r="J1666" s="256"/>
      <c r="W1666" s="317"/>
      <c r="Z1666" s="176"/>
      <c r="AA1666" s="176"/>
    </row>
    <row r="1667" spans="4:27">
      <c r="D1667" s="315"/>
      <c r="E1667" s="316"/>
      <c r="H1667" s="256"/>
      <c r="J1667" s="256"/>
      <c r="W1667" s="317"/>
      <c r="Z1667" s="176"/>
      <c r="AA1667" s="176"/>
    </row>
    <row r="1668" spans="4:27">
      <c r="D1668" s="315"/>
      <c r="E1668" s="316"/>
      <c r="H1668" s="256"/>
      <c r="J1668" s="256"/>
      <c r="W1668" s="317"/>
      <c r="Z1668" s="176"/>
      <c r="AA1668" s="176"/>
    </row>
    <row r="1669" spans="4:27">
      <c r="D1669" s="315"/>
      <c r="E1669" s="316"/>
      <c r="H1669" s="256"/>
      <c r="J1669" s="256"/>
      <c r="W1669" s="317"/>
      <c r="Z1669" s="176"/>
      <c r="AA1669" s="176"/>
    </row>
    <row r="1670" spans="4:27">
      <c r="D1670" s="315"/>
      <c r="E1670" s="316"/>
      <c r="H1670" s="256"/>
      <c r="J1670" s="256"/>
      <c r="W1670" s="317"/>
      <c r="Z1670" s="176"/>
      <c r="AA1670" s="176"/>
    </row>
    <row r="1671" spans="4:27">
      <c r="D1671" s="315"/>
      <c r="E1671" s="316"/>
      <c r="H1671" s="256"/>
      <c r="J1671" s="256"/>
      <c r="W1671" s="317"/>
      <c r="Z1671" s="176"/>
      <c r="AA1671" s="176"/>
    </row>
    <row r="1672" spans="4:27">
      <c r="D1672" s="315"/>
      <c r="E1672" s="316"/>
      <c r="H1672" s="256"/>
      <c r="J1672" s="256"/>
      <c r="W1672" s="317"/>
      <c r="Z1672" s="176"/>
      <c r="AA1672" s="176"/>
    </row>
    <row r="1673" spans="4:27">
      <c r="D1673" s="315"/>
      <c r="E1673" s="316"/>
      <c r="H1673" s="256"/>
      <c r="J1673" s="256"/>
      <c r="W1673" s="317"/>
      <c r="Z1673" s="176"/>
      <c r="AA1673" s="176"/>
    </row>
    <row r="1674" spans="4:27">
      <c r="D1674" s="315"/>
      <c r="E1674" s="316"/>
      <c r="H1674" s="256"/>
      <c r="J1674" s="256"/>
      <c r="W1674" s="317"/>
      <c r="Z1674" s="176"/>
      <c r="AA1674" s="176"/>
    </row>
    <row r="1675" spans="4:27">
      <c r="D1675" s="315"/>
      <c r="E1675" s="316"/>
      <c r="H1675" s="256"/>
      <c r="J1675" s="256"/>
      <c r="W1675" s="317"/>
      <c r="Z1675" s="176"/>
      <c r="AA1675" s="176"/>
    </row>
    <row r="1676" spans="4:27">
      <c r="D1676" s="315"/>
      <c r="E1676" s="316"/>
      <c r="H1676" s="256"/>
      <c r="J1676" s="256"/>
      <c r="W1676" s="317"/>
      <c r="Z1676" s="176"/>
      <c r="AA1676" s="176"/>
    </row>
    <row r="1677" spans="4:27">
      <c r="D1677" s="315"/>
      <c r="E1677" s="316"/>
      <c r="H1677" s="256"/>
      <c r="J1677" s="256"/>
      <c r="W1677" s="317"/>
      <c r="Z1677" s="176"/>
      <c r="AA1677" s="176"/>
    </row>
    <row r="1678" spans="4:27">
      <c r="D1678" s="315"/>
      <c r="E1678" s="316"/>
      <c r="H1678" s="256"/>
      <c r="J1678" s="256"/>
      <c r="W1678" s="317"/>
      <c r="Z1678" s="176"/>
      <c r="AA1678" s="176"/>
    </row>
    <row r="1679" spans="4:27">
      <c r="D1679" s="315"/>
      <c r="E1679" s="316"/>
      <c r="H1679" s="256"/>
      <c r="J1679" s="256"/>
      <c r="W1679" s="317"/>
      <c r="Z1679" s="176"/>
      <c r="AA1679" s="176"/>
    </row>
    <row r="1680" spans="4:27">
      <c r="D1680" s="315"/>
      <c r="E1680" s="316"/>
      <c r="H1680" s="256"/>
      <c r="J1680" s="256"/>
      <c r="W1680" s="317"/>
      <c r="Z1680" s="176"/>
      <c r="AA1680" s="176"/>
    </row>
    <row r="1681" spans="4:27">
      <c r="D1681" s="315"/>
      <c r="E1681" s="316"/>
      <c r="H1681" s="256"/>
      <c r="J1681" s="256"/>
      <c r="W1681" s="317"/>
      <c r="Z1681" s="176"/>
      <c r="AA1681" s="176"/>
    </row>
    <row r="1682" spans="4:27">
      <c r="D1682" s="315"/>
      <c r="E1682" s="316"/>
      <c r="H1682" s="256"/>
      <c r="J1682" s="256"/>
      <c r="W1682" s="317"/>
      <c r="Z1682" s="176"/>
      <c r="AA1682" s="176"/>
    </row>
    <row r="1683" spans="4:27">
      <c r="D1683" s="315"/>
      <c r="E1683" s="316"/>
      <c r="H1683" s="256"/>
      <c r="J1683" s="256"/>
      <c r="W1683" s="317"/>
      <c r="Z1683" s="176"/>
      <c r="AA1683" s="176"/>
    </row>
    <row r="1684" spans="4:27">
      <c r="D1684" s="315"/>
      <c r="E1684" s="316"/>
      <c r="H1684" s="256"/>
      <c r="J1684" s="256"/>
      <c r="W1684" s="317"/>
      <c r="Z1684" s="176"/>
      <c r="AA1684" s="176"/>
    </row>
    <row r="1685" spans="4:27">
      <c r="D1685" s="315"/>
      <c r="E1685" s="316"/>
      <c r="H1685" s="256"/>
      <c r="J1685" s="256"/>
      <c r="W1685" s="317"/>
      <c r="Z1685" s="176"/>
      <c r="AA1685" s="176"/>
    </row>
    <row r="1686" spans="4:27">
      <c r="D1686" s="315"/>
      <c r="E1686" s="316"/>
      <c r="H1686" s="256"/>
      <c r="J1686" s="256"/>
      <c r="W1686" s="317"/>
      <c r="Z1686" s="176"/>
      <c r="AA1686" s="176"/>
    </row>
    <row r="1687" spans="4:27">
      <c r="D1687" s="315"/>
      <c r="E1687" s="316"/>
      <c r="H1687" s="256"/>
      <c r="J1687" s="256"/>
      <c r="W1687" s="317"/>
      <c r="Z1687" s="176"/>
      <c r="AA1687" s="176"/>
    </row>
    <row r="1688" spans="4:27">
      <c r="D1688" s="315"/>
      <c r="E1688" s="316"/>
      <c r="H1688" s="256"/>
      <c r="J1688" s="256"/>
      <c r="W1688" s="317"/>
      <c r="Z1688" s="176"/>
      <c r="AA1688" s="176"/>
    </row>
    <row r="1689" spans="4:27">
      <c r="D1689" s="315"/>
      <c r="E1689" s="316"/>
      <c r="H1689" s="256"/>
      <c r="J1689" s="256"/>
      <c r="W1689" s="317"/>
      <c r="Z1689" s="176"/>
      <c r="AA1689" s="176"/>
    </row>
    <row r="1690" spans="4:27">
      <c r="D1690" s="315"/>
      <c r="E1690" s="316"/>
      <c r="H1690" s="256"/>
      <c r="J1690" s="256"/>
      <c r="W1690" s="317"/>
      <c r="Z1690" s="176"/>
      <c r="AA1690" s="176"/>
    </row>
    <row r="1691" spans="4:27">
      <c r="D1691" s="315"/>
      <c r="E1691" s="316"/>
      <c r="H1691" s="256"/>
      <c r="J1691" s="256"/>
      <c r="W1691" s="317"/>
      <c r="Z1691" s="176"/>
      <c r="AA1691" s="176"/>
    </row>
    <row r="1692" spans="4:27">
      <c r="D1692" s="315"/>
      <c r="E1692" s="316"/>
      <c r="H1692" s="256"/>
      <c r="J1692" s="256"/>
      <c r="W1692" s="317"/>
      <c r="Z1692" s="176"/>
      <c r="AA1692" s="176"/>
    </row>
    <row r="1693" spans="4:27">
      <c r="D1693" s="315"/>
      <c r="E1693" s="316"/>
      <c r="H1693" s="256"/>
      <c r="J1693" s="256"/>
      <c r="W1693" s="317"/>
      <c r="Z1693" s="176"/>
      <c r="AA1693" s="176"/>
    </row>
    <row r="1694" spans="4:27">
      <c r="D1694" s="315"/>
      <c r="E1694" s="316"/>
      <c r="H1694" s="256"/>
      <c r="J1694" s="256"/>
      <c r="W1694" s="317"/>
      <c r="Z1694" s="176"/>
      <c r="AA1694" s="176"/>
    </row>
    <row r="1695" spans="4:27">
      <c r="D1695" s="315"/>
      <c r="E1695" s="316"/>
      <c r="H1695" s="256"/>
      <c r="J1695" s="256"/>
      <c r="W1695" s="317"/>
      <c r="Z1695" s="176"/>
      <c r="AA1695" s="176"/>
    </row>
    <row r="1696" spans="4:27">
      <c r="D1696" s="315"/>
      <c r="E1696" s="316"/>
      <c r="H1696" s="256"/>
      <c r="J1696" s="256"/>
      <c r="W1696" s="317"/>
      <c r="Z1696" s="176"/>
      <c r="AA1696" s="176"/>
    </row>
    <row r="1697" spans="4:27">
      <c r="D1697" s="315"/>
      <c r="E1697" s="316"/>
      <c r="H1697" s="256"/>
      <c r="J1697" s="256"/>
      <c r="W1697" s="317"/>
      <c r="Z1697" s="176"/>
      <c r="AA1697" s="176"/>
    </row>
    <row r="1698" spans="4:27">
      <c r="D1698" s="315"/>
      <c r="E1698" s="316"/>
      <c r="H1698" s="256"/>
      <c r="J1698" s="256"/>
      <c r="W1698" s="317"/>
      <c r="Z1698" s="176"/>
      <c r="AA1698" s="176"/>
    </row>
    <row r="1699" spans="4:27">
      <c r="D1699" s="315"/>
      <c r="E1699" s="316"/>
      <c r="H1699" s="256"/>
      <c r="J1699" s="256"/>
      <c r="W1699" s="317"/>
      <c r="Z1699" s="176"/>
      <c r="AA1699" s="176"/>
    </row>
    <row r="1700" spans="4:27">
      <c r="D1700" s="315"/>
      <c r="E1700" s="316"/>
      <c r="H1700" s="256"/>
      <c r="J1700" s="256"/>
      <c r="W1700" s="317"/>
      <c r="Z1700" s="176"/>
      <c r="AA1700" s="176"/>
    </row>
    <row r="1701" spans="4:27">
      <c r="D1701" s="315"/>
      <c r="E1701" s="316"/>
      <c r="H1701" s="256"/>
      <c r="J1701" s="256"/>
      <c r="W1701" s="317"/>
      <c r="Z1701" s="176"/>
      <c r="AA1701" s="176"/>
    </row>
    <row r="1702" spans="4:27">
      <c r="D1702" s="315"/>
      <c r="E1702" s="316"/>
      <c r="H1702" s="256"/>
      <c r="J1702" s="256"/>
      <c r="W1702" s="317"/>
      <c r="Z1702" s="176"/>
      <c r="AA1702" s="176"/>
    </row>
    <row r="1703" spans="4:27">
      <c r="D1703" s="315"/>
      <c r="E1703" s="316"/>
      <c r="H1703" s="256"/>
      <c r="J1703" s="256"/>
      <c r="W1703" s="317"/>
      <c r="Z1703" s="176"/>
      <c r="AA1703" s="176"/>
    </row>
    <row r="1704" spans="4:27">
      <c r="D1704" s="315"/>
      <c r="E1704" s="316"/>
      <c r="H1704" s="256"/>
      <c r="J1704" s="256"/>
      <c r="W1704" s="317"/>
      <c r="Z1704" s="176"/>
      <c r="AA1704" s="176"/>
    </row>
    <row r="1705" spans="4:27">
      <c r="D1705" s="315"/>
      <c r="E1705" s="316"/>
      <c r="H1705" s="256"/>
      <c r="J1705" s="256"/>
      <c r="W1705" s="317"/>
      <c r="Z1705" s="176"/>
      <c r="AA1705" s="176"/>
    </row>
    <row r="1706" spans="4:27">
      <c r="D1706" s="315"/>
      <c r="E1706" s="316"/>
      <c r="H1706" s="256"/>
      <c r="J1706" s="256"/>
      <c r="W1706" s="317"/>
      <c r="Z1706" s="176"/>
      <c r="AA1706" s="176"/>
    </row>
    <row r="1707" spans="4:27">
      <c r="D1707" s="315"/>
      <c r="E1707" s="316"/>
      <c r="H1707" s="256"/>
      <c r="J1707" s="256"/>
      <c r="W1707" s="317"/>
      <c r="Z1707" s="176"/>
      <c r="AA1707" s="176"/>
    </row>
    <row r="1708" spans="4:27">
      <c r="D1708" s="315"/>
      <c r="E1708" s="316"/>
      <c r="H1708" s="256"/>
      <c r="J1708" s="256"/>
      <c r="W1708" s="317"/>
      <c r="Z1708" s="176"/>
      <c r="AA1708" s="176"/>
    </row>
    <row r="1709" spans="4:27">
      <c r="D1709" s="315"/>
      <c r="E1709" s="316"/>
      <c r="H1709" s="256"/>
      <c r="J1709" s="256"/>
      <c r="W1709" s="317"/>
      <c r="Z1709" s="176"/>
      <c r="AA1709" s="176"/>
    </row>
    <row r="1710" spans="4:27">
      <c r="D1710" s="315"/>
      <c r="E1710" s="316"/>
      <c r="H1710" s="256"/>
      <c r="J1710" s="256"/>
      <c r="W1710" s="317"/>
      <c r="Z1710" s="176"/>
      <c r="AA1710" s="176"/>
    </row>
    <row r="1711" spans="4:27">
      <c r="D1711" s="315"/>
      <c r="E1711" s="316"/>
      <c r="H1711" s="256"/>
      <c r="J1711" s="256"/>
      <c r="W1711" s="317"/>
      <c r="Z1711" s="176"/>
      <c r="AA1711" s="176"/>
    </row>
    <row r="1712" spans="4:27">
      <c r="D1712" s="315"/>
      <c r="E1712" s="316"/>
      <c r="H1712" s="256"/>
      <c r="J1712" s="256"/>
      <c r="W1712" s="317"/>
      <c r="Z1712" s="176"/>
      <c r="AA1712" s="176"/>
    </row>
    <row r="1713" spans="4:27">
      <c r="D1713" s="315"/>
      <c r="E1713" s="316"/>
      <c r="H1713" s="256"/>
      <c r="J1713" s="256"/>
      <c r="W1713" s="317"/>
      <c r="Z1713" s="176"/>
      <c r="AA1713" s="176"/>
    </row>
    <row r="1714" spans="4:27">
      <c r="D1714" s="315"/>
      <c r="E1714" s="316"/>
      <c r="H1714" s="256"/>
      <c r="J1714" s="256"/>
      <c r="W1714" s="317"/>
      <c r="Z1714" s="176"/>
      <c r="AA1714" s="176"/>
    </row>
    <row r="1715" spans="4:27">
      <c r="D1715" s="315"/>
      <c r="E1715" s="316"/>
      <c r="H1715" s="256"/>
      <c r="J1715" s="256"/>
      <c r="W1715" s="317"/>
      <c r="Z1715" s="176"/>
      <c r="AA1715" s="176"/>
    </row>
    <row r="1716" spans="4:27">
      <c r="D1716" s="315"/>
      <c r="E1716" s="316"/>
      <c r="H1716" s="256"/>
      <c r="J1716" s="256"/>
      <c r="W1716" s="317"/>
      <c r="Z1716" s="176"/>
      <c r="AA1716" s="176"/>
    </row>
    <row r="1717" spans="4:27">
      <c r="D1717" s="315"/>
      <c r="E1717" s="316"/>
      <c r="H1717" s="256"/>
      <c r="J1717" s="256"/>
      <c r="W1717" s="317"/>
      <c r="Z1717" s="176"/>
      <c r="AA1717" s="176"/>
    </row>
    <row r="1718" spans="4:27">
      <c r="D1718" s="315"/>
      <c r="E1718" s="316"/>
      <c r="H1718" s="256"/>
      <c r="J1718" s="256"/>
      <c r="W1718" s="317"/>
      <c r="Z1718" s="176"/>
      <c r="AA1718" s="176"/>
    </row>
    <row r="1719" spans="4:27">
      <c r="D1719" s="315"/>
      <c r="E1719" s="316"/>
      <c r="H1719" s="256"/>
      <c r="J1719" s="256"/>
      <c r="W1719" s="317"/>
      <c r="Z1719" s="176"/>
      <c r="AA1719" s="176"/>
    </row>
    <row r="1720" spans="4:27">
      <c r="D1720" s="315"/>
      <c r="E1720" s="316"/>
      <c r="H1720" s="256"/>
      <c r="J1720" s="256"/>
      <c r="W1720" s="317"/>
      <c r="Z1720" s="176"/>
      <c r="AA1720" s="176"/>
    </row>
    <row r="1721" spans="4:27">
      <c r="D1721" s="315"/>
      <c r="E1721" s="316"/>
      <c r="H1721" s="256"/>
      <c r="J1721" s="256"/>
      <c r="W1721" s="317"/>
      <c r="Z1721" s="176"/>
      <c r="AA1721" s="176"/>
    </row>
    <row r="1722" spans="4:27">
      <c r="D1722" s="315"/>
      <c r="E1722" s="316"/>
      <c r="H1722" s="256"/>
      <c r="J1722" s="256"/>
      <c r="W1722" s="317"/>
      <c r="Z1722" s="176"/>
      <c r="AA1722" s="176"/>
    </row>
    <row r="1723" spans="4:27">
      <c r="D1723" s="315"/>
      <c r="E1723" s="316"/>
      <c r="H1723" s="256"/>
      <c r="J1723" s="256"/>
      <c r="W1723" s="317"/>
      <c r="Z1723" s="176"/>
      <c r="AA1723" s="176"/>
    </row>
    <row r="1724" spans="4:27">
      <c r="D1724" s="315"/>
      <c r="E1724" s="316"/>
      <c r="H1724" s="256"/>
      <c r="J1724" s="256"/>
      <c r="W1724" s="317"/>
      <c r="Z1724" s="176"/>
      <c r="AA1724" s="176"/>
    </row>
    <row r="1725" spans="4:27">
      <c r="D1725" s="315"/>
      <c r="E1725" s="316"/>
      <c r="H1725" s="256"/>
      <c r="J1725" s="256"/>
      <c r="W1725" s="317"/>
      <c r="Z1725" s="176"/>
      <c r="AA1725" s="176"/>
    </row>
    <row r="1726" spans="4:27">
      <c r="D1726" s="315"/>
      <c r="E1726" s="316"/>
      <c r="H1726" s="256"/>
      <c r="J1726" s="256"/>
      <c r="W1726" s="317"/>
      <c r="Z1726" s="176"/>
      <c r="AA1726" s="176"/>
    </row>
    <row r="1727" spans="4:27">
      <c r="D1727" s="315"/>
      <c r="E1727" s="316"/>
      <c r="H1727" s="256"/>
      <c r="J1727" s="256"/>
      <c r="W1727" s="317"/>
      <c r="Z1727" s="176"/>
      <c r="AA1727" s="176"/>
    </row>
    <row r="1728" spans="4:27">
      <c r="D1728" s="315"/>
      <c r="E1728" s="316"/>
      <c r="H1728" s="256"/>
      <c r="J1728" s="256"/>
      <c r="W1728" s="317"/>
      <c r="Z1728" s="176"/>
      <c r="AA1728" s="176"/>
    </row>
    <row r="1729" spans="4:27">
      <c r="D1729" s="315"/>
      <c r="E1729" s="316"/>
      <c r="H1729" s="256"/>
      <c r="J1729" s="256"/>
      <c r="W1729" s="317"/>
      <c r="Z1729" s="176"/>
      <c r="AA1729" s="176"/>
    </row>
    <row r="1730" spans="4:27">
      <c r="D1730" s="315"/>
      <c r="E1730" s="316"/>
      <c r="H1730" s="256"/>
      <c r="J1730" s="256"/>
      <c r="W1730" s="317"/>
      <c r="Z1730" s="176"/>
      <c r="AA1730" s="176"/>
    </row>
    <row r="1731" spans="4:27">
      <c r="D1731" s="315"/>
      <c r="E1731" s="316"/>
      <c r="H1731" s="256"/>
      <c r="J1731" s="256"/>
      <c r="W1731" s="317"/>
      <c r="Z1731" s="176"/>
      <c r="AA1731" s="176"/>
    </row>
    <row r="1732" spans="4:27">
      <c r="D1732" s="315"/>
      <c r="E1732" s="316"/>
      <c r="H1732" s="256"/>
      <c r="J1732" s="256"/>
      <c r="W1732" s="317"/>
      <c r="Z1732" s="176"/>
      <c r="AA1732" s="176"/>
    </row>
    <row r="1733" spans="4:27">
      <c r="D1733" s="315"/>
      <c r="E1733" s="316"/>
      <c r="H1733" s="256"/>
      <c r="J1733" s="256"/>
      <c r="W1733" s="317"/>
      <c r="Z1733" s="176"/>
      <c r="AA1733" s="176"/>
    </row>
    <row r="1734" spans="4:27">
      <c r="D1734" s="315"/>
      <c r="E1734" s="316"/>
      <c r="H1734" s="256"/>
      <c r="J1734" s="256"/>
      <c r="W1734" s="317"/>
      <c r="Z1734" s="176"/>
      <c r="AA1734" s="176"/>
    </row>
    <row r="1735" spans="4:27">
      <c r="D1735" s="315"/>
      <c r="E1735" s="316"/>
      <c r="H1735" s="256"/>
      <c r="J1735" s="256"/>
      <c r="W1735" s="317"/>
      <c r="Z1735" s="176"/>
      <c r="AA1735" s="176"/>
    </row>
    <row r="1736" spans="4:27">
      <c r="D1736" s="315"/>
      <c r="E1736" s="316"/>
      <c r="H1736" s="256"/>
      <c r="J1736" s="256"/>
      <c r="W1736" s="317"/>
      <c r="Z1736" s="176"/>
      <c r="AA1736" s="176"/>
    </row>
    <row r="1737" spans="4:27">
      <c r="D1737" s="315"/>
      <c r="E1737" s="316"/>
      <c r="H1737" s="256"/>
      <c r="J1737" s="256"/>
      <c r="W1737" s="317"/>
      <c r="Z1737" s="176"/>
      <c r="AA1737" s="176"/>
    </row>
    <row r="1738" spans="4:27">
      <c r="D1738" s="315"/>
      <c r="E1738" s="316"/>
      <c r="H1738" s="256"/>
      <c r="J1738" s="256"/>
      <c r="W1738" s="317"/>
      <c r="Z1738" s="176"/>
      <c r="AA1738" s="176"/>
    </row>
    <row r="1739" spans="4:27">
      <c r="D1739" s="315"/>
      <c r="E1739" s="316"/>
      <c r="H1739" s="256"/>
      <c r="J1739" s="256"/>
      <c r="W1739" s="317"/>
      <c r="Z1739" s="176"/>
      <c r="AA1739" s="176"/>
    </row>
    <row r="1740" spans="4:27">
      <c r="D1740" s="315"/>
      <c r="E1740" s="316"/>
      <c r="H1740" s="256"/>
      <c r="J1740" s="256"/>
      <c r="W1740" s="317"/>
      <c r="Z1740" s="176"/>
      <c r="AA1740" s="176"/>
    </row>
    <row r="1741" spans="4:27">
      <c r="D1741" s="315"/>
      <c r="E1741" s="316"/>
      <c r="H1741" s="256"/>
      <c r="J1741" s="256"/>
      <c r="W1741" s="317"/>
      <c r="Z1741" s="176"/>
      <c r="AA1741" s="176"/>
    </row>
    <row r="1742" spans="4:27">
      <c r="D1742" s="315"/>
      <c r="E1742" s="316"/>
      <c r="H1742" s="256"/>
      <c r="J1742" s="256"/>
      <c r="W1742" s="317"/>
      <c r="Z1742" s="176"/>
      <c r="AA1742" s="176"/>
    </row>
    <row r="1743" spans="4:27">
      <c r="D1743" s="315"/>
      <c r="E1743" s="316"/>
      <c r="H1743" s="256"/>
      <c r="J1743" s="256"/>
      <c r="W1743" s="317"/>
      <c r="Z1743" s="176"/>
      <c r="AA1743" s="176"/>
    </row>
    <row r="1744" spans="4:27">
      <c r="D1744" s="315"/>
      <c r="E1744" s="316"/>
      <c r="H1744" s="256"/>
      <c r="J1744" s="256"/>
      <c r="W1744" s="317"/>
      <c r="Z1744" s="176"/>
      <c r="AA1744" s="176"/>
    </row>
    <row r="1745" spans="4:27">
      <c r="D1745" s="315"/>
      <c r="E1745" s="316"/>
      <c r="H1745" s="256"/>
      <c r="J1745" s="256"/>
      <c r="W1745" s="317"/>
      <c r="Z1745" s="176"/>
      <c r="AA1745" s="176"/>
    </row>
    <row r="1746" spans="4:27">
      <c r="D1746" s="315"/>
      <c r="E1746" s="316"/>
      <c r="H1746" s="256"/>
      <c r="J1746" s="256"/>
      <c r="W1746" s="317"/>
      <c r="Z1746" s="176"/>
      <c r="AA1746" s="176"/>
    </row>
    <row r="1747" spans="4:27">
      <c r="D1747" s="315"/>
      <c r="E1747" s="316"/>
      <c r="H1747" s="256"/>
      <c r="J1747" s="256"/>
      <c r="W1747" s="317"/>
      <c r="Z1747" s="176"/>
      <c r="AA1747" s="176"/>
    </row>
    <row r="1748" spans="4:27">
      <c r="D1748" s="315"/>
      <c r="E1748" s="316"/>
      <c r="H1748" s="256"/>
      <c r="J1748" s="256"/>
      <c r="W1748" s="317"/>
      <c r="Z1748" s="176"/>
      <c r="AA1748" s="176"/>
    </row>
    <row r="1749" spans="4:27">
      <c r="D1749" s="315"/>
      <c r="E1749" s="316"/>
      <c r="H1749" s="256"/>
      <c r="J1749" s="256"/>
      <c r="W1749" s="317"/>
      <c r="Z1749" s="176"/>
      <c r="AA1749" s="176"/>
    </row>
    <row r="1750" spans="4:27">
      <c r="D1750" s="315"/>
      <c r="E1750" s="316"/>
      <c r="H1750" s="256"/>
      <c r="J1750" s="256"/>
      <c r="W1750" s="317"/>
      <c r="Z1750" s="176"/>
      <c r="AA1750" s="176"/>
    </row>
    <row r="1751" spans="4:27">
      <c r="D1751" s="315"/>
      <c r="E1751" s="316"/>
      <c r="H1751" s="256"/>
      <c r="J1751" s="256"/>
      <c r="W1751" s="317"/>
      <c r="Z1751" s="176"/>
      <c r="AA1751" s="176"/>
    </row>
    <row r="1752" spans="4:27">
      <c r="D1752" s="315"/>
      <c r="E1752" s="316"/>
      <c r="H1752" s="256"/>
      <c r="J1752" s="256"/>
      <c r="W1752" s="317"/>
      <c r="Z1752" s="176"/>
      <c r="AA1752" s="176"/>
    </row>
    <row r="1753" spans="4:27">
      <c r="D1753" s="315"/>
      <c r="E1753" s="316"/>
      <c r="H1753" s="256"/>
      <c r="J1753" s="256"/>
      <c r="W1753" s="317"/>
      <c r="Z1753" s="176"/>
      <c r="AA1753" s="176"/>
    </row>
    <row r="1754" spans="4:27">
      <c r="D1754" s="315"/>
      <c r="E1754" s="316"/>
      <c r="H1754" s="256"/>
      <c r="J1754" s="256"/>
      <c r="W1754" s="317"/>
      <c r="Z1754" s="176"/>
      <c r="AA1754" s="176"/>
    </row>
    <row r="1755" spans="4:27">
      <c r="D1755" s="315"/>
      <c r="E1755" s="316"/>
      <c r="H1755" s="256"/>
      <c r="J1755" s="256"/>
      <c r="W1755" s="317"/>
      <c r="Z1755" s="176"/>
      <c r="AA1755" s="176"/>
    </row>
    <row r="1756" spans="4:27">
      <c r="D1756" s="315"/>
      <c r="E1756" s="316"/>
      <c r="H1756" s="256"/>
      <c r="J1756" s="256"/>
      <c r="W1756" s="317"/>
      <c r="Z1756" s="176"/>
      <c r="AA1756" s="176"/>
    </row>
    <row r="1757" spans="4:27">
      <c r="D1757" s="315"/>
      <c r="E1757" s="316"/>
      <c r="H1757" s="256"/>
      <c r="J1757" s="256"/>
      <c r="W1757" s="317"/>
      <c r="Z1757" s="176"/>
      <c r="AA1757" s="176"/>
    </row>
    <row r="1758" spans="4:27">
      <c r="D1758" s="315"/>
      <c r="E1758" s="316"/>
      <c r="H1758" s="256"/>
      <c r="J1758" s="256"/>
      <c r="W1758" s="317"/>
      <c r="Z1758" s="176"/>
      <c r="AA1758" s="176"/>
    </row>
    <row r="1759" spans="4:27">
      <c r="D1759" s="315"/>
      <c r="E1759" s="316"/>
      <c r="H1759" s="256"/>
      <c r="J1759" s="256"/>
      <c r="W1759" s="317"/>
      <c r="Z1759" s="176"/>
      <c r="AA1759" s="176"/>
    </row>
    <row r="1760" spans="4:27">
      <c r="D1760" s="315"/>
      <c r="E1760" s="316"/>
      <c r="H1760" s="256"/>
      <c r="J1760" s="256"/>
      <c r="W1760" s="317"/>
      <c r="Z1760" s="176"/>
      <c r="AA1760" s="176"/>
    </row>
    <row r="1761" spans="4:27">
      <c r="D1761" s="315"/>
      <c r="E1761" s="316"/>
      <c r="H1761" s="256"/>
      <c r="J1761" s="256"/>
      <c r="W1761" s="317"/>
      <c r="Z1761" s="176"/>
      <c r="AA1761" s="176"/>
    </row>
    <row r="1762" spans="4:27">
      <c r="D1762" s="315"/>
      <c r="E1762" s="316"/>
      <c r="H1762" s="256"/>
      <c r="J1762" s="256"/>
      <c r="W1762" s="317"/>
      <c r="Z1762" s="176"/>
      <c r="AA1762" s="176"/>
    </row>
    <row r="1763" spans="4:27">
      <c r="D1763" s="315"/>
      <c r="E1763" s="316"/>
      <c r="H1763" s="256"/>
      <c r="J1763" s="256"/>
      <c r="W1763" s="317"/>
      <c r="Z1763" s="176"/>
      <c r="AA1763" s="176"/>
    </row>
    <row r="1764" spans="4:27">
      <c r="D1764" s="315"/>
      <c r="E1764" s="316"/>
      <c r="H1764" s="256"/>
      <c r="J1764" s="256"/>
      <c r="W1764" s="317"/>
      <c r="Z1764" s="176"/>
      <c r="AA1764" s="176"/>
    </row>
    <row r="1765" spans="4:27">
      <c r="D1765" s="315"/>
      <c r="E1765" s="316"/>
      <c r="H1765" s="256"/>
      <c r="J1765" s="256"/>
      <c r="W1765" s="317"/>
      <c r="Z1765" s="176"/>
      <c r="AA1765" s="176"/>
    </row>
    <row r="1766" spans="4:27">
      <c r="D1766" s="315"/>
      <c r="E1766" s="316"/>
      <c r="H1766" s="256"/>
      <c r="J1766" s="256"/>
      <c r="W1766" s="317"/>
      <c r="Z1766" s="176"/>
      <c r="AA1766" s="176"/>
    </row>
    <row r="1767" spans="4:27">
      <c r="D1767" s="315"/>
      <c r="E1767" s="316"/>
      <c r="H1767" s="256"/>
      <c r="J1767" s="256"/>
      <c r="W1767" s="317"/>
      <c r="Z1767" s="176"/>
      <c r="AA1767" s="176"/>
    </row>
    <row r="1768" spans="4:27">
      <c r="D1768" s="315"/>
      <c r="E1768" s="316"/>
      <c r="H1768" s="256"/>
      <c r="J1768" s="256"/>
      <c r="W1768" s="317"/>
      <c r="Z1768" s="176"/>
      <c r="AA1768" s="176"/>
    </row>
    <row r="1769" spans="4:27">
      <c r="D1769" s="315"/>
      <c r="E1769" s="316"/>
      <c r="H1769" s="256"/>
      <c r="J1769" s="256"/>
      <c r="W1769" s="317"/>
      <c r="Z1769" s="176"/>
      <c r="AA1769" s="176"/>
    </row>
    <row r="1770" spans="4:27">
      <c r="D1770" s="315"/>
      <c r="E1770" s="316"/>
      <c r="H1770" s="256"/>
      <c r="J1770" s="256"/>
      <c r="W1770" s="317"/>
      <c r="Z1770" s="176"/>
      <c r="AA1770" s="176"/>
    </row>
    <row r="1771" spans="4:27">
      <c r="D1771" s="315"/>
      <c r="E1771" s="316"/>
      <c r="H1771" s="256"/>
      <c r="J1771" s="256"/>
      <c r="W1771" s="317"/>
      <c r="Z1771" s="176"/>
      <c r="AA1771" s="176"/>
    </row>
    <row r="1772" spans="4:27">
      <c r="D1772" s="315"/>
      <c r="E1772" s="316"/>
      <c r="H1772" s="256"/>
      <c r="J1772" s="256"/>
      <c r="W1772" s="317"/>
      <c r="Z1772" s="176"/>
      <c r="AA1772" s="176"/>
    </row>
    <row r="1773" spans="4:27">
      <c r="D1773" s="315"/>
      <c r="E1773" s="316"/>
      <c r="H1773" s="256"/>
      <c r="J1773" s="256"/>
      <c r="W1773" s="317"/>
      <c r="Z1773" s="176"/>
      <c r="AA1773" s="176"/>
    </row>
    <row r="1774" spans="4:27">
      <c r="D1774" s="315"/>
      <c r="E1774" s="316"/>
      <c r="H1774" s="256"/>
      <c r="J1774" s="256"/>
      <c r="W1774" s="317"/>
      <c r="Z1774" s="176"/>
      <c r="AA1774" s="176"/>
    </row>
    <row r="1775" spans="4:27">
      <c r="D1775" s="315"/>
      <c r="E1775" s="316"/>
      <c r="H1775" s="256"/>
      <c r="J1775" s="256"/>
      <c r="W1775" s="317"/>
      <c r="Z1775" s="176"/>
      <c r="AA1775" s="176"/>
    </row>
    <row r="1776" spans="4:27">
      <c r="D1776" s="315"/>
      <c r="E1776" s="316"/>
      <c r="H1776" s="256"/>
      <c r="J1776" s="256"/>
      <c r="W1776" s="317"/>
      <c r="Z1776" s="176"/>
      <c r="AA1776" s="176"/>
    </row>
    <row r="1777" spans="4:27">
      <c r="D1777" s="315"/>
      <c r="E1777" s="316"/>
      <c r="H1777" s="256"/>
      <c r="J1777" s="256"/>
      <c r="W1777" s="317"/>
      <c r="Z1777" s="176"/>
      <c r="AA1777" s="176"/>
    </row>
    <row r="1778" spans="4:27">
      <c r="D1778" s="315"/>
      <c r="E1778" s="316"/>
      <c r="H1778" s="256"/>
      <c r="J1778" s="256"/>
      <c r="W1778" s="317"/>
      <c r="Z1778" s="176"/>
      <c r="AA1778" s="176"/>
    </row>
    <row r="1779" spans="4:27">
      <c r="D1779" s="315"/>
      <c r="E1779" s="316"/>
      <c r="H1779" s="256"/>
      <c r="J1779" s="256"/>
      <c r="W1779" s="317"/>
      <c r="Z1779" s="176"/>
      <c r="AA1779" s="176"/>
    </row>
    <row r="1780" spans="4:27">
      <c r="D1780" s="315"/>
      <c r="E1780" s="316"/>
      <c r="H1780" s="256"/>
      <c r="J1780" s="256"/>
      <c r="W1780" s="317"/>
      <c r="Z1780" s="176"/>
      <c r="AA1780" s="176"/>
    </row>
    <row r="1781" spans="4:27">
      <c r="D1781" s="315"/>
      <c r="E1781" s="316"/>
      <c r="H1781" s="256"/>
      <c r="J1781" s="256"/>
      <c r="W1781" s="317"/>
      <c r="Z1781" s="176"/>
      <c r="AA1781" s="176"/>
    </row>
    <row r="1782" spans="4:27">
      <c r="D1782" s="315"/>
      <c r="E1782" s="316"/>
      <c r="H1782" s="256"/>
      <c r="J1782" s="256"/>
      <c r="W1782" s="317"/>
      <c r="Z1782" s="176"/>
      <c r="AA1782" s="176"/>
    </row>
    <row r="1783" spans="4:27">
      <c r="D1783" s="315"/>
      <c r="E1783" s="316"/>
      <c r="H1783" s="256"/>
      <c r="J1783" s="256"/>
      <c r="W1783" s="317"/>
      <c r="Z1783" s="176"/>
      <c r="AA1783" s="176"/>
    </row>
    <row r="1784" spans="4:27">
      <c r="D1784" s="315"/>
      <c r="E1784" s="316"/>
      <c r="H1784" s="256"/>
      <c r="J1784" s="256"/>
      <c r="W1784" s="317"/>
      <c r="Z1784" s="176"/>
      <c r="AA1784" s="176"/>
    </row>
    <row r="1785" spans="4:27">
      <c r="D1785" s="315"/>
      <c r="E1785" s="316"/>
      <c r="H1785" s="256"/>
      <c r="J1785" s="256"/>
      <c r="W1785" s="317"/>
      <c r="Z1785" s="176"/>
      <c r="AA1785" s="176"/>
    </row>
    <row r="1786" spans="4:27">
      <c r="D1786" s="315"/>
      <c r="E1786" s="316"/>
      <c r="H1786" s="256"/>
      <c r="J1786" s="256"/>
      <c r="W1786" s="317"/>
      <c r="Z1786" s="176"/>
      <c r="AA1786" s="176"/>
    </row>
    <row r="1787" spans="4:27">
      <c r="D1787" s="315"/>
      <c r="E1787" s="316"/>
      <c r="H1787" s="256"/>
      <c r="J1787" s="256"/>
      <c r="W1787" s="317"/>
      <c r="Z1787" s="176"/>
      <c r="AA1787" s="176"/>
    </row>
    <row r="1788" spans="4:27">
      <c r="D1788" s="315"/>
      <c r="E1788" s="316"/>
      <c r="H1788" s="256"/>
      <c r="J1788" s="256"/>
      <c r="W1788" s="317"/>
      <c r="Z1788" s="176"/>
      <c r="AA1788" s="176"/>
    </row>
    <row r="1789" spans="4:27">
      <c r="D1789" s="315"/>
      <c r="E1789" s="316"/>
      <c r="H1789" s="256"/>
      <c r="J1789" s="256"/>
      <c r="W1789" s="317"/>
      <c r="Z1789" s="176"/>
      <c r="AA1789" s="176"/>
    </row>
    <row r="1790" spans="4:27">
      <c r="D1790" s="315"/>
      <c r="E1790" s="316"/>
      <c r="H1790" s="256"/>
      <c r="J1790" s="256"/>
      <c r="W1790" s="317"/>
      <c r="Z1790" s="176"/>
      <c r="AA1790" s="176"/>
    </row>
    <row r="1791" spans="4:27">
      <c r="D1791" s="315"/>
      <c r="E1791" s="316"/>
      <c r="H1791" s="256"/>
      <c r="J1791" s="256"/>
      <c r="W1791" s="317"/>
      <c r="Z1791" s="176"/>
      <c r="AA1791" s="176"/>
    </row>
    <row r="1792" spans="4:27">
      <c r="D1792" s="315"/>
      <c r="E1792" s="316"/>
      <c r="H1792" s="256"/>
      <c r="J1792" s="256"/>
      <c r="W1792" s="317"/>
      <c r="Z1792" s="176"/>
      <c r="AA1792" s="176"/>
    </row>
    <row r="1793" spans="4:27">
      <c r="D1793" s="315"/>
      <c r="E1793" s="316"/>
      <c r="H1793" s="256"/>
      <c r="J1793" s="256"/>
      <c r="W1793" s="317"/>
      <c r="Z1793" s="176"/>
      <c r="AA1793" s="176"/>
    </row>
    <row r="1794" spans="4:27">
      <c r="D1794" s="315"/>
      <c r="E1794" s="316"/>
      <c r="H1794" s="256"/>
      <c r="J1794" s="256"/>
      <c r="W1794" s="317"/>
      <c r="Z1794" s="176"/>
      <c r="AA1794" s="176"/>
    </row>
    <row r="1795" spans="4:27">
      <c r="D1795" s="315"/>
      <c r="E1795" s="316"/>
      <c r="H1795" s="256"/>
      <c r="J1795" s="256"/>
      <c r="W1795" s="317"/>
      <c r="Z1795" s="176"/>
      <c r="AA1795" s="176"/>
    </row>
    <row r="1796" spans="4:27">
      <c r="D1796" s="315"/>
      <c r="E1796" s="316"/>
      <c r="H1796" s="256"/>
      <c r="J1796" s="256"/>
      <c r="W1796" s="317"/>
      <c r="Z1796" s="176"/>
      <c r="AA1796" s="176"/>
    </row>
    <row r="1797" spans="4:27">
      <c r="D1797" s="315"/>
      <c r="E1797" s="316"/>
      <c r="H1797" s="256"/>
      <c r="J1797" s="256"/>
      <c r="W1797" s="317"/>
      <c r="Z1797" s="176"/>
      <c r="AA1797" s="176"/>
    </row>
    <row r="1798" spans="4:27">
      <c r="D1798" s="315"/>
      <c r="E1798" s="316"/>
      <c r="H1798" s="256"/>
      <c r="J1798" s="256"/>
      <c r="W1798" s="317"/>
      <c r="Z1798" s="176"/>
      <c r="AA1798" s="176"/>
    </row>
    <row r="1799" spans="4:27">
      <c r="D1799" s="315"/>
      <c r="E1799" s="316"/>
      <c r="H1799" s="256"/>
      <c r="J1799" s="256"/>
      <c r="W1799" s="317"/>
      <c r="Z1799" s="176"/>
      <c r="AA1799" s="176"/>
    </row>
    <row r="1800" spans="4:27">
      <c r="D1800" s="315"/>
      <c r="E1800" s="316"/>
      <c r="H1800" s="256"/>
      <c r="J1800" s="256"/>
      <c r="W1800" s="317"/>
      <c r="Z1800" s="176"/>
      <c r="AA1800" s="176"/>
    </row>
    <row r="1801" spans="4:27">
      <c r="D1801" s="315"/>
      <c r="E1801" s="316"/>
      <c r="H1801" s="256"/>
      <c r="J1801" s="256"/>
      <c r="W1801" s="317"/>
      <c r="Z1801" s="176"/>
      <c r="AA1801" s="176"/>
    </row>
    <row r="1802" spans="4:27">
      <c r="D1802" s="315"/>
      <c r="E1802" s="316"/>
      <c r="H1802" s="256"/>
      <c r="J1802" s="256"/>
      <c r="W1802" s="317"/>
      <c r="Z1802" s="176"/>
      <c r="AA1802" s="176"/>
    </row>
    <row r="1803" spans="4:27">
      <c r="D1803" s="315"/>
      <c r="E1803" s="316"/>
      <c r="H1803" s="256"/>
      <c r="J1803" s="256"/>
      <c r="W1803" s="317"/>
      <c r="Z1803" s="176"/>
      <c r="AA1803" s="176"/>
    </row>
    <row r="1804" spans="4:27">
      <c r="D1804" s="315"/>
      <c r="E1804" s="316"/>
      <c r="H1804" s="256"/>
      <c r="J1804" s="256"/>
      <c r="W1804" s="317"/>
      <c r="Z1804" s="176"/>
      <c r="AA1804" s="176"/>
    </row>
    <row r="1805" spans="4:27">
      <c r="D1805" s="315"/>
      <c r="E1805" s="316"/>
      <c r="H1805" s="256"/>
      <c r="J1805" s="256"/>
      <c r="W1805" s="317"/>
      <c r="Z1805" s="176"/>
      <c r="AA1805" s="176"/>
    </row>
    <row r="1806" spans="4:27">
      <c r="D1806" s="315"/>
      <c r="E1806" s="316"/>
      <c r="H1806" s="256"/>
      <c r="J1806" s="256"/>
      <c r="W1806" s="317"/>
      <c r="Z1806" s="176"/>
      <c r="AA1806" s="176"/>
    </row>
    <row r="1807" spans="4:27">
      <c r="D1807" s="315"/>
      <c r="E1807" s="316"/>
      <c r="H1807" s="256"/>
      <c r="J1807" s="256"/>
      <c r="W1807" s="317"/>
      <c r="Z1807" s="176"/>
      <c r="AA1807" s="176"/>
    </row>
    <row r="1808" spans="4:27">
      <c r="D1808" s="315"/>
      <c r="E1808" s="316"/>
      <c r="H1808" s="256"/>
      <c r="J1808" s="256"/>
      <c r="W1808" s="317"/>
      <c r="Z1808" s="176"/>
      <c r="AA1808" s="176"/>
    </row>
    <row r="1809" spans="4:27">
      <c r="D1809" s="315"/>
      <c r="E1809" s="316"/>
      <c r="H1809" s="256"/>
      <c r="J1809" s="256"/>
      <c r="W1809" s="317"/>
      <c r="Z1809" s="176"/>
      <c r="AA1809" s="176"/>
    </row>
    <row r="1810" spans="4:27">
      <c r="D1810" s="315"/>
      <c r="E1810" s="316"/>
      <c r="H1810" s="256"/>
      <c r="J1810" s="256"/>
      <c r="W1810" s="317"/>
      <c r="Z1810" s="176"/>
      <c r="AA1810" s="176"/>
    </row>
    <row r="1811" spans="4:27">
      <c r="D1811" s="315"/>
      <c r="E1811" s="316"/>
      <c r="H1811" s="256"/>
      <c r="J1811" s="256"/>
      <c r="W1811" s="317"/>
      <c r="Z1811" s="176"/>
      <c r="AA1811" s="176"/>
    </row>
    <row r="1812" spans="4:27">
      <c r="D1812" s="315"/>
      <c r="E1812" s="316"/>
      <c r="H1812" s="256"/>
      <c r="J1812" s="256"/>
      <c r="W1812" s="317"/>
      <c r="Z1812" s="176"/>
      <c r="AA1812" s="176"/>
    </row>
    <row r="1813" spans="4:27">
      <c r="D1813" s="315"/>
      <c r="E1813" s="316"/>
      <c r="H1813" s="256"/>
      <c r="J1813" s="256"/>
      <c r="W1813" s="317"/>
      <c r="Z1813" s="176"/>
      <c r="AA1813" s="176"/>
    </row>
    <row r="1814" spans="4:27">
      <c r="D1814" s="315"/>
      <c r="E1814" s="316"/>
      <c r="H1814" s="256"/>
      <c r="J1814" s="256"/>
      <c r="W1814" s="317"/>
      <c r="Z1814" s="176"/>
      <c r="AA1814" s="176"/>
    </row>
    <row r="1815" spans="4:27">
      <c r="D1815" s="315"/>
      <c r="E1815" s="316"/>
      <c r="H1815" s="256"/>
      <c r="J1815" s="256"/>
      <c r="W1815" s="317"/>
      <c r="Z1815" s="176"/>
      <c r="AA1815" s="176"/>
    </row>
    <row r="1816" spans="4:27">
      <c r="D1816" s="315"/>
      <c r="E1816" s="316"/>
      <c r="H1816" s="256"/>
      <c r="J1816" s="256"/>
      <c r="W1816" s="317"/>
      <c r="Z1816" s="176"/>
      <c r="AA1816" s="176"/>
    </row>
    <row r="1817" spans="4:27">
      <c r="D1817" s="315"/>
      <c r="E1817" s="316"/>
      <c r="H1817" s="256"/>
      <c r="J1817" s="256"/>
      <c r="W1817" s="317"/>
      <c r="Z1817" s="176"/>
      <c r="AA1817" s="176"/>
    </row>
    <row r="1818" spans="4:27">
      <c r="D1818" s="315"/>
      <c r="E1818" s="316"/>
      <c r="H1818" s="256"/>
      <c r="J1818" s="256"/>
      <c r="W1818" s="317"/>
      <c r="Z1818" s="176"/>
      <c r="AA1818" s="176"/>
    </row>
    <row r="1819" spans="4:27">
      <c r="D1819" s="315"/>
      <c r="E1819" s="316"/>
      <c r="H1819" s="256"/>
      <c r="J1819" s="256"/>
      <c r="W1819" s="317"/>
      <c r="Z1819" s="176"/>
      <c r="AA1819" s="176"/>
    </row>
    <row r="1820" spans="4:27">
      <c r="D1820" s="315"/>
      <c r="E1820" s="316"/>
      <c r="H1820" s="256"/>
      <c r="J1820" s="256"/>
      <c r="W1820" s="317"/>
      <c r="Z1820" s="176"/>
      <c r="AA1820" s="176"/>
    </row>
    <row r="1821" spans="4:27">
      <c r="D1821" s="315"/>
      <c r="E1821" s="316"/>
      <c r="H1821" s="256"/>
      <c r="J1821" s="256"/>
      <c r="W1821" s="317"/>
      <c r="Z1821" s="176"/>
      <c r="AA1821" s="176"/>
    </row>
    <row r="1822" spans="4:27">
      <c r="D1822" s="315"/>
      <c r="E1822" s="316"/>
      <c r="H1822" s="256"/>
      <c r="J1822" s="256"/>
      <c r="W1822" s="317"/>
      <c r="Z1822" s="176"/>
      <c r="AA1822" s="176"/>
    </row>
    <row r="1823" spans="4:27">
      <c r="D1823" s="315"/>
      <c r="E1823" s="316"/>
      <c r="H1823" s="256"/>
      <c r="J1823" s="256"/>
      <c r="W1823" s="317"/>
      <c r="Z1823" s="176"/>
      <c r="AA1823" s="176"/>
    </row>
    <row r="1824" spans="4:27">
      <c r="D1824" s="315"/>
      <c r="E1824" s="316"/>
      <c r="H1824" s="256"/>
      <c r="J1824" s="256"/>
      <c r="W1824" s="317"/>
      <c r="Z1824" s="176"/>
      <c r="AA1824" s="176"/>
    </row>
    <row r="1825" spans="4:27">
      <c r="D1825" s="315"/>
      <c r="E1825" s="316"/>
      <c r="H1825" s="256"/>
      <c r="J1825" s="256"/>
      <c r="W1825" s="317"/>
      <c r="Z1825" s="176"/>
      <c r="AA1825" s="176"/>
    </row>
    <row r="1826" spans="4:27">
      <c r="D1826" s="315"/>
      <c r="E1826" s="316"/>
      <c r="H1826" s="256"/>
      <c r="J1826" s="256"/>
      <c r="W1826" s="317"/>
      <c r="Z1826" s="176"/>
      <c r="AA1826" s="176"/>
    </row>
    <row r="1827" spans="4:27">
      <c r="D1827" s="315"/>
      <c r="E1827" s="316"/>
      <c r="H1827" s="256"/>
      <c r="J1827" s="256"/>
      <c r="W1827" s="317"/>
      <c r="Z1827" s="176"/>
      <c r="AA1827" s="176"/>
    </row>
    <row r="1828" spans="4:27">
      <c r="D1828" s="315"/>
      <c r="E1828" s="316"/>
      <c r="H1828" s="256"/>
      <c r="J1828" s="256"/>
      <c r="W1828" s="317"/>
      <c r="Z1828" s="176"/>
      <c r="AA1828" s="176"/>
    </row>
    <row r="1829" spans="4:27">
      <c r="D1829" s="315"/>
      <c r="E1829" s="316"/>
      <c r="H1829" s="256"/>
      <c r="J1829" s="256"/>
      <c r="W1829" s="317"/>
      <c r="Z1829" s="176"/>
      <c r="AA1829" s="176"/>
    </row>
    <row r="1830" spans="4:27">
      <c r="D1830" s="315"/>
      <c r="E1830" s="316"/>
      <c r="H1830" s="256"/>
      <c r="J1830" s="256"/>
      <c r="W1830" s="317"/>
      <c r="Z1830" s="176"/>
      <c r="AA1830" s="176"/>
    </row>
    <row r="1831" spans="4:27">
      <c r="D1831" s="315"/>
      <c r="E1831" s="316"/>
      <c r="H1831" s="256"/>
      <c r="J1831" s="256"/>
      <c r="W1831" s="317"/>
      <c r="Z1831" s="176"/>
      <c r="AA1831" s="176"/>
    </row>
    <row r="1832" spans="4:27">
      <c r="D1832" s="315"/>
      <c r="E1832" s="316"/>
      <c r="H1832" s="256"/>
      <c r="J1832" s="256"/>
      <c r="W1832" s="317"/>
      <c r="Z1832" s="176"/>
      <c r="AA1832" s="176"/>
    </row>
    <row r="1833" spans="4:27">
      <c r="D1833" s="315"/>
      <c r="E1833" s="316"/>
      <c r="H1833" s="256"/>
      <c r="J1833" s="256"/>
      <c r="W1833" s="317"/>
      <c r="Z1833" s="176"/>
      <c r="AA1833" s="176"/>
    </row>
    <row r="1834" spans="4:27">
      <c r="D1834" s="315"/>
      <c r="E1834" s="316"/>
      <c r="H1834" s="256"/>
      <c r="J1834" s="256"/>
      <c r="W1834" s="317"/>
      <c r="Z1834" s="176"/>
      <c r="AA1834" s="176"/>
    </row>
    <row r="1835" spans="4:27">
      <c r="D1835" s="315"/>
      <c r="E1835" s="316"/>
      <c r="H1835" s="256"/>
      <c r="J1835" s="256"/>
      <c r="W1835" s="317"/>
      <c r="Z1835" s="176"/>
      <c r="AA1835" s="176"/>
    </row>
    <row r="1836" spans="4:27">
      <c r="D1836" s="315"/>
      <c r="E1836" s="316"/>
      <c r="H1836" s="256"/>
      <c r="J1836" s="256"/>
      <c r="W1836" s="317"/>
      <c r="Z1836" s="176"/>
      <c r="AA1836" s="176"/>
    </row>
    <row r="1837" spans="4:27">
      <c r="D1837" s="315"/>
      <c r="E1837" s="316"/>
      <c r="H1837" s="256"/>
      <c r="J1837" s="256"/>
      <c r="W1837" s="317"/>
      <c r="Z1837" s="176"/>
      <c r="AA1837" s="176"/>
    </row>
    <row r="1838" spans="4:27">
      <c r="D1838" s="315"/>
      <c r="E1838" s="316"/>
      <c r="H1838" s="256"/>
      <c r="J1838" s="256"/>
      <c r="W1838" s="317"/>
      <c r="Z1838" s="176"/>
      <c r="AA1838" s="176"/>
    </row>
    <row r="1839" spans="4:27">
      <c r="D1839" s="315"/>
      <c r="E1839" s="316"/>
      <c r="H1839" s="256"/>
      <c r="J1839" s="256"/>
      <c r="W1839" s="317"/>
      <c r="Z1839" s="176"/>
      <c r="AA1839" s="176"/>
    </row>
    <row r="1840" spans="4:27">
      <c r="D1840" s="315"/>
      <c r="E1840" s="316"/>
      <c r="H1840" s="256"/>
      <c r="J1840" s="256"/>
      <c r="W1840" s="317"/>
      <c r="Z1840" s="176"/>
      <c r="AA1840" s="176"/>
    </row>
    <row r="1841" spans="4:27">
      <c r="D1841" s="315"/>
      <c r="E1841" s="316"/>
      <c r="H1841" s="256"/>
      <c r="J1841" s="256"/>
      <c r="W1841" s="317"/>
      <c r="Z1841" s="176"/>
      <c r="AA1841" s="176"/>
    </row>
    <row r="1842" spans="4:27">
      <c r="D1842" s="315"/>
      <c r="E1842" s="316"/>
      <c r="H1842" s="256"/>
      <c r="J1842" s="256"/>
      <c r="W1842" s="317"/>
      <c r="Z1842" s="176"/>
      <c r="AA1842" s="176"/>
    </row>
    <row r="1843" spans="4:27">
      <c r="D1843" s="315"/>
      <c r="E1843" s="316"/>
      <c r="H1843" s="256"/>
      <c r="J1843" s="256"/>
      <c r="W1843" s="317"/>
      <c r="Z1843" s="176"/>
      <c r="AA1843" s="176"/>
    </row>
    <row r="1844" spans="4:27">
      <c r="D1844" s="315"/>
      <c r="E1844" s="316"/>
      <c r="H1844" s="256"/>
      <c r="J1844" s="256"/>
      <c r="W1844" s="317"/>
      <c r="Z1844" s="176"/>
      <c r="AA1844" s="176"/>
    </row>
    <row r="1845" spans="4:27">
      <c r="D1845" s="315"/>
      <c r="E1845" s="316"/>
      <c r="H1845" s="256"/>
      <c r="J1845" s="256"/>
      <c r="W1845" s="317"/>
      <c r="Z1845" s="176"/>
      <c r="AA1845" s="176"/>
    </row>
    <row r="1846" spans="4:27">
      <c r="D1846" s="315"/>
      <c r="E1846" s="316"/>
      <c r="H1846" s="256"/>
      <c r="J1846" s="256"/>
      <c r="W1846" s="317"/>
      <c r="Z1846" s="176"/>
      <c r="AA1846" s="176"/>
    </row>
    <row r="1847" spans="4:27">
      <c r="D1847" s="315"/>
      <c r="E1847" s="316"/>
      <c r="H1847" s="256"/>
      <c r="J1847" s="256"/>
      <c r="W1847" s="317"/>
      <c r="Z1847" s="176"/>
      <c r="AA1847" s="176"/>
    </row>
    <row r="1848" spans="4:27">
      <c r="D1848" s="315"/>
      <c r="E1848" s="316"/>
      <c r="H1848" s="256"/>
      <c r="J1848" s="256"/>
      <c r="W1848" s="317"/>
      <c r="Z1848" s="176"/>
      <c r="AA1848" s="176"/>
    </row>
    <row r="1849" spans="4:27">
      <c r="D1849" s="315"/>
      <c r="E1849" s="316"/>
      <c r="H1849" s="256"/>
      <c r="J1849" s="256"/>
      <c r="W1849" s="317"/>
      <c r="Z1849" s="176"/>
      <c r="AA1849" s="176"/>
    </row>
    <row r="1850" spans="4:27">
      <c r="D1850" s="315"/>
      <c r="E1850" s="316"/>
      <c r="H1850" s="256"/>
      <c r="J1850" s="256"/>
      <c r="W1850" s="317"/>
      <c r="Z1850" s="176"/>
      <c r="AA1850" s="176"/>
    </row>
    <row r="1851" spans="4:27">
      <c r="D1851" s="315"/>
      <c r="E1851" s="316"/>
      <c r="H1851" s="256"/>
      <c r="J1851" s="256"/>
      <c r="W1851" s="317"/>
      <c r="Z1851" s="176"/>
      <c r="AA1851" s="176"/>
    </row>
    <row r="1852" spans="4:27">
      <c r="D1852" s="315"/>
      <c r="E1852" s="316"/>
      <c r="H1852" s="256"/>
      <c r="J1852" s="256"/>
      <c r="W1852" s="317"/>
      <c r="Z1852" s="176"/>
      <c r="AA1852" s="176"/>
    </row>
    <row r="1853" spans="4:27">
      <c r="D1853" s="315"/>
      <c r="E1853" s="316"/>
      <c r="H1853" s="256"/>
      <c r="J1853" s="256"/>
      <c r="W1853" s="317"/>
      <c r="Z1853" s="176"/>
      <c r="AA1853" s="176"/>
    </row>
    <row r="1854" spans="4:27">
      <c r="D1854" s="315"/>
      <c r="E1854" s="316"/>
      <c r="H1854" s="256"/>
      <c r="J1854" s="256"/>
      <c r="W1854" s="317"/>
      <c r="Z1854" s="176"/>
      <c r="AA1854" s="176"/>
    </row>
    <row r="1855" spans="4:27">
      <c r="D1855" s="315"/>
      <c r="E1855" s="316"/>
      <c r="H1855" s="256"/>
      <c r="J1855" s="256"/>
      <c r="W1855" s="317"/>
      <c r="Z1855" s="176"/>
      <c r="AA1855" s="176"/>
    </row>
    <row r="1856" spans="4:27">
      <c r="D1856" s="315"/>
      <c r="E1856" s="316"/>
      <c r="H1856" s="256"/>
      <c r="J1856" s="256"/>
      <c r="W1856" s="317"/>
      <c r="Z1856" s="176"/>
      <c r="AA1856" s="176"/>
    </row>
    <row r="1857" spans="4:27">
      <c r="D1857" s="315"/>
      <c r="E1857" s="316"/>
      <c r="H1857" s="256"/>
      <c r="J1857" s="256"/>
      <c r="W1857" s="317"/>
      <c r="Z1857" s="176"/>
      <c r="AA1857" s="176"/>
    </row>
    <row r="1858" spans="4:27">
      <c r="D1858" s="315"/>
      <c r="E1858" s="316"/>
      <c r="H1858" s="256"/>
      <c r="J1858" s="256"/>
      <c r="W1858" s="317"/>
      <c r="Z1858" s="176"/>
      <c r="AA1858" s="176"/>
    </row>
    <row r="1859" spans="4:27">
      <c r="D1859" s="315"/>
      <c r="E1859" s="316"/>
      <c r="H1859" s="256"/>
      <c r="J1859" s="256"/>
      <c r="W1859" s="317"/>
      <c r="Z1859" s="176"/>
      <c r="AA1859" s="176"/>
    </row>
    <row r="1860" spans="4:27">
      <c r="D1860" s="315"/>
      <c r="E1860" s="316"/>
      <c r="H1860" s="256"/>
      <c r="J1860" s="256"/>
      <c r="W1860" s="317"/>
      <c r="Z1860" s="176"/>
      <c r="AA1860" s="176"/>
    </row>
    <row r="1861" spans="4:27">
      <c r="D1861" s="315"/>
      <c r="E1861" s="316"/>
      <c r="H1861" s="256"/>
      <c r="J1861" s="256"/>
      <c r="W1861" s="317"/>
      <c r="Z1861" s="176"/>
      <c r="AA1861" s="176"/>
    </row>
    <row r="1862" spans="4:27">
      <c r="D1862" s="315"/>
      <c r="E1862" s="316"/>
      <c r="H1862" s="256"/>
      <c r="J1862" s="256"/>
      <c r="W1862" s="317"/>
      <c r="Z1862" s="176"/>
      <c r="AA1862" s="176"/>
    </row>
    <row r="1863" spans="4:27">
      <c r="D1863" s="315"/>
      <c r="E1863" s="316"/>
      <c r="H1863" s="256"/>
      <c r="J1863" s="256"/>
      <c r="W1863" s="317"/>
      <c r="Z1863" s="176"/>
      <c r="AA1863" s="176"/>
    </row>
    <row r="1864" spans="4:27">
      <c r="D1864" s="315"/>
      <c r="E1864" s="316"/>
      <c r="H1864" s="256"/>
      <c r="J1864" s="256"/>
      <c r="W1864" s="317"/>
      <c r="Z1864" s="176"/>
      <c r="AA1864" s="176"/>
    </row>
    <row r="1865" spans="4:27">
      <c r="D1865" s="315"/>
      <c r="E1865" s="316"/>
      <c r="H1865" s="256"/>
      <c r="J1865" s="256"/>
      <c r="W1865" s="317"/>
      <c r="Z1865" s="176"/>
      <c r="AA1865" s="176"/>
    </row>
    <row r="1866" spans="4:27">
      <c r="D1866" s="315"/>
      <c r="E1866" s="316"/>
      <c r="H1866" s="256"/>
      <c r="J1866" s="256"/>
      <c r="W1866" s="317"/>
      <c r="Z1866" s="176"/>
      <c r="AA1866" s="176"/>
    </row>
    <row r="1867" spans="4:27">
      <c r="D1867" s="315"/>
      <c r="E1867" s="316"/>
      <c r="H1867" s="256"/>
      <c r="J1867" s="256"/>
      <c r="W1867" s="317"/>
      <c r="Z1867" s="176"/>
      <c r="AA1867" s="176"/>
    </row>
    <row r="1868" spans="4:27">
      <c r="D1868" s="315"/>
      <c r="E1868" s="316"/>
      <c r="H1868" s="256"/>
      <c r="J1868" s="256"/>
      <c r="W1868" s="317"/>
      <c r="Z1868" s="176"/>
      <c r="AA1868" s="176"/>
    </row>
    <row r="1869" spans="4:27">
      <c r="D1869" s="315"/>
      <c r="E1869" s="316"/>
      <c r="H1869" s="256"/>
      <c r="J1869" s="256"/>
      <c r="W1869" s="317"/>
      <c r="Z1869" s="176"/>
      <c r="AA1869" s="176"/>
    </row>
    <row r="1870" spans="4:27">
      <c r="D1870" s="315"/>
      <c r="E1870" s="316"/>
      <c r="H1870" s="256"/>
      <c r="J1870" s="256"/>
      <c r="W1870" s="317"/>
      <c r="Z1870" s="176"/>
      <c r="AA1870" s="176"/>
    </row>
    <row r="1871" spans="4:27">
      <c r="D1871" s="315"/>
      <c r="E1871" s="316"/>
      <c r="H1871" s="256"/>
      <c r="J1871" s="256"/>
      <c r="W1871" s="317"/>
      <c r="Z1871" s="176"/>
      <c r="AA1871" s="176"/>
    </row>
    <row r="1872" spans="4:27">
      <c r="D1872" s="315"/>
      <c r="E1872" s="316"/>
      <c r="H1872" s="256"/>
      <c r="J1872" s="256"/>
      <c r="W1872" s="317"/>
      <c r="Z1872" s="176"/>
      <c r="AA1872" s="176"/>
    </row>
    <row r="1873" spans="4:27">
      <c r="D1873" s="315"/>
      <c r="E1873" s="316"/>
      <c r="H1873" s="256"/>
      <c r="J1873" s="256"/>
      <c r="W1873" s="317"/>
      <c r="Z1873" s="176"/>
      <c r="AA1873" s="176"/>
    </row>
    <row r="1874" spans="4:27">
      <c r="D1874" s="315"/>
      <c r="E1874" s="316"/>
      <c r="H1874" s="256"/>
      <c r="J1874" s="256"/>
      <c r="W1874" s="317"/>
      <c r="Z1874" s="176"/>
      <c r="AA1874" s="176"/>
    </row>
    <row r="1875" spans="4:27">
      <c r="D1875" s="315"/>
      <c r="E1875" s="316"/>
      <c r="H1875" s="256"/>
      <c r="J1875" s="256"/>
      <c r="W1875" s="317"/>
      <c r="Z1875" s="176"/>
      <c r="AA1875" s="176"/>
    </row>
    <row r="1876" spans="4:27">
      <c r="D1876" s="315"/>
      <c r="E1876" s="316"/>
      <c r="H1876" s="256"/>
      <c r="J1876" s="256"/>
      <c r="W1876" s="317"/>
      <c r="Z1876" s="176"/>
      <c r="AA1876" s="176"/>
    </row>
    <row r="1877" spans="4:27">
      <c r="D1877" s="315"/>
      <c r="E1877" s="316"/>
      <c r="H1877" s="256"/>
      <c r="J1877" s="256"/>
      <c r="W1877" s="317"/>
      <c r="Z1877" s="176"/>
      <c r="AA1877" s="176"/>
    </row>
    <row r="1878" spans="4:27">
      <c r="D1878" s="315"/>
      <c r="E1878" s="316"/>
      <c r="H1878" s="256"/>
      <c r="J1878" s="256"/>
      <c r="W1878" s="317"/>
      <c r="Z1878" s="176"/>
      <c r="AA1878" s="176"/>
    </row>
    <row r="1879" spans="4:27">
      <c r="D1879" s="315"/>
      <c r="E1879" s="316"/>
      <c r="H1879" s="256"/>
      <c r="J1879" s="256"/>
      <c r="W1879" s="317"/>
      <c r="Z1879" s="176"/>
      <c r="AA1879" s="176"/>
    </row>
    <row r="1880" spans="4:27">
      <c r="D1880" s="315"/>
      <c r="E1880" s="316"/>
      <c r="H1880" s="256"/>
      <c r="J1880" s="256"/>
      <c r="W1880" s="317"/>
      <c r="Z1880" s="176"/>
      <c r="AA1880" s="176"/>
    </row>
    <row r="1881" spans="4:27">
      <c r="D1881" s="315"/>
      <c r="E1881" s="316"/>
      <c r="H1881" s="256"/>
      <c r="J1881" s="256"/>
      <c r="W1881" s="317"/>
      <c r="Z1881" s="176"/>
      <c r="AA1881" s="176"/>
    </row>
    <row r="1882" spans="4:27">
      <c r="D1882" s="315"/>
      <c r="E1882" s="316"/>
      <c r="H1882" s="256"/>
      <c r="J1882" s="256"/>
      <c r="W1882" s="317"/>
      <c r="Z1882" s="176"/>
      <c r="AA1882" s="176"/>
    </row>
    <row r="1883" spans="4:27">
      <c r="D1883" s="315"/>
      <c r="E1883" s="316"/>
      <c r="H1883" s="256"/>
      <c r="J1883" s="256"/>
      <c r="W1883" s="317"/>
      <c r="Z1883" s="176"/>
      <c r="AA1883" s="176"/>
    </row>
    <row r="1884" spans="4:27">
      <c r="D1884" s="315"/>
      <c r="E1884" s="316"/>
      <c r="H1884" s="256"/>
      <c r="J1884" s="256"/>
      <c r="W1884" s="317"/>
      <c r="Z1884" s="176"/>
      <c r="AA1884" s="176"/>
    </row>
    <row r="1885" spans="4:27">
      <c r="D1885" s="315"/>
      <c r="E1885" s="316"/>
      <c r="H1885" s="256"/>
      <c r="J1885" s="256"/>
      <c r="W1885" s="317"/>
      <c r="Z1885" s="176"/>
      <c r="AA1885" s="176"/>
    </row>
    <row r="1886" spans="4:27">
      <c r="D1886" s="315"/>
      <c r="E1886" s="316"/>
      <c r="H1886" s="256"/>
      <c r="J1886" s="256"/>
      <c r="W1886" s="317"/>
      <c r="Z1886" s="176"/>
      <c r="AA1886" s="176"/>
    </row>
    <row r="1887" spans="4:27">
      <c r="D1887" s="315"/>
      <c r="E1887" s="316"/>
      <c r="H1887" s="256"/>
      <c r="J1887" s="256"/>
      <c r="W1887" s="317"/>
      <c r="Z1887" s="176"/>
      <c r="AA1887" s="176"/>
    </row>
    <row r="1888" spans="4:27">
      <c r="D1888" s="315"/>
      <c r="E1888" s="316"/>
      <c r="H1888" s="256"/>
      <c r="J1888" s="256"/>
      <c r="W1888" s="317"/>
      <c r="Z1888" s="176"/>
      <c r="AA1888" s="176"/>
    </row>
    <row r="1889" spans="4:27">
      <c r="D1889" s="315"/>
      <c r="E1889" s="316"/>
      <c r="H1889" s="256"/>
      <c r="J1889" s="256"/>
      <c r="W1889" s="317"/>
      <c r="Z1889" s="176"/>
      <c r="AA1889" s="176"/>
    </row>
    <row r="1890" spans="4:27">
      <c r="D1890" s="315"/>
      <c r="E1890" s="316"/>
      <c r="H1890" s="256"/>
      <c r="J1890" s="256"/>
      <c r="W1890" s="317"/>
      <c r="Z1890" s="176"/>
      <c r="AA1890" s="176"/>
    </row>
    <row r="1891" spans="4:27">
      <c r="D1891" s="315"/>
      <c r="E1891" s="316"/>
      <c r="H1891" s="256"/>
      <c r="J1891" s="256"/>
      <c r="W1891" s="317"/>
      <c r="Z1891" s="176"/>
      <c r="AA1891" s="176"/>
    </row>
    <row r="1892" spans="4:27">
      <c r="D1892" s="315"/>
      <c r="E1892" s="316"/>
      <c r="H1892" s="256"/>
      <c r="J1892" s="256"/>
      <c r="W1892" s="317"/>
      <c r="Z1892" s="176"/>
      <c r="AA1892" s="176"/>
    </row>
    <row r="1893" spans="4:27">
      <c r="D1893" s="315"/>
      <c r="E1893" s="316"/>
      <c r="H1893" s="256"/>
      <c r="J1893" s="256"/>
      <c r="W1893" s="317"/>
      <c r="Z1893" s="176"/>
      <c r="AA1893" s="176"/>
    </row>
    <row r="1894" spans="4:27">
      <c r="D1894" s="315"/>
      <c r="E1894" s="316"/>
      <c r="H1894" s="256"/>
      <c r="J1894" s="256"/>
      <c r="W1894" s="317"/>
      <c r="Z1894" s="176"/>
      <c r="AA1894" s="176"/>
    </row>
    <row r="1895" spans="4:27">
      <c r="D1895" s="315"/>
      <c r="E1895" s="316"/>
      <c r="H1895" s="256"/>
      <c r="J1895" s="256"/>
      <c r="W1895" s="317"/>
      <c r="Z1895" s="176"/>
      <c r="AA1895" s="176"/>
    </row>
    <row r="1896" spans="4:27">
      <c r="D1896" s="315"/>
      <c r="E1896" s="316"/>
      <c r="H1896" s="256"/>
      <c r="J1896" s="256"/>
      <c r="W1896" s="317"/>
      <c r="Z1896" s="176"/>
      <c r="AA1896" s="176"/>
    </row>
    <row r="1897" spans="4:27">
      <c r="D1897" s="315"/>
      <c r="E1897" s="316"/>
      <c r="H1897" s="256"/>
      <c r="J1897" s="256"/>
      <c r="W1897" s="317"/>
      <c r="Z1897" s="176"/>
      <c r="AA1897" s="176"/>
    </row>
    <row r="1898" spans="4:27">
      <c r="D1898" s="315"/>
      <c r="E1898" s="316"/>
      <c r="H1898" s="256"/>
      <c r="J1898" s="256"/>
      <c r="W1898" s="317"/>
      <c r="Z1898" s="176"/>
      <c r="AA1898" s="176"/>
    </row>
    <row r="1899" spans="4:27">
      <c r="D1899" s="315"/>
      <c r="E1899" s="316"/>
      <c r="H1899" s="256"/>
      <c r="J1899" s="256"/>
      <c r="W1899" s="317"/>
      <c r="Z1899" s="176"/>
      <c r="AA1899" s="176"/>
    </row>
    <row r="1900" spans="4:27">
      <c r="D1900" s="315"/>
      <c r="E1900" s="316"/>
      <c r="H1900" s="256"/>
      <c r="J1900" s="256"/>
      <c r="W1900" s="317"/>
      <c r="Z1900" s="176"/>
      <c r="AA1900" s="176"/>
    </row>
    <row r="1901" spans="4:27">
      <c r="D1901" s="315"/>
      <c r="E1901" s="316"/>
      <c r="H1901" s="256"/>
      <c r="J1901" s="256"/>
      <c r="W1901" s="317"/>
      <c r="Z1901" s="176"/>
      <c r="AA1901" s="176"/>
    </row>
    <row r="1902" spans="4:27">
      <c r="D1902" s="315"/>
      <c r="E1902" s="316"/>
      <c r="H1902" s="256"/>
      <c r="J1902" s="256"/>
      <c r="W1902" s="317"/>
      <c r="Z1902" s="176"/>
      <c r="AA1902" s="176"/>
    </row>
    <row r="1903" spans="4:27">
      <c r="D1903" s="315"/>
      <c r="E1903" s="316"/>
      <c r="H1903" s="256"/>
      <c r="J1903" s="256"/>
      <c r="W1903" s="317"/>
      <c r="Z1903" s="176"/>
      <c r="AA1903" s="176"/>
    </row>
    <row r="1904" spans="4:27">
      <c r="D1904" s="315"/>
      <c r="E1904" s="316"/>
      <c r="H1904" s="256"/>
      <c r="J1904" s="256"/>
      <c r="W1904" s="317"/>
      <c r="Z1904" s="176"/>
      <c r="AA1904" s="176"/>
    </row>
    <row r="1905" spans="4:27">
      <c r="D1905" s="315"/>
      <c r="E1905" s="316"/>
      <c r="H1905" s="256"/>
      <c r="J1905" s="256"/>
      <c r="W1905" s="317"/>
      <c r="Z1905" s="176"/>
      <c r="AA1905" s="176"/>
    </row>
    <row r="1906" spans="4:27">
      <c r="D1906" s="315"/>
      <c r="E1906" s="316"/>
      <c r="H1906" s="256"/>
      <c r="J1906" s="256"/>
      <c r="W1906" s="317"/>
      <c r="Z1906" s="176"/>
      <c r="AA1906" s="176"/>
    </row>
    <row r="1907" spans="4:27">
      <c r="D1907" s="315"/>
      <c r="E1907" s="316"/>
      <c r="H1907" s="256"/>
      <c r="J1907" s="256"/>
      <c r="W1907" s="317"/>
      <c r="Z1907" s="176"/>
      <c r="AA1907" s="176"/>
    </row>
    <row r="1908" spans="4:27">
      <c r="D1908" s="315"/>
      <c r="E1908" s="316"/>
      <c r="H1908" s="256"/>
      <c r="J1908" s="256"/>
      <c r="W1908" s="317"/>
      <c r="Z1908" s="176"/>
      <c r="AA1908" s="176"/>
    </row>
    <row r="1909" spans="4:27">
      <c r="D1909" s="315"/>
      <c r="E1909" s="316"/>
      <c r="H1909" s="256"/>
      <c r="J1909" s="256"/>
      <c r="W1909" s="317"/>
      <c r="Z1909" s="176"/>
      <c r="AA1909" s="176"/>
    </row>
    <row r="1910" spans="4:27">
      <c r="D1910" s="315"/>
      <c r="E1910" s="316"/>
      <c r="H1910" s="256"/>
      <c r="J1910" s="256"/>
      <c r="W1910" s="317"/>
      <c r="Z1910" s="176"/>
      <c r="AA1910" s="176"/>
    </row>
    <row r="1911" spans="4:27">
      <c r="D1911" s="315"/>
      <c r="E1911" s="316"/>
      <c r="H1911" s="256"/>
      <c r="J1911" s="256"/>
      <c r="W1911" s="317"/>
      <c r="Z1911" s="176"/>
      <c r="AA1911" s="176"/>
    </row>
    <row r="1912" spans="4:27">
      <c r="D1912" s="315"/>
      <c r="E1912" s="316"/>
      <c r="H1912" s="256"/>
      <c r="J1912" s="256"/>
      <c r="W1912" s="317"/>
      <c r="Z1912" s="176"/>
      <c r="AA1912" s="176"/>
    </row>
    <row r="1913" spans="4:27">
      <c r="D1913" s="315"/>
      <c r="E1913" s="316"/>
      <c r="H1913" s="256"/>
      <c r="J1913" s="256"/>
      <c r="W1913" s="317"/>
      <c r="Z1913" s="176"/>
      <c r="AA1913" s="176"/>
    </row>
    <row r="1914" spans="4:27">
      <c r="D1914" s="315"/>
      <c r="E1914" s="316"/>
      <c r="H1914" s="256"/>
      <c r="J1914" s="256"/>
      <c r="W1914" s="317"/>
      <c r="Z1914" s="176"/>
      <c r="AA1914" s="176"/>
    </row>
    <row r="1915" spans="4:27">
      <c r="D1915" s="315"/>
      <c r="E1915" s="316"/>
      <c r="H1915" s="256"/>
      <c r="J1915" s="256"/>
      <c r="W1915" s="317"/>
      <c r="Z1915" s="176"/>
      <c r="AA1915" s="176"/>
    </row>
    <row r="1916" spans="4:27">
      <c r="D1916" s="315"/>
      <c r="E1916" s="316"/>
      <c r="H1916" s="256"/>
      <c r="J1916" s="256"/>
      <c r="W1916" s="317"/>
      <c r="Z1916" s="176"/>
      <c r="AA1916" s="176"/>
    </row>
    <row r="1917" spans="4:27">
      <c r="D1917" s="315"/>
      <c r="E1917" s="316"/>
      <c r="H1917" s="256"/>
      <c r="J1917" s="256"/>
      <c r="W1917" s="317"/>
      <c r="Z1917" s="176"/>
      <c r="AA1917" s="176"/>
    </row>
    <row r="1918" spans="4:27">
      <c r="D1918" s="315"/>
      <c r="E1918" s="316"/>
      <c r="H1918" s="256"/>
      <c r="J1918" s="256"/>
      <c r="W1918" s="317"/>
      <c r="Z1918" s="176"/>
      <c r="AA1918" s="176"/>
    </row>
    <row r="1919" spans="4:27">
      <c r="D1919" s="315"/>
      <c r="E1919" s="316"/>
      <c r="H1919" s="256"/>
      <c r="J1919" s="256"/>
      <c r="W1919" s="317"/>
      <c r="Z1919" s="176"/>
      <c r="AA1919" s="176"/>
    </row>
    <row r="1920" spans="4:27">
      <c r="D1920" s="315"/>
      <c r="E1920" s="316"/>
      <c r="H1920" s="256"/>
      <c r="J1920" s="256"/>
      <c r="W1920" s="317"/>
      <c r="Z1920" s="176"/>
      <c r="AA1920" s="176"/>
    </row>
    <row r="1921" spans="4:27">
      <c r="D1921" s="315"/>
      <c r="E1921" s="316"/>
      <c r="H1921" s="256"/>
      <c r="J1921" s="256"/>
      <c r="W1921" s="317"/>
      <c r="Z1921" s="176"/>
      <c r="AA1921" s="176"/>
    </row>
    <row r="1922" spans="4:27">
      <c r="D1922" s="315"/>
      <c r="E1922" s="316"/>
      <c r="H1922" s="256"/>
      <c r="J1922" s="256"/>
      <c r="W1922" s="317"/>
      <c r="Z1922" s="176"/>
      <c r="AA1922" s="176"/>
    </row>
    <row r="1923" spans="4:27">
      <c r="D1923" s="315"/>
      <c r="E1923" s="316"/>
      <c r="H1923" s="256"/>
      <c r="J1923" s="256"/>
      <c r="W1923" s="317"/>
      <c r="Z1923" s="176"/>
      <c r="AA1923" s="176"/>
    </row>
    <row r="1924" spans="4:27">
      <c r="D1924" s="315"/>
      <c r="E1924" s="316"/>
      <c r="H1924" s="256"/>
      <c r="J1924" s="256"/>
      <c r="W1924" s="317"/>
      <c r="Z1924" s="176"/>
      <c r="AA1924" s="176"/>
    </row>
    <row r="1925" spans="4:27">
      <c r="D1925" s="315"/>
      <c r="E1925" s="316"/>
      <c r="H1925" s="256"/>
      <c r="J1925" s="256"/>
      <c r="W1925" s="317"/>
      <c r="Z1925" s="176"/>
      <c r="AA1925" s="176"/>
    </row>
    <row r="1926" spans="4:27">
      <c r="D1926" s="315"/>
      <c r="E1926" s="316"/>
      <c r="H1926" s="256"/>
      <c r="J1926" s="256"/>
      <c r="W1926" s="317"/>
      <c r="Z1926" s="176"/>
      <c r="AA1926" s="176"/>
    </row>
    <row r="1927" spans="4:27">
      <c r="D1927" s="315"/>
      <c r="E1927" s="316"/>
      <c r="H1927" s="256"/>
      <c r="J1927" s="256"/>
      <c r="W1927" s="317"/>
      <c r="Z1927" s="176"/>
      <c r="AA1927" s="176"/>
    </row>
    <row r="1928" spans="4:27">
      <c r="D1928" s="315"/>
      <c r="E1928" s="316"/>
      <c r="H1928" s="256"/>
      <c r="J1928" s="256"/>
      <c r="W1928" s="317"/>
      <c r="Z1928" s="176"/>
      <c r="AA1928" s="176"/>
    </row>
    <row r="1929" spans="4:27">
      <c r="D1929" s="315"/>
      <c r="E1929" s="316"/>
      <c r="H1929" s="256"/>
      <c r="J1929" s="256"/>
      <c r="W1929" s="317"/>
      <c r="Z1929" s="176"/>
      <c r="AA1929" s="176"/>
    </row>
    <row r="1930" spans="4:27">
      <c r="D1930" s="315"/>
      <c r="E1930" s="316"/>
      <c r="H1930" s="256"/>
      <c r="J1930" s="256"/>
      <c r="W1930" s="317"/>
      <c r="Z1930" s="176"/>
      <c r="AA1930" s="176"/>
    </row>
    <row r="1931" spans="4:27">
      <c r="D1931" s="315"/>
      <c r="E1931" s="316"/>
      <c r="H1931" s="256"/>
      <c r="J1931" s="256"/>
      <c r="W1931" s="317"/>
      <c r="Z1931" s="176"/>
      <c r="AA1931" s="176"/>
    </row>
    <row r="1932" spans="4:27">
      <c r="D1932" s="315"/>
      <c r="E1932" s="316"/>
      <c r="H1932" s="256"/>
      <c r="J1932" s="256"/>
      <c r="W1932" s="317"/>
      <c r="Z1932" s="176"/>
      <c r="AA1932" s="176"/>
    </row>
    <row r="1933" spans="4:27">
      <c r="D1933" s="315"/>
      <c r="E1933" s="316"/>
      <c r="H1933" s="256"/>
      <c r="J1933" s="256"/>
      <c r="W1933" s="317"/>
      <c r="Z1933" s="176"/>
      <c r="AA1933" s="176"/>
    </row>
    <row r="1934" spans="4:27">
      <c r="D1934" s="315"/>
      <c r="E1934" s="316"/>
      <c r="H1934" s="256"/>
      <c r="J1934" s="256"/>
      <c r="W1934" s="317"/>
      <c r="Z1934" s="176"/>
      <c r="AA1934" s="176"/>
    </row>
    <row r="1935" spans="4:27">
      <c r="D1935" s="315"/>
      <c r="E1935" s="316"/>
      <c r="H1935" s="256"/>
      <c r="J1935" s="256"/>
      <c r="W1935" s="317"/>
      <c r="Z1935" s="176"/>
      <c r="AA1935" s="176"/>
    </row>
    <row r="1936" spans="4:27">
      <c r="D1936" s="315"/>
      <c r="E1936" s="316"/>
      <c r="H1936" s="256"/>
      <c r="J1936" s="256"/>
      <c r="W1936" s="317"/>
      <c r="Z1936" s="176"/>
      <c r="AA1936" s="176"/>
    </row>
    <row r="1937" spans="4:27">
      <c r="D1937" s="315"/>
      <c r="E1937" s="316"/>
      <c r="H1937" s="256"/>
      <c r="J1937" s="256"/>
      <c r="W1937" s="317"/>
      <c r="Z1937" s="176"/>
      <c r="AA1937" s="176"/>
    </row>
    <row r="1938" spans="4:27">
      <c r="D1938" s="315"/>
      <c r="E1938" s="316"/>
      <c r="H1938" s="256"/>
      <c r="J1938" s="256"/>
      <c r="W1938" s="317"/>
      <c r="Z1938" s="176"/>
      <c r="AA1938" s="176"/>
    </row>
    <row r="1939" spans="4:27">
      <c r="D1939" s="315"/>
      <c r="E1939" s="316"/>
      <c r="H1939" s="256"/>
      <c r="J1939" s="256"/>
      <c r="W1939" s="317"/>
      <c r="Z1939" s="176"/>
      <c r="AA1939" s="176"/>
    </row>
    <row r="1940" spans="4:27">
      <c r="D1940" s="315"/>
      <c r="E1940" s="316"/>
      <c r="H1940" s="256"/>
      <c r="J1940" s="256"/>
      <c r="W1940" s="317"/>
      <c r="Z1940" s="176"/>
      <c r="AA1940" s="176"/>
    </row>
    <row r="1941" spans="4:27">
      <c r="D1941" s="315"/>
      <c r="E1941" s="316"/>
      <c r="H1941" s="256"/>
      <c r="J1941" s="256"/>
      <c r="W1941" s="317"/>
      <c r="Z1941" s="176"/>
      <c r="AA1941" s="176"/>
    </row>
    <row r="1942" spans="4:27">
      <c r="D1942" s="315"/>
      <c r="E1942" s="316"/>
      <c r="H1942" s="256"/>
      <c r="J1942" s="256"/>
      <c r="W1942" s="317"/>
      <c r="Z1942" s="176"/>
      <c r="AA1942" s="176"/>
    </row>
    <row r="1943" spans="4:27">
      <c r="D1943" s="315"/>
      <c r="E1943" s="316"/>
      <c r="H1943" s="256"/>
      <c r="J1943" s="256"/>
      <c r="W1943" s="317"/>
      <c r="Z1943" s="176"/>
      <c r="AA1943" s="176"/>
    </row>
    <row r="1944" spans="4:27">
      <c r="D1944" s="315"/>
      <c r="E1944" s="316"/>
      <c r="H1944" s="256"/>
      <c r="J1944" s="256"/>
      <c r="W1944" s="317"/>
      <c r="Z1944" s="176"/>
      <c r="AA1944" s="176"/>
    </row>
    <row r="1945" spans="4:27">
      <c r="D1945" s="315"/>
      <c r="E1945" s="316"/>
      <c r="H1945" s="256"/>
      <c r="J1945" s="256"/>
      <c r="W1945" s="317"/>
      <c r="Z1945" s="176"/>
      <c r="AA1945" s="176"/>
    </row>
    <row r="1946" spans="4:27">
      <c r="D1946" s="315"/>
      <c r="E1946" s="316"/>
      <c r="H1946" s="256"/>
      <c r="J1946" s="256"/>
      <c r="W1946" s="317"/>
      <c r="Z1946" s="176"/>
      <c r="AA1946" s="176"/>
    </row>
    <row r="1947" spans="4:27">
      <c r="D1947" s="315"/>
      <c r="E1947" s="316"/>
      <c r="H1947" s="256"/>
      <c r="J1947" s="256"/>
      <c r="W1947" s="317"/>
      <c r="Z1947" s="176"/>
      <c r="AA1947" s="176"/>
    </row>
    <row r="1948" spans="4:27">
      <c r="D1948" s="315"/>
      <c r="E1948" s="316"/>
      <c r="H1948" s="256"/>
      <c r="J1948" s="256"/>
      <c r="W1948" s="317"/>
      <c r="Z1948" s="176"/>
      <c r="AA1948" s="176"/>
    </row>
    <row r="1949" spans="4:27">
      <c r="D1949" s="315"/>
      <c r="E1949" s="316"/>
      <c r="H1949" s="256"/>
      <c r="J1949" s="256"/>
      <c r="W1949" s="317"/>
      <c r="Z1949" s="176"/>
      <c r="AA1949" s="176"/>
    </row>
    <row r="1950" spans="4:27">
      <c r="D1950" s="315"/>
      <c r="E1950" s="316"/>
      <c r="H1950" s="256"/>
      <c r="J1950" s="256"/>
      <c r="W1950" s="317"/>
      <c r="Z1950" s="176"/>
      <c r="AA1950" s="176"/>
    </row>
    <row r="1951" spans="4:27">
      <c r="D1951" s="315"/>
      <c r="E1951" s="316"/>
      <c r="H1951" s="256"/>
      <c r="J1951" s="256"/>
      <c r="W1951" s="317"/>
      <c r="Z1951" s="176"/>
      <c r="AA1951" s="176"/>
    </row>
    <row r="1952" spans="4:27">
      <c r="D1952" s="315"/>
      <c r="E1952" s="316"/>
      <c r="H1952" s="256"/>
      <c r="J1952" s="256"/>
      <c r="W1952" s="317"/>
      <c r="Z1952" s="176"/>
      <c r="AA1952" s="176"/>
    </row>
    <row r="1953" spans="4:27">
      <c r="D1953" s="315"/>
      <c r="E1953" s="316"/>
      <c r="H1953" s="256"/>
      <c r="J1953" s="256"/>
      <c r="W1953" s="317"/>
      <c r="Z1953" s="176"/>
      <c r="AA1953" s="176"/>
    </row>
    <row r="1954" spans="4:27">
      <c r="D1954" s="315"/>
      <c r="E1954" s="316"/>
      <c r="H1954" s="256"/>
      <c r="J1954" s="256"/>
      <c r="W1954" s="317"/>
      <c r="Z1954" s="176"/>
      <c r="AA1954" s="176"/>
    </row>
    <row r="1955" spans="4:27">
      <c r="D1955" s="315"/>
      <c r="E1955" s="316"/>
      <c r="H1955" s="256"/>
      <c r="J1955" s="256"/>
      <c r="W1955" s="317"/>
      <c r="Z1955" s="176"/>
      <c r="AA1955" s="176"/>
    </row>
    <row r="1956" spans="4:27">
      <c r="D1956" s="315"/>
      <c r="E1956" s="316"/>
      <c r="H1956" s="256"/>
      <c r="J1956" s="256"/>
      <c r="W1956" s="317"/>
      <c r="Z1956" s="176"/>
      <c r="AA1956" s="176"/>
    </row>
    <row r="1957" spans="4:27">
      <c r="D1957" s="315"/>
      <c r="E1957" s="316"/>
      <c r="H1957" s="256"/>
      <c r="J1957" s="256"/>
      <c r="W1957" s="317"/>
      <c r="Z1957" s="176"/>
      <c r="AA1957" s="176"/>
    </row>
    <row r="1958" spans="4:27">
      <c r="D1958" s="315"/>
      <c r="E1958" s="316"/>
      <c r="H1958" s="256"/>
      <c r="J1958" s="256"/>
      <c r="W1958" s="317"/>
      <c r="Z1958" s="176"/>
      <c r="AA1958" s="176"/>
    </row>
    <row r="1959" spans="4:27">
      <c r="D1959" s="315"/>
      <c r="E1959" s="316"/>
      <c r="H1959" s="256"/>
      <c r="J1959" s="256"/>
      <c r="W1959" s="317"/>
      <c r="Z1959" s="176"/>
      <c r="AA1959" s="176"/>
    </row>
    <row r="1960" spans="4:27">
      <c r="D1960" s="315"/>
      <c r="E1960" s="316"/>
      <c r="H1960" s="256"/>
      <c r="J1960" s="256"/>
      <c r="W1960" s="317"/>
      <c r="Z1960" s="176"/>
      <c r="AA1960" s="176"/>
    </row>
    <row r="1961" spans="4:27">
      <c r="D1961" s="315"/>
      <c r="E1961" s="316"/>
      <c r="H1961" s="256"/>
      <c r="J1961" s="256"/>
      <c r="W1961" s="317"/>
      <c r="Z1961" s="176"/>
      <c r="AA1961" s="176"/>
    </row>
    <row r="1962" spans="4:27">
      <c r="D1962" s="315"/>
      <c r="E1962" s="316"/>
      <c r="H1962" s="256"/>
      <c r="J1962" s="256"/>
      <c r="W1962" s="317"/>
      <c r="Z1962" s="176"/>
      <c r="AA1962" s="176"/>
    </row>
    <row r="1963" spans="4:27">
      <c r="D1963" s="315"/>
      <c r="E1963" s="316"/>
      <c r="H1963" s="256"/>
      <c r="J1963" s="256"/>
      <c r="W1963" s="317"/>
      <c r="Z1963" s="176"/>
      <c r="AA1963" s="176"/>
    </row>
    <row r="1964" spans="4:27">
      <c r="D1964" s="315"/>
      <c r="E1964" s="316"/>
      <c r="H1964" s="256"/>
      <c r="J1964" s="256"/>
      <c r="W1964" s="317"/>
      <c r="Z1964" s="176"/>
      <c r="AA1964" s="176"/>
    </row>
    <row r="1965" spans="4:27">
      <c r="D1965" s="315"/>
      <c r="E1965" s="316"/>
      <c r="H1965" s="256"/>
      <c r="J1965" s="256"/>
      <c r="W1965" s="317"/>
      <c r="Z1965" s="176"/>
      <c r="AA1965" s="176"/>
    </row>
    <row r="1966" spans="4:27">
      <c r="D1966" s="315"/>
      <c r="E1966" s="316"/>
      <c r="H1966" s="256"/>
      <c r="J1966" s="256"/>
      <c r="W1966" s="317"/>
      <c r="Z1966" s="176"/>
      <c r="AA1966" s="176"/>
    </row>
    <row r="1967" spans="4:27">
      <c r="D1967" s="315"/>
      <c r="E1967" s="316"/>
      <c r="H1967" s="256"/>
      <c r="J1967" s="256"/>
      <c r="W1967" s="317"/>
      <c r="Z1967" s="176"/>
      <c r="AA1967" s="176"/>
    </row>
    <row r="1968" spans="4:27">
      <c r="D1968" s="315"/>
      <c r="E1968" s="316"/>
      <c r="H1968" s="256"/>
      <c r="J1968" s="256"/>
      <c r="W1968" s="317"/>
      <c r="Z1968" s="176"/>
      <c r="AA1968" s="176"/>
    </row>
    <row r="1969" spans="4:27">
      <c r="D1969" s="315"/>
      <c r="E1969" s="316"/>
      <c r="H1969" s="256"/>
      <c r="J1969" s="256"/>
      <c r="W1969" s="317"/>
      <c r="Z1969" s="176"/>
      <c r="AA1969" s="176"/>
    </row>
    <row r="1970" spans="4:27">
      <c r="D1970" s="315"/>
      <c r="E1970" s="316"/>
      <c r="H1970" s="256"/>
      <c r="J1970" s="256"/>
      <c r="W1970" s="317"/>
      <c r="Z1970" s="176"/>
      <c r="AA1970" s="176"/>
    </row>
    <row r="1971" spans="4:27">
      <c r="D1971" s="315"/>
      <c r="E1971" s="316"/>
      <c r="H1971" s="256"/>
      <c r="J1971" s="256"/>
      <c r="W1971" s="317"/>
      <c r="Z1971" s="176"/>
      <c r="AA1971" s="176"/>
    </row>
    <row r="1972" spans="4:27">
      <c r="D1972" s="315"/>
      <c r="E1972" s="316"/>
      <c r="H1972" s="256"/>
      <c r="J1972" s="256"/>
      <c r="W1972" s="317"/>
      <c r="Z1972" s="176"/>
      <c r="AA1972" s="176"/>
    </row>
    <row r="1973" spans="4:27">
      <c r="D1973" s="315"/>
      <c r="E1973" s="316"/>
      <c r="H1973" s="256"/>
      <c r="J1973" s="256"/>
      <c r="W1973" s="317"/>
      <c r="Z1973" s="176"/>
      <c r="AA1973" s="176"/>
    </row>
    <row r="1974" spans="4:27">
      <c r="D1974" s="315"/>
      <c r="E1974" s="316"/>
      <c r="H1974" s="256"/>
      <c r="J1974" s="256"/>
      <c r="W1974" s="317"/>
      <c r="Z1974" s="176"/>
      <c r="AA1974" s="176"/>
    </row>
    <row r="1975" spans="4:27">
      <c r="D1975" s="315"/>
      <c r="E1975" s="316"/>
      <c r="H1975" s="256"/>
      <c r="J1975" s="256"/>
      <c r="W1975" s="317"/>
      <c r="Z1975" s="176"/>
      <c r="AA1975" s="176"/>
    </row>
    <row r="1976" spans="4:27">
      <c r="D1976" s="315"/>
      <c r="E1976" s="316"/>
      <c r="H1976" s="256"/>
      <c r="J1976" s="256"/>
      <c r="W1976" s="317"/>
      <c r="Z1976" s="176"/>
      <c r="AA1976" s="176"/>
    </row>
    <row r="1977" spans="4:27">
      <c r="D1977" s="315"/>
      <c r="E1977" s="316"/>
      <c r="H1977" s="256"/>
      <c r="J1977" s="256"/>
      <c r="W1977" s="317"/>
      <c r="Z1977" s="176"/>
      <c r="AA1977" s="176"/>
    </row>
    <row r="1978" spans="4:27">
      <c r="D1978" s="315"/>
      <c r="E1978" s="316"/>
      <c r="H1978" s="256"/>
      <c r="J1978" s="256"/>
      <c r="W1978" s="317"/>
      <c r="Z1978" s="176"/>
      <c r="AA1978" s="176"/>
    </row>
    <row r="1979" spans="4:27">
      <c r="D1979" s="315"/>
      <c r="E1979" s="316"/>
      <c r="H1979" s="256"/>
      <c r="J1979" s="256"/>
      <c r="W1979" s="317"/>
      <c r="Z1979" s="176"/>
      <c r="AA1979" s="176"/>
    </row>
    <row r="1980" spans="4:27">
      <c r="D1980" s="315"/>
      <c r="E1980" s="316"/>
      <c r="H1980" s="256"/>
      <c r="J1980" s="256"/>
      <c r="W1980" s="317"/>
      <c r="Z1980" s="176"/>
      <c r="AA1980" s="176"/>
    </row>
    <row r="1981" spans="4:27">
      <c r="D1981" s="315"/>
      <c r="E1981" s="316"/>
      <c r="H1981" s="256"/>
      <c r="J1981" s="256"/>
      <c r="W1981" s="317"/>
      <c r="Z1981" s="176"/>
      <c r="AA1981" s="176"/>
    </row>
    <row r="1982" spans="4:27">
      <c r="D1982" s="315"/>
      <c r="E1982" s="316"/>
      <c r="H1982" s="256"/>
      <c r="J1982" s="256"/>
      <c r="W1982" s="317"/>
      <c r="Z1982" s="176"/>
      <c r="AA1982" s="176"/>
    </row>
    <row r="1983" spans="4:27">
      <c r="D1983" s="315"/>
      <c r="E1983" s="316"/>
      <c r="H1983" s="256"/>
      <c r="J1983" s="256"/>
      <c r="W1983" s="317"/>
      <c r="Z1983" s="176"/>
      <c r="AA1983" s="176"/>
    </row>
    <row r="1984" spans="4:27">
      <c r="D1984" s="315"/>
      <c r="E1984" s="316"/>
      <c r="H1984" s="256"/>
      <c r="J1984" s="256"/>
      <c r="W1984" s="317"/>
      <c r="Z1984" s="176"/>
      <c r="AA1984" s="176"/>
    </row>
    <row r="1985" spans="4:27">
      <c r="D1985" s="315"/>
      <c r="E1985" s="316"/>
      <c r="H1985" s="256"/>
      <c r="J1985" s="256"/>
      <c r="W1985" s="317"/>
      <c r="Z1985" s="176"/>
      <c r="AA1985" s="176"/>
    </row>
    <row r="1986" spans="4:27">
      <c r="D1986" s="315"/>
      <c r="E1986" s="316"/>
      <c r="H1986" s="256"/>
      <c r="J1986" s="256"/>
      <c r="W1986" s="317"/>
      <c r="Z1986" s="176"/>
      <c r="AA1986" s="176"/>
    </row>
    <row r="1987" spans="4:27">
      <c r="D1987" s="315"/>
      <c r="E1987" s="316"/>
      <c r="H1987" s="256"/>
      <c r="J1987" s="256"/>
      <c r="W1987" s="317"/>
      <c r="Z1987" s="176"/>
      <c r="AA1987" s="176"/>
    </row>
    <row r="1988" spans="4:27">
      <c r="D1988" s="315"/>
      <c r="E1988" s="316"/>
      <c r="H1988" s="256"/>
      <c r="J1988" s="256"/>
      <c r="W1988" s="317"/>
      <c r="Z1988" s="176"/>
      <c r="AA1988" s="176"/>
    </row>
    <row r="1989" spans="4:27">
      <c r="D1989" s="315"/>
      <c r="E1989" s="316"/>
      <c r="H1989" s="256"/>
      <c r="J1989" s="256"/>
      <c r="W1989" s="317"/>
      <c r="Z1989" s="176"/>
      <c r="AA1989" s="176"/>
    </row>
    <row r="1990" spans="4:27">
      <c r="D1990" s="315"/>
      <c r="E1990" s="316"/>
      <c r="H1990" s="256"/>
      <c r="J1990" s="256"/>
      <c r="W1990" s="317"/>
      <c r="Z1990" s="176"/>
      <c r="AA1990" s="176"/>
    </row>
    <row r="1991" spans="4:27">
      <c r="D1991" s="315"/>
      <c r="E1991" s="316"/>
      <c r="H1991" s="256"/>
      <c r="J1991" s="256"/>
      <c r="W1991" s="317"/>
      <c r="Z1991" s="176"/>
      <c r="AA1991" s="176"/>
    </row>
    <row r="1992" spans="4:27">
      <c r="D1992" s="315"/>
      <c r="E1992" s="316"/>
      <c r="H1992" s="256"/>
      <c r="J1992" s="256"/>
      <c r="W1992" s="317"/>
      <c r="Z1992" s="176"/>
      <c r="AA1992" s="176"/>
    </row>
    <row r="1993" spans="4:27">
      <c r="D1993" s="315"/>
      <c r="E1993" s="316"/>
      <c r="H1993" s="256"/>
      <c r="J1993" s="256"/>
      <c r="W1993" s="317"/>
      <c r="Z1993" s="176"/>
      <c r="AA1993" s="176"/>
    </row>
    <row r="1994" spans="4:27">
      <c r="D1994" s="315"/>
      <c r="E1994" s="316"/>
      <c r="H1994" s="256"/>
      <c r="J1994" s="256"/>
      <c r="W1994" s="317"/>
      <c r="Z1994" s="176"/>
      <c r="AA1994" s="176"/>
    </row>
    <row r="1995" spans="4:27">
      <c r="D1995" s="315"/>
      <c r="E1995" s="316"/>
      <c r="H1995" s="256"/>
      <c r="J1995" s="256"/>
      <c r="W1995" s="317"/>
      <c r="Z1995" s="176"/>
      <c r="AA1995" s="176"/>
    </row>
    <row r="1996" spans="4:27">
      <c r="D1996" s="315"/>
      <c r="E1996" s="316"/>
      <c r="H1996" s="256"/>
      <c r="J1996" s="256"/>
      <c r="W1996" s="317"/>
      <c r="Z1996" s="176"/>
      <c r="AA1996" s="176"/>
    </row>
    <row r="1997" spans="4:27">
      <c r="D1997" s="315"/>
      <c r="E1997" s="316"/>
      <c r="H1997" s="256"/>
      <c r="J1997" s="256"/>
      <c r="W1997" s="317"/>
      <c r="Z1997" s="176"/>
      <c r="AA1997" s="176"/>
    </row>
    <row r="1998" spans="4:27">
      <c r="D1998" s="315"/>
      <c r="E1998" s="316"/>
      <c r="H1998" s="256"/>
      <c r="J1998" s="256"/>
      <c r="W1998" s="317"/>
      <c r="Z1998" s="176"/>
      <c r="AA1998" s="176"/>
    </row>
    <row r="1999" spans="4:27">
      <c r="D1999" s="315"/>
      <c r="E1999" s="316"/>
      <c r="H1999" s="256"/>
      <c r="J1999" s="256"/>
      <c r="W1999" s="317"/>
      <c r="Z1999" s="176"/>
      <c r="AA1999" s="176"/>
    </row>
    <row r="2000" spans="4:27">
      <c r="D2000" s="315"/>
      <c r="E2000" s="316"/>
      <c r="H2000" s="256"/>
      <c r="J2000" s="256"/>
      <c r="W2000" s="317"/>
      <c r="Z2000" s="176"/>
      <c r="AA2000" s="176"/>
    </row>
    <row r="2001" spans="4:27">
      <c r="D2001" s="315"/>
      <c r="E2001" s="316"/>
      <c r="H2001" s="256"/>
      <c r="J2001" s="256"/>
      <c r="W2001" s="317"/>
      <c r="Z2001" s="176"/>
      <c r="AA2001" s="176"/>
    </row>
    <row r="2002" spans="4:27">
      <c r="D2002" s="315"/>
      <c r="E2002" s="316"/>
      <c r="H2002" s="256"/>
      <c r="J2002" s="256"/>
      <c r="W2002" s="317"/>
      <c r="Z2002" s="176"/>
      <c r="AA2002" s="176"/>
    </row>
    <row r="2003" spans="4:27">
      <c r="D2003" s="315"/>
      <c r="E2003" s="316"/>
      <c r="H2003" s="256"/>
      <c r="J2003" s="256"/>
      <c r="W2003" s="317"/>
      <c r="Z2003" s="176"/>
      <c r="AA2003" s="176"/>
    </row>
    <row r="2004" spans="4:27">
      <c r="D2004" s="315"/>
      <c r="E2004" s="316"/>
      <c r="H2004" s="256"/>
      <c r="J2004" s="256"/>
      <c r="W2004" s="317"/>
      <c r="Z2004" s="176"/>
      <c r="AA2004" s="176"/>
    </row>
    <row r="2005" spans="4:27">
      <c r="D2005" s="315"/>
      <c r="E2005" s="316"/>
      <c r="H2005" s="256"/>
      <c r="J2005" s="256"/>
      <c r="W2005" s="317"/>
      <c r="Z2005" s="176"/>
      <c r="AA2005" s="176"/>
    </row>
    <row r="2006" spans="4:27">
      <c r="D2006" s="315"/>
      <c r="E2006" s="316"/>
      <c r="H2006" s="256"/>
      <c r="J2006" s="256"/>
      <c r="W2006" s="317"/>
      <c r="Z2006" s="176"/>
      <c r="AA2006" s="176"/>
    </row>
    <row r="2007" spans="4:27">
      <c r="D2007" s="315"/>
      <c r="E2007" s="316"/>
      <c r="H2007" s="256"/>
      <c r="J2007" s="256"/>
      <c r="W2007" s="317"/>
      <c r="Z2007" s="176"/>
      <c r="AA2007" s="176"/>
    </row>
    <row r="2008" spans="4:27">
      <c r="D2008" s="315"/>
      <c r="E2008" s="316"/>
      <c r="H2008" s="256"/>
      <c r="J2008" s="256"/>
      <c r="W2008" s="317"/>
      <c r="Z2008" s="176"/>
      <c r="AA2008" s="176"/>
    </row>
    <row r="2009" spans="4:27">
      <c r="D2009" s="315"/>
      <c r="E2009" s="316"/>
      <c r="H2009" s="256"/>
      <c r="J2009" s="256"/>
      <c r="W2009" s="317"/>
      <c r="Z2009" s="176"/>
      <c r="AA2009" s="176"/>
    </row>
    <row r="2010" spans="4:27">
      <c r="D2010" s="315"/>
      <c r="E2010" s="316"/>
      <c r="H2010" s="256"/>
      <c r="J2010" s="256"/>
      <c r="W2010" s="317"/>
      <c r="Z2010" s="176"/>
      <c r="AA2010" s="176"/>
    </row>
    <row r="2011" spans="4:27">
      <c r="D2011" s="315"/>
      <c r="E2011" s="316"/>
      <c r="H2011" s="256"/>
      <c r="J2011" s="256"/>
      <c r="W2011" s="317"/>
      <c r="Z2011" s="176"/>
      <c r="AA2011" s="176"/>
    </row>
    <row r="2012" spans="4:27">
      <c r="D2012" s="315"/>
      <c r="E2012" s="316"/>
      <c r="H2012" s="256"/>
      <c r="J2012" s="256"/>
      <c r="W2012" s="317"/>
      <c r="Z2012" s="176"/>
      <c r="AA2012" s="176"/>
    </row>
    <row r="2013" spans="4:27">
      <c r="D2013" s="315"/>
      <c r="E2013" s="316"/>
      <c r="H2013" s="256"/>
      <c r="J2013" s="256"/>
      <c r="W2013" s="317"/>
      <c r="Z2013" s="176"/>
      <c r="AA2013" s="176"/>
    </row>
    <row r="2014" spans="4:27">
      <c r="D2014" s="315"/>
      <c r="E2014" s="316"/>
      <c r="H2014" s="256"/>
      <c r="J2014" s="256"/>
      <c r="W2014" s="317"/>
      <c r="Z2014" s="176"/>
      <c r="AA2014" s="176"/>
    </row>
    <row r="2015" spans="4:27">
      <c r="D2015" s="315"/>
      <c r="E2015" s="316"/>
      <c r="H2015" s="256"/>
      <c r="J2015" s="256"/>
      <c r="W2015" s="317"/>
      <c r="Z2015" s="176"/>
      <c r="AA2015" s="176"/>
    </row>
    <row r="2016" spans="4:27">
      <c r="D2016" s="315"/>
      <c r="E2016" s="316"/>
      <c r="H2016" s="256"/>
      <c r="J2016" s="256"/>
      <c r="W2016" s="317"/>
      <c r="Z2016" s="176"/>
      <c r="AA2016" s="176"/>
    </row>
    <row r="2017" spans="4:27">
      <c r="D2017" s="315"/>
      <c r="E2017" s="316"/>
      <c r="H2017" s="256"/>
      <c r="J2017" s="256"/>
      <c r="W2017" s="317"/>
      <c r="Z2017" s="176"/>
      <c r="AA2017" s="176"/>
    </row>
    <row r="2018" spans="4:27">
      <c r="D2018" s="315"/>
      <c r="E2018" s="316"/>
      <c r="H2018" s="256"/>
      <c r="J2018" s="256"/>
      <c r="W2018" s="317"/>
      <c r="Z2018" s="176"/>
      <c r="AA2018" s="176"/>
    </row>
    <row r="2019" spans="4:27">
      <c r="D2019" s="315"/>
      <c r="E2019" s="316"/>
      <c r="H2019" s="256"/>
      <c r="J2019" s="256"/>
      <c r="W2019" s="317"/>
      <c r="Z2019" s="176"/>
      <c r="AA2019" s="176"/>
    </row>
    <row r="2020" spans="4:27">
      <c r="D2020" s="315"/>
      <c r="E2020" s="316"/>
      <c r="H2020" s="256"/>
      <c r="J2020" s="256"/>
      <c r="W2020" s="317"/>
      <c r="Z2020" s="176"/>
      <c r="AA2020" s="176"/>
    </row>
    <row r="2021" spans="4:27">
      <c r="D2021" s="315"/>
      <c r="E2021" s="316"/>
      <c r="H2021" s="256"/>
      <c r="J2021" s="256"/>
      <c r="W2021" s="317"/>
      <c r="Z2021" s="176"/>
      <c r="AA2021" s="176"/>
    </row>
    <row r="2022" spans="4:27">
      <c r="D2022" s="315"/>
      <c r="E2022" s="316"/>
      <c r="H2022" s="256"/>
      <c r="J2022" s="256"/>
      <c r="W2022" s="317"/>
      <c r="Z2022" s="176"/>
      <c r="AA2022" s="176"/>
    </row>
    <row r="2023" spans="4:27">
      <c r="D2023" s="315"/>
      <c r="E2023" s="316"/>
      <c r="H2023" s="256"/>
      <c r="J2023" s="256"/>
      <c r="W2023" s="317"/>
      <c r="Z2023" s="176"/>
      <c r="AA2023" s="176"/>
    </row>
    <row r="2024" spans="4:27">
      <c r="D2024" s="315"/>
      <c r="E2024" s="316"/>
      <c r="H2024" s="256"/>
      <c r="J2024" s="256"/>
      <c r="W2024" s="317"/>
      <c r="Z2024" s="176"/>
      <c r="AA2024" s="176"/>
    </row>
    <row r="2025" spans="4:27">
      <c r="D2025" s="315"/>
      <c r="E2025" s="316"/>
      <c r="H2025" s="256"/>
      <c r="J2025" s="256"/>
      <c r="W2025" s="317"/>
      <c r="Z2025" s="176"/>
      <c r="AA2025" s="176"/>
    </row>
    <row r="2026" spans="4:27">
      <c r="D2026" s="315"/>
      <c r="E2026" s="316"/>
      <c r="H2026" s="256"/>
      <c r="J2026" s="256"/>
      <c r="W2026" s="317"/>
      <c r="Z2026" s="176"/>
      <c r="AA2026" s="176"/>
    </row>
    <row r="2027" spans="4:27">
      <c r="D2027" s="315"/>
      <c r="E2027" s="316"/>
      <c r="H2027" s="256"/>
      <c r="J2027" s="256"/>
      <c r="W2027" s="317"/>
      <c r="Z2027" s="176"/>
      <c r="AA2027" s="176"/>
    </row>
    <row r="2028" spans="4:27">
      <c r="D2028" s="315"/>
      <c r="E2028" s="316"/>
      <c r="H2028" s="256"/>
      <c r="J2028" s="256"/>
      <c r="W2028" s="317"/>
      <c r="Z2028" s="176"/>
      <c r="AA2028" s="176"/>
    </row>
    <row r="2029" spans="4:27">
      <c r="D2029" s="315"/>
      <c r="E2029" s="316"/>
      <c r="H2029" s="256"/>
      <c r="J2029" s="256"/>
      <c r="W2029" s="317"/>
      <c r="Z2029" s="176"/>
      <c r="AA2029" s="176"/>
    </row>
    <row r="2030" spans="4:27">
      <c r="D2030" s="315"/>
      <c r="E2030" s="316"/>
      <c r="H2030" s="256"/>
      <c r="J2030" s="256"/>
      <c r="W2030" s="317"/>
      <c r="Z2030" s="176"/>
      <c r="AA2030" s="176"/>
    </row>
    <row r="2031" spans="4:27">
      <c r="D2031" s="315"/>
      <c r="E2031" s="316"/>
      <c r="H2031" s="256"/>
      <c r="J2031" s="256"/>
      <c r="W2031" s="317"/>
      <c r="Z2031" s="176"/>
      <c r="AA2031" s="176"/>
    </row>
    <row r="2032" spans="4:27">
      <c r="D2032" s="315"/>
      <c r="E2032" s="316"/>
      <c r="H2032" s="256"/>
      <c r="J2032" s="256"/>
      <c r="W2032" s="317"/>
      <c r="Z2032" s="176"/>
      <c r="AA2032" s="176"/>
    </row>
    <row r="2033" spans="4:27">
      <c r="D2033" s="315"/>
      <c r="E2033" s="316"/>
      <c r="H2033" s="256"/>
      <c r="J2033" s="256"/>
      <c r="W2033" s="317"/>
      <c r="Z2033" s="176"/>
      <c r="AA2033" s="176"/>
    </row>
    <row r="2034" spans="4:27">
      <c r="D2034" s="315"/>
      <c r="E2034" s="316"/>
      <c r="H2034" s="256"/>
      <c r="J2034" s="256"/>
      <c r="W2034" s="317"/>
      <c r="Z2034" s="176"/>
      <c r="AA2034" s="176"/>
    </row>
    <row r="2035" spans="4:27">
      <c r="D2035" s="315"/>
      <c r="E2035" s="316"/>
      <c r="H2035" s="256"/>
      <c r="J2035" s="256"/>
      <c r="W2035" s="317"/>
      <c r="Z2035" s="176"/>
      <c r="AA2035" s="176"/>
    </row>
    <row r="2036" spans="4:27">
      <c r="D2036" s="315"/>
      <c r="E2036" s="316"/>
      <c r="H2036" s="256"/>
      <c r="J2036" s="256"/>
      <c r="W2036" s="317"/>
      <c r="Z2036" s="176"/>
      <c r="AA2036" s="176"/>
    </row>
    <row r="2037" spans="4:27">
      <c r="D2037" s="315"/>
      <c r="E2037" s="316"/>
      <c r="H2037" s="256"/>
      <c r="J2037" s="256"/>
      <c r="W2037" s="317"/>
      <c r="Z2037" s="176"/>
      <c r="AA2037" s="176"/>
    </row>
    <row r="2038" spans="4:27">
      <c r="D2038" s="315"/>
      <c r="E2038" s="316"/>
      <c r="H2038" s="256"/>
      <c r="J2038" s="256"/>
      <c r="W2038" s="317"/>
      <c r="Z2038" s="176"/>
      <c r="AA2038" s="176"/>
    </row>
    <row r="2039" spans="4:27">
      <c r="D2039" s="315"/>
      <c r="E2039" s="316"/>
      <c r="H2039" s="256"/>
      <c r="J2039" s="256"/>
      <c r="W2039" s="317"/>
      <c r="Z2039" s="176"/>
      <c r="AA2039" s="176"/>
    </row>
    <row r="2040" spans="4:27">
      <c r="D2040" s="315"/>
      <c r="E2040" s="316"/>
      <c r="H2040" s="256"/>
      <c r="J2040" s="256"/>
      <c r="W2040" s="317"/>
      <c r="Z2040" s="176"/>
      <c r="AA2040" s="176"/>
    </row>
    <row r="2041" spans="4:27">
      <c r="D2041" s="315"/>
      <c r="E2041" s="316"/>
      <c r="H2041" s="256"/>
      <c r="J2041" s="256"/>
      <c r="W2041" s="317"/>
      <c r="Z2041" s="176"/>
      <c r="AA2041" s="176"/>
    </row>
    <row r="2042" spans="4:27">
      <c r="D2042" s="315"/>
      <c r="E2042" s="316"/>
      <c r="H2042" s="256"/>
      <c r="J2042" s="256"/>
      <c r="W2042" s="317"/>
      <c r="Z2042" s="176"/>
      <c r="AA2042" s="176"/>
    </row>
    <row r="2043" spans="4:27">
      <c r="D2043" s="315"/>
      <c r="E2043" s="316"/>
      <c r="H2043" s="256"/>
      <c r="J2043" s="256"/>
      <c r="W2043" s="317"/>
      <c r="Z2043" s="176"/>
      <c r="AA2043" s="176"/>
    </row>
    <row r="2044" spans="4:27">
      <c r="D2044" s="315"/>
      <c r="E2044" s="316"/>
      <c r="H2044" s="256"/>
      <c r="J2044" s="256"/>
      <c r="W2044" s="317"/>
      <c r="Z2044" s="176"/>
      <c r="AA2044" s="176"/>
    </row>
    <row r="2045" spans="4:27">
      <c r="D2045" s="315"/>
      <c r="E2045" s="316"/>
      <c r="H2045" s="256"/>
      <c r="J2045" s="256"/>
      <c r="W2045" s="317"/>
      <c r="Z2045" s="176"/>
      <c r="AA2045" s="176"/>
    </row>
    <row r="2046" spans="4:27">
      <c r="D2046" s="315"/>
      <c r="E2046" s="316"/>
      <c r="H2046" s="256"/>
      <c r="J2046" s="256"/>
      <c r="W2046" s="317"/>
      <c r="Z2046" s="176"/>
      <c r="AA2046" s="176"/>
    </row>
    <row r="2047" spans="4:27">
      <c r="D2047" s="315"/>
      <c r="E2047" s="316"/>
      <c r="H2047" s="256"/>
      <c r="J2047" s="256"/>
      <c r="W2047" s="317"/>
      <c r="Z2047" s="176"/>
      <c r="AA2047" s="176"/>
    </row>
    <row r="2048" spans="4:27">
      <c r="D2048" s="315"/>
      <c r="E2048" s="316"/>
      <c r="H2048" s="256"/>
      <c r="J2048" s="256"/>
      <c r="W2048" s="317"/>
      <c r="Z2048" s="176"/>
      <c r="AA2048" s="176"/>
    </row>
    <row r="2049" spans="4:27">
      <c r="D2049" s="315"/>
      <c r="E2049" s="316"/>
      <c r="H2049" s="256"/>
      <c r="J2049" s="256"/>
      <c r="W2049" s="317"/>
      <c r="Z2049" s="176"/>
      <c r="AA2049" s="176"/>
    </row>
    <row r="2050" spans="4:27">
      <c r="D2050" s="315"/>
      <c r="E2050" s="316"/>
      <c r="H2050" s="256"/>
      <c r="J2050" s="256"/>
      <c r="W2050" s="317"/>
      <c r="Z2050" s="176"/>
      <c r="AA2050" s="176"/>
    </row>
    <row r="2051" spans="4:27">
      <c r="D2051" s="315"/>
      <c r="E2051" s="316"/>
      <c r="H2051" s="256"/>
      <c r="J2051" s="256"/>
      <c r="W2051" s="317"/>
      <c r="Z2051" s="176"/>
      <c r="AA2051" s="176"/>
    </row>
    <row r="2052" spans="4:27">
      <c r="D2052" s="315"/>
      <c r="E2052" s="316"/>
      <c r="H2052" s="256"/>
      <c r="J2052" s="256"/>
      <c r="W2052" s="317"/>
      <c r="Z2052" s="176"/>
      <c r="AA2052" s="176"/>
    </row>
    <row r="2053" spans="4:27">
      <c r="D2053" s="315"/>
      <c r="E2053" s="316"/>
      <c r="H2053" s="256"/>
      <c r="J2053" s="256"/>
      <c r="W2053" s="317"/>
      <c r="Z2053" s="176"/>
      <c r="AA2053" s="176"/>
    </row>
    <row r="2054" spans="4:27">
      <c r="D2054" s="315"/>
      <c r="E2054" s="316"/>
      <c r="H2054" s="256"/>
      <c r="J2054" s="256"/>
      <c r="W2054" s="317"/>
      <c r="Z2054" s="176"/>
      <c r="AA2054" s="176"/>
    </row>
    <row r="2055" spans="4:27">
      <c r="D2055" s="315"/>
      <c r="E2055" s="316"/>
      <c r="H2055" s="256"/>
      <c r="J2055" s="256"/>
      <c r="W2055" s="317"/>
      <c r="Z2055" s="176"/>
      <c r="AA2055" s="176"/>
    </row>
    <row r="2056" spans="4:27">
      <c r="D2056" s="315"/>
      <c r="E2056" s="316"/>
      <c r="H2056" s="256"/>
      <c r="J2056" s="256"/>
      <c r="W2056" s="317"/>
      <c r="Z2056" s="176"/>
      <c r="AA2056" s="176"/>
    </row>
    <row r="2057" spans="4:27">
      <c r="D2057" s="315"/>
      <c r="E2057" s="316"/>
      <c r="H2057" s="256"/>
      <c r="J2057" s="256"/>
      <c r="W2057" s="317"/>
      <c r="Z2057" s="176"/>
      <c r="AA2057" s="176"/>
    </row>
    <row r="2058" spans="4:27">
      <c r="D2058" s="315"/>
      <c r="E2058" s="316"/>
      <c r="H2058" s="256"/>
      <c r="J2058" s="256"/>
      <c r="W2058" s="317"/>
      <c r="Z2058" s="176"/>
      <c r="AA2058" s="176"/>
    </row>
    <row r="2059" spans="4:27">
      <c r="D2059" s="315"/>
      <c r="E2059" s="316"/>
      <c r="H2059" s="256"/>
      <c r="J2059" s="256"/>
      <c r="W2059" s="317"/>
      <c r="Z2059" s="176"/>
      <c r="AA2059" s="176"/>
    </row>
    <row r="2060" spans="4:27">
      <c r="D2060" s="315"/>
      <c r="E2060" s="316"/>
      <c r="H2060" s="256"/>
      <c r="J2060" s="256"/>
      <c r="W2060" s="317"/>
      <c r="Z2060" s="176"/>
      <c r="AA2060" s="176"/>
    </row>
    <row r="2061" spans="4:27">
      <c r="D2061" s="315"/>
      <c r="E2061" s="316"/>
      <c r="H2061" s="256"/>
      <c r="J2061" s="256"/>
      <c r="W2061" s="317"/>
      <c r="Z2061" s="176"/>
      <c r="AA2061" s="176"/>
    </row>
    <row r="2062" spans="4:27">
      <c r="D2062" s="315"/>
      <c r="E2062" s="316"/>
      <c r="H2062" s="256"/>
      <c r="J2062" s="256"/>
      <c r="W2062" s="317"/>
      <c r="Z2062" s="176"/>
      <c r="AA2062" s="176"/>
    </row>
    <row r="2063" spans="4:27">
      <c r="D2063" s="315"/>
      <c r="E2063" s="316"/>
      <c r="H2063" s="256"/>
      <c r="J2063" s="256"/>
      <c r="W2063" s="317"/>
      <c r="Z2063" s="176"/>
      <c r="AA2063" s="176"/>
    </row>
    <row r="2064" spans="4:27">
      <c r="D2064" s="315"/>
      <c r="E2064" s="316"/>
      <c r="H2064" s="256"/>
      <c r="J2064" s="256"/>
      <c r="W2064" s="317"/>
      <c r="Z2064" s="176"/>
      <c r="AA2064" s="176"/>
    </row>
    <row r="2065" spans="4:27">
      <c r="D2065" s="315"/>
      <c r="E2065" s="316"/>
      <c r="H2065" s="256"/>
      <c r="J2065" s="256"/>
      <c r="W2065" s="317"/>
      <c r="Z2065" s="176"/>
      <c r="AA2065" s="176"/>
    </row>
    <row r="2066" spans="4:27">
      <c r="D2066" s="315"/>
      <c r="E2066" s="316"/>
      <c r="H2066" s="256"/>
      <c r="J2066" s="256"/>
      <c r="W2066" s="317"/>
      <c r="Z2066" s="176"/>
      <c r="AA2066" s="176"/>
    </row>
    <row r="2067" spans="4:27">
      <c r="D2067" s="315"/>
      <c r="E2067" s="316"/>
      <c r="H2067" s="256"/>
      <c r="J2067" s="256"/>
      <c r="W2067" s="317"/>
      <c r="Z2067" s="176"/>
      <c r="AA2067" s="176"/>
    </row>
    <row r="2068" spans="4:27">
      <c r="D2068" s="315"/>
      <c r="E2068" s="316"/>
      <c r="H2068" s="256"/>
      <c r="J2068" s="256"/>
      <c r="W2068" s="317"/>
      <c r="Z2068" s="176"/>
      <c r="AA2068" s="176"/>
    </row>
    <row r="2069" spans="4:27">
      <c r="D2069" s="315"/>
      <c r="E2069" s="316"/>
      <c r="H2069" s="256"/>
      <c r="J2069" s="256"/>
      <c r="W2069" s="317"/>
      <c r="Z2069" s="176"/>
      <c r="AA2069" s="176"/>
    </row>
    <row r="2070" spans="4:27">
      <c r="D2070" s="315"/>
      <c r="E2070" s="316"/>
      <c r="H2070" s="256"/>
      <c r="J2070" s="256"/>
      <c r="W2070" s="317"/>
      <c r="Z2070" s="176"/>
      <c r="AA2070" s="176"/>
    </row>
    <row r="2071" spans="4:27">
      <c r="D2071" s="315"/>
      <c r="E2071" s="316"/>
      <c r="H2071" s="256"/>
      <c r="J2071" s="256"/>
      <c r="W2071" s="317"/>
      <c r="Z2071" s="176"/>
      <c r="AA2071" s="176"/>
    </row>
    <row r="2072" spans="4:27">
      <c r="D2072" s="315"/>
      <c r="E2072" s="316"/>
      <c r="H2072" s="256"/>
      <c r="J2072" s="256"/>
      <c r="W2072" s="317"/>
      <c r="Z2072" s="176"/>
      <c r="AA2072" s="176"/>
    </row>
    <row r="2073" spans="4:27">
      <c r="D2073" s="315"/>
      <c r="E2073" s="316"/>
      <c r="H2073" s="256"/>
      <c r="J2073" s="256"/>
      <c r="W2073" s="317"/>
      <c r="Z2073" s="176"/>
      <c r="AA2073" s="176"/>
    </row>
    <row r="2074" spans="4:27">
      <c r="D2074" s="315"/>
      <c r="E2074" s="316"/>
      <c r="H2074" s="256"/>
      <c r="J2074" s="256"/>
      <c r="W2074" s="317"/>
      <c r="Z2074" s="176"/>
      <c r="AA2074" s="176"/>
    </row>
    <row r="2075" spans="4:27">
      <c r="D2075" s="315"/>
      <c r="E2075" s="316"/>
      <c r="H2075" s="256"/>
      <c r="J2075" s="256"/>
      <c r="W2075" s="317"/>
      <c r="Z2075" s="176"/>
      <c r="AA2075" s="176"/>
    </row>
    <row r="2076" spans="4:27">
      <c r="D2076" s="315"/>
      <c r="E2076" s="316"/>
      <c r="H2076" s="256"/>
      <c r="J2076" s="256"/>
      <c r="W2076" s="317"/>
      <c r="Z2076" s="176"/>
      <c r="AA2076" s="176"/>
    </row>
    <row r="2077" spans="4:27">
      <c r="D2077" s="315"/>
      <c r="E2077" s="316"/>
      <c r="H2077" s="256"/>
      <c r="J2077" s="256"/>
      <c r="W2077" s="317"/>
      <c r="Z2077" s="176"/>
      <c r="AA2077" s="176"/>
    </row>
    <row r="2078" spans="4:27">
      <c r="D2078" s="315"/>
      <c r="E2078" s="316"/>
      <c r="H2078" s="256"/>
      <c r="J2078" s="256"/>
      <c r="W2078" s="317"/>
      <c r="Z2078" s="176"/>
      <c r="AA2078" s="176"/>
    </row>
    <row r="2079" spans="4:27">
      <c r="D2079" s="315"/>
      <c r="E2079" s="316"/>
      <c r="H2079" s="256"/>
      <c r="J2079" s="256"/>
      <c r="W2079" s="317"/>
      <c r="Z2079" s="176"/>
      <c r="AA2079" s="176"/>
    </row>
    <row r="2080" spans="4:27">
      <c r="D2080" s="315"/>
      <c r="E2080" s="316"/>
      <c r="H2080" s="256"/>
      <c r="J2080" s="256"/>
      <c r="W2080" s="317"/>
      <c r="Z2080" s="176"/>
      <c r="AA2080" s="176"/>
    </row>
    <row r="2081" spans="4:27">
      <c r="D2081" s="315"/>
      <c r="E2081" s="316"/>
      <c r="H2081" s="256"/>
      <c r="J2081" s="256"/>
      <c r="W2081" s="317"/>
      <c r="Z2081" s="176"/>
      <c r="AA2081" s="176"/>
    </row>
    <row r="2082" spans="4:27">
      <c r="D2082" s="315"/>
      <c r="E2082" s="316"/>
      <c r="H2082" s="256"/>
      <c r="J2082" s="256"/>
      <c r="W2082" s="317"/>
      <c r="Z2082" s="176"/>
      <c r="AA2082" s="176"/>
    </row>
    <row r="2083" spans="4:27">
      <c r="D2083" s="315"/>
      <c r="E2083" s="316"/>
      <c r="H2083" s="256"/>
      <c r="J2083" s="256"/>
      <c r="W2083" s="317"/>
      <c r="Z2083" s="176"/>
      <c r="AA2083" s="176"/>
    </row>
    <row r="2084" spans="4:27">
      <c r="D2084" s="315"/>
      <c r="E2084" s="316"/>
      <c r="H2084" s="256"/>
      <c r="J2084" s="256"/>
      <c r="W2084" s="317"/>
      <c r="Z2084" s="176"/>
      <c r="AA2084" s="176"/>
    </row>
    <row r="2085" spans="4:27">
      <c r="D2085" s="315"/>
      <c r="E2085" s="316"/>
      <c r="H2085" s="256"/>
      <c r="J2085" s="256"/>
      <c r="W2085" s="317"/>
      <c r="Z2085" s="176"/>
      <c r="AA2085" s="176"/>
    </row>
    <row r="2086" spans="4:27">
      <c r="D2086" s="315"/>
      <c r="E2086" s="316"/>
      <c r="H2086" s="256"/>
      <c r="J2086" s="256"/>
      <c r="W2086" s="317"/>
      <c r="Z2086" s="176"/>
      <c r="AA2086" s="176"/>
    </row>
    <row r="2087" spans="4:27">
      <c r="D2087" s="315"/>
      <c r="E2087" s="316"/>
      <c r="H2087" s="256"/>
      <c r="J2087" s="256"/>
      <c r="W2087" s="317"/>
      <c r="Z2087" s="176"/>
      <c r="AA2087" s="176"/>
    </row>
    <row r="2088" spans="4:27">
      <c r="D2088" s="315"/>
      <c r="E2088" s="316"/>
      <c r="H2088" s="256"/>
      <c r="J2088" s="256"/>
      <c r="W2088" s="317"/>
      <c r="Z2088" s="176"/>
      <c r="AA2088" s="176"/>
    </row>
    <row r="2089" spans="4:27">
      <c r="D2089" s="315"/>
      <c r="E2089" s="316"/>
      <c r="H2089" s="256"/>
      <c r="J2089" s="256"/>
      <c r="W2089" s="317"/>
      <c r="Z2089" s="176"/>
      <c r="AA2089" s="176"/>
    </row>
    <row r="2090" spans="4:27">
      <c r="D2090" s="315"/>
      <c r="E2090" s="316"/>
      <c r="H2090" s="256"/>
      <c r="J2090" s="256"/>
      <c r="W2090" s="317"/>
      <c r="Z2090" s="176"/>
      <c r="AA2090" s="176"/>
    </row>
    <row r="2091" spans="4:27">
      <c r="D2091" s="315"/>
      <c r="E2091" s="316"/>
      <c r="H2091" s="256"/>
      <c r="J2091" s="256"/>
      <c r="W2091" s="317"/>
      <c r="Z2091" s="176"/>
      <c r="AA2091" s="176"/>
    </row>
    <row r="2092" spans="4:27">
      <c r="D2092" s="315"/>
      <c r="E2092" s="316"/>
      <c r="H2092" s="256"/>
      <c r="J2092" s="256"/>
      <c r="W2092" s="317"/>
      <c r="Z2092" s="176"/>
      <c r="AA2092" s="176"/>
    </row>
    <row r="2093" spans="4:27">
      <c r="D2093" s="315"/>
      <c r="E2093" s="316"/>
      <c r="H2093" s="256"/>
      <c r="J2093" s="256"/>
      <c r="W2093" s="317"/>
      <c r="Z2093" s="176"/>
      <c r="AA2093" s="176"/>
    </row>
    <row r="2094" spans="4:27">
      <c r="D2094" s="315"/>
      <c r="E2094" s="316"/>
      <c r="H2094" s="256"/>
      <c r="J2094" s="256"/>
      <c r="W2094" s="317"/>
      <c r="Z2094" s="176"/>
      <c r="AA2094" s="176"/>
    </row>
    <row r="2095" spans="4:27">
      <c r="D2095" s="315"/>
      <c r="E2095" s="316"/>
      <c r="H2095" s="256"/>
      <c r="J2095" s="256"/>
      <c r="W2095" s="317"/>
      <c r="Z2095" s="176"/>
      <c r="AA2095" s="176"/>
    </row>
    <row r="2096" spans="4:27">
      <c r="D2096" s="315"/>
      <c r="E2096" s="316"/>
      <c r="H2096" s="256"/>
      <c r="J2096" s="256"/>
      <c r="W2096" s="317"/>
      <c r="Z2096" s="176"/>
      <c r="AA2096" s="176"/>
    </row>
    <row r="2097" spans="4:27">
      <c r="D2097" s="315"/>
      <c r="E2097" s="316"/>
      <c r="H2097" s="256"/>
      <c r="J2097" s="256"/>
      <c r="W2097" s="317"/>
      <c r="Z2097" s="176"/>
      <c r="AA2097" s="176"/>
    </row>
    <row r="2098" spans="4:27">
      <c r="D2098" s="315"/>
      <c r="E2098" s="316"/>
      <c r="H2098" s="256"/>
      <c r="J2098" s="256"/>
      <c r="W2098" s="317"/>
      <c r="Z2098" s="176"/>
      <c r="AA2098" s="176"/>
    </row>
    <row r="2099" spans="4:27">
      <c r="D2099" s="315"/>
      <c r="E2099" s="316"/>
      <c r="H2099" s="256"/>
      <c r="J2099" s="256"/>
      <c r="W2099" s="317"/>
      <c r="Z2099" s="176"/>
      <c r="AA2099" s="176"/>
    </row>
    <row r="2100" spans="4:27">
      <c r="D2100" s="315"/>
      <c r="E2100" s="316"/>
      <c r="H2100" s="256"/>
      <c r="J2100" s="256"/>
      <c r="W2100" s="317"/>
      <c r="Z2100" s="176"/>
      <c r="AA2100" s="176"/>
    </row>
    <row r="2101" spans="4:27">
      <c r="D2101" s="315"/>
      <c r="E2101" s="316"/>
      <c r="H2101" s="256"/>
      <c r="J2101" s="256"/>
      <c r="W2101" s="317"/>
      <c r="Z2101" s="176"/>
      <c r="AA2101" s="176"/>
    </row>
    <row r="2102" spans="4:27">
      <c r="D2102" s="315"/>
      <c r="E2102" s="316"/>
      <c r="H2102" s="256"/>
      <c r="J2102" s="256"/>
      <c r="W2102" s="317"/>
      <c r="Z2102" s="176"/>
      <c r="AA2102" s="176"/>
    </row>
    <row r="2103" spans="4:27">
      <c r="D2103" s="315"/>
      <c r="E2103" s="316"/>
      <c r="H2103" s="256"/>
      <c r="J2103" s="256"/>
      <c r="W2103" s="317"/>
      <c r="Z2103" s="176"/>
      <c r="AA2103" s="176"/>
    </row>
    <row r="2104" spans="4:27">
      <c r="D2104" s="315"/>
      <c r="E2104" s="316"/>
      <c r="H2104" s="256"/>
      <c r="J2104" s="256"/>
      <c r="W2104" s="317"/>
      <c r="Z2104" s="176"/>
      <c r="AA2104" s="176"/>
    </row>
    <row r="2105" spans="4:27">
      <c r="D2105" s="315"/>
      <c r="E2105" s="316"/>
      <c r="H2105" s="256"/>
      <c r="J2105" s="256"/>
      <c r="W2105" s="317"/>
      <c r="Z2105" s="176"/>
      <c r="AA2105" s="176"/>
    </row>
    <row r="2106" spans="4:27">
      <c r="D2106" s="315"/>
      <c r="E2106" s="316"/>
      <c r="H2106" s="256"/>
      <c r="J2106" s="256"/>
      <c r="W2106" s="317"/>
      <c r="Z2106" s="176"/>
      <c r="AA2106" s="176"/>
    </row>
    <row r="2107" spans="4:27">
      <c r="D2107" s="315"/>
      <c r="E2107" s="316"/>
      <c r="H2107" s="256"/>
      <c r="J2107" s="256"/>
      <c r="W2107" s="317"/>
      <c r="Z2107" s="176"/>
      <c r="AA2107" s="176"/>
    </row>
    <row r="2108" spans="4:27">
      <c r="D2108" s="315"/>
      <c r="E2108" s="316"/>
      <c r="H2108" s="256"/>
      <c r="J2108" s="256"/>
      <c r="W2108" s="317"/>
      <c r="Z2108" s="176"/>
      <c r="AA2108" s="176"/>
    </row>
    <row r="2109" spans="4:27">
      <c r="D2109" s="315"/>
      <c r="E2109" s="316"/>
      <c r="H2109" s="256"/>
      <c r="J2109" s="256"/>
      <c r="W2109" s="317"/>
      <c r="Z2109" s="176"/>
      <c r="AA2109" s="176"/>
    </row>
    <row r="2110" spans="4:27">
      <c r="D2110" s="315"/>
      <c r="E2110" s="316"/>
      <c r="H2110" s="256"/>
      <c r="J2110" s="256"/>
      <c r="W2110" s="317"/>
      <c r="Z2110" s="176"/>
      <c r="AA2110" s="176"/>
    </row>
    <row r="2111" spans="4:27">
      <c r="D2111" s="315"/>
      <c r="E2111" s="316"/>
      <c r="H2111" s="256"/>
      <c r="J2111" s="256"/>
      <c r="W2111" s="317"/>
      <c r="Z2111" s="176"/>
      <c r="AA2111" s="176"/>
    </row>
    <row r="2112" spans="4:27">
      <c r="D2112" s="315"/>
      <c r="E2112" s="316"/>
      <c r="H2112" s="256"/>
      <c r="J2112" s="256"/>
      <c r="W2112" s="317"/>
      <c r="Z2112" s="176"/>
      <c r="AA2112" s="176"/>
    </row>
    <row r="2113" spans="4:27">
      <c r="D2113" s="315"/>
      <c r="E2113" s="316"/>
      <c r="H2113" s="256"/>
      <c r="J2113" s="256"/>
      <c r="W2113" s="317"/>
      <c r="Z2113" s="176"/>
      <c r="AA2113" s="176"/>
    </row>
    <row r="2114" spans="4:27">
      <c r="D2114" s="315"/>
      <c r="E2114" s="316"/>
      <c r="H2114" s="256"/>
      <c r="J2114" s="256"/>
      <c r="W2114" s="317"/>
      <c r="Z2114" s="176"/>
      <c r="AA2114" s="176"/>
    </row>
    <row r="2115" spans="4:27">
      <c r="D2115" s="315"/>
      <c r="E2115" s="316"/>
      <c r="H2115" s="256"/>
      <c r="J2115" s="256"/>
      <c r="W2115" s="317"/>
      <c r="Z2115" s="176"/>
      <c r="AA2115" s="176"/>
    </row>
    <row r="2116" spans="4:27">
      <c r="D2116" s="315"/>
      <c r="E2116" s="316"/>
      <c r="H2116" s="256"/>
      <c r="J2116" s="256"/>
      <c r="W2116" s="317"/>
      <c r="Z2116" s="176"/>
      <c r="AA2116" s="176"/>
    </row>
    <row r="2117" spans="4:27">
      <c r="D2117" s="315"/>
      <c r="E2117" s="316"/>
      <c r="H2117" s="256"/>
      <c r="J2117" s="256"/>
      <c r="W2117" s="317"/>
      <c r="Z2117" s="176"/>
      <c r="AA2117" s="176"/>
    </row>
    <row r="2118" spans="4:27">
      <c r="D2118" s="315"/>
      <c r="E2118" s="316"/>
      <c r="H2118" s="256"/>
      <c r="J2118" s="256"/>
      <c r="W2118" s="317"/>
      <c r="Z2118" s="176"/>
      <c r="AA2118" s="176"/>
    </row>
    <row r="2119" spans="4:27">
      <c r="D2119" s="315"/>
      <c r="E2119" s="316"/>
      <c r="H2119" s="256"/>
      <c r="J2119" s="256"/>
      <c r="W2119" s="317"/>
      <c r="Z2119" s="176"/>
      <c r="AA2119" s="176"/>
    </row>
    <row r="2120" spans="4:27">
      <c r="D2120" s="315"/>
      <c r="E2120" s="316"/>
      <c r="H2120" s="256"/>
      <c r="J2120" s="256"/>
      <c r="W2120" s="317"/>
      <c r="Z2120" s="176"/>
      <c r="AA2120" s="176"/>
    </row>
    <row r="2121" spans="4:27">
      <c r="D2121" s="315"/>
      <c r="E2121" s="316"/>
      <c r="H2121" s="256"/>
      <c r="J2121" s="256"/>
      <c r="W2121" s="317"/>
      <c r="Z2121" s="176"/>
      <c r="AA2121" s="176"/>
    </row>
    <row r="2122" spans="4:27">
      <c r="D2122" s="315"/>
      <c r="E2122" s="316"/>
      <c r="H2122" s="256"/>
      <c r="J2122" s="256"/>
      <c r="W2122" s="317"/>
      <c r="Z2122" s="176"/>
      <c r="AA2122" s="176"/>
    </row>
    <row r="2123" spans="4:27">
      <c r="D2123" s="315"/>
      <c r="E2123" s="316"/>
      <c r="H2123" s="256"/>
      <c r="J2123" s="256"/>
      <c r="W2123" s="317"/>
      <c r="Z2123" s="176"/>
      <c r="AA2123" s="176"/>
    </row>
    <row r="2124" spans="4:27">
      <c r="D2124" s="315"/>
      <c r="E2124" s="316"/>
      <c r="H2124" s="256"/>
      <c r="J2124" s="256"/>
      <c r="W2124" s="317"/>
      <c r="Z2124" s="176"/>
      <c r="AA2124" s="176"/>
    </row>
    <row r="2125" spans="4:27">
      <c r="D2125" s="315"/>
      <c r="E2125" s="316"/>
      <c r="H2125" s="256"/>
      <c r="J2125" s="256"/>
      <c r="W2125" s="317"/>
      <c r="Z2125" s="176"/>
      <c r="AA2125" s="176"/>
    </row>
    <row r="2126" spans="4:27">
      <c r="D2126" s="315"/>
      <c r="E2126" s="316"/>
      <c r="H2126" s="256"/>
      <c r="J2126" s="256"/>
      <c r="W2126" s="317"/>
      <c r="Z2126" s="176"/>
      <c r="AA2126" s="176"/>
    </row>
    <row r="2127" spans="4:27">
      <c r="D2127" s="315"/>
      <c r="E2127" s="316"/>
      <c r="H2127" s="256"/>
      <c r="J2127" s="256"/>
      <c r="W2127" s="317"/>
      <c r="Z2127" s="176"/>
      <c r="AA2127" s="176"/>
    </row>
    <row r="2128" spans="4:27">
      <c r="D2128" s="315"/>
      <c r="E2128" s="316"/>
      <c r="H2128" s="256"/>
      <c r="J2128" s="256"/>
      <c r="W2128" s="317"/>
      <c r="Z2128" s="176"/>
      <c r="AA2128" s="176"/>
    </row>
    <row r="2129" spans="4:27">
      <c r="D2129" s="315"/>
      <c r="E2129" s="316"/>
      <c r="H2129" s="256"/>
      <c r="J2129" s="256"/>
      <c r="W2129" s="317"/>
      <c r="Z2129" s="176"/>
      <c r="AA2129" s="176"/>
    </row>
    <row r="2130" spans="4:27">
      <c r="D2130" s="315"/>
      <c r="E2130" s="316"/>
      <c r="H2130" s="256"/>
      <c r="J2130" s="256"/>
      <c r="W2130" s="317"/>
      <c r="Z2130" s="176"/>
      <c r="AA2130" s="176"/>
    </row>
    <row r="2131" spans="4:27">
      <c r="D2131" s="315"/>
      <c r="E2131" s="316"/>
      <c r="H2131" s="256"/>
      <c r="J2131" s="256"/>
      <c r="W2131" s="317"/>
      <c r="Z2131" s="176"/>
      <c r="AA2131" s="176"/>
    </row>
    <row r="2132" spans="4:27">
      <c r="D2132" s="315"/>
      <c r="E2132" s="316"/>
      <c r="H2132" s="256"/>
      <c r="J2132" s="256"/>
      <c r="W2132" s="317"/>
      <c r="Z2132" s="176"/>
      <c r="AA2132" s="176"/>
    </row>
    <row r="2133" spans="4:27">
      <c r="D2133" s="315"/>
      <c r="E2133" s="316"/>
      <c r="H2133" s="256"/>
      <c r="J2133" s="256"/>
      <c r="W2133" s="317"/>
      <c r="Z2133" s="176"/>
      <c r="AA2133" s="176"/>
    </row>
    <row r="2134" spans="4:27">
      <c r="D2134" s="315"/>
      <c r="E2134" s="316"/>
      <c r="H2134" s="256"/>
      <c r="J2134" s="256"/>
      <c r="W2134" s="317"/>
      <c r="Z2134" s="176"/>
      <c r="AA2134" s="176"/>
    </row>
    <row r="2135" spans="4:27">
      <c r="D2135" s="315"/>
      <c r="E2135" s="316"/>
      <c r="H2135" s="256"/>
      <c r="J2135" s="256"/>
      <c r="W2135" s="317"/>
      <c r="Z2135" s="176"/>
      <c r="AA2135" s="176"/>
    </row>
    <row r="2136" spans="4:27">
      <c r="D2136" s="315"/>
      <c r="E2136" s="316"/>
      <c r="H2136" s="256"/>
      <c r="J2136" s="256"/>
      <c r="W2136" s="317"/>
      <c r="Z2136" s="176"/>
      <c r="AA2136" s="176"/>
    </row>
    <row r="2137" spans="4:27">
      <c r="D2137" s="315"/>
      <c r="E2137" s="316"/>
      <c r="H2137" s="256"/>
      <c r="J2137" s="256"/>
      <c r="W2137" s="317"/>
      <c r="Z2137" s="176"/>
      <c r="AA2137" s="176"/>
    </row>
    <row r="2138" spans="4:27">
      <c r="D2138" s="315"/>
      <c r="E2138" s="316"/>
      <c r="H2138" s="256"/>
      <c r="J2138" s="256"/>
      <c r="W2138" s="317"/>
      <c r="Z2138" s="176"/>
      <c r="AA2138" s="176"/>
    </row>
    <row r="2139" spans="4:27">
      <c r="D2139" s="315"/>
      <c r="E2139" s="316"/>
      <c r="H2139" s="256"/>
      <c r="J2139" s="256"/>
      <c r="W2139" s="317"/>
      <c r="Z2139" s="176"/>
      <c r="AA2139" s="176"/>
    </row>
    <row r="2140" spans="4:27">
      <c r="D2140" s="315"/>
      <c r="E2140" s="316"/>
      <c r="H2140" s="256"/>
      <c r="J2140" s="256"/>
      <c r="W2140" s="317"/>
      <c r="Z2140" s="176"/>
      <c r="AA2140" s="176"/>
    </row>
    <row r="2141" spans="4:27">
      <c r="D2141" s="315"/>
      <c r="E2141" s="316"/>
      <c r="H2141" s="256"/>
      <c r="J2141" s="256"/>
      <c r="W2141" s="317"/>
      <c r="Z2141" s="176"/>
      <c r="AA2141" s="176"/>
    </row>
    <row r="2142" spans="4:27">
      <c r="D2142" s="315"/>
      <c r="E2142" s="316"/>
      <c r="H2142" s="256"/>
      <c r="J2142" s="256"/>
      <c r="W2142" s="317"/>
      <c r="Z2142" s="176"/>
      <c r="AA2142" s="176"/>
    </row>
    <row r="2143" spans="4:27">
      <c r="D2143" s="315"/>
      <c r="E2143" s="316"/>
      <c r="H2143" s="256"/>
      <c r="J2143" s="256"/>
      <c r="W2143" s="317"/>
      <c r="Z2143" s="176"/>
      <c r="AA2143" s="176"/>
    </row>
    <row r="2144" spans="4:27">
      <c r="D2144" s="315"/>
      <c r="E2144" s="316"/>
      <c r="H2144" s="256"/>
      <c r="J2144" s="256"/>
      <c r="W2144" s="317"/>
      <c r="Z2144" s="176"/>
      <c r="AA2144" s="176"/>
    </row>
    <row r="2145" spans="4:27">
      <c r="D2145" s="315"/>
      <c r="E2145" s="316"/>
      <c r="H2145" s="256"/>
      <c r="J2145" s="256"/>
      <c r="W2145" s="317"/>
      <c r="Z2145" s="176"/>
      <c r="AA2145" s="176"/>
    </row>
    <row r="2146" spans="4:27">
      <c r="D2146" s="315"/>
      <c r="E2146" s="316"/>
      <c r="H2146" s="256"/>
      <c r="J2146" s="256"/>
      <c r="W2146" s="317"/>
      <c r="Z2146" s="176"/>
      <c r="AA2146" s="176"/>
    </row>
    <row r="2147" spans="4:27">
      <c r="D2147" s="315"/>
      <c r="E2147" s="316"/>
      <c r="H2147" s="256"/>
      <c r="J2147" s="256"/>
      <c r="W2147" s="317"/>
      <c r="Z2147" s="176"/>
      <c r="AA2147" s="176"/>
    </row>
    <row r="2148" spans="4:27">
      <c r="D2148" s="315"/>
      <c r="E2148" s="316"/>
      <c r="H2148" s="256"/>
      <c r="J2148" s="256"/>
      <c r="W2148" s="317"/>
      <c r="Z2148" s="176"/>
      <c r="AA2148" s="176"/>
    </row>
    <row r="2149" spans="4:27">
      <c r="D2149" s="315"/>
      <c r="E2149" s="316"/>
      <c r="H2149" s="256"/>
      <c r="J2149" s="256"/>
      <c r="W2149" s="317"/>
      <c r="Z2149" s="176"/>
      <c r="AA2149" s="176"/>
    </row>
    <row r="2150" spans="4:27">
      <c r="D2150" s="315"/>
      <c r="E2150" s="316"/>
      <c r="H2150" s="256"/>
      <c r="J2150" s="256"/>
      <c r="W2150" s="317"/>
      <c r="Z2150" s="176"/>
      <c r="AA2150" s="176"/>
    </row>
    <row r="2151" spans="4:27">
      <c r="D2151" s="315"/>
      <c r="E2151" s="316"/>
      <c r="H2151" s="256"/>
      <c r="J2151" s="256"/>
      <c r="W2151" s="317"/>
      <c r="Z2151" s="176"/>
      <c r="AA2151" s="176"/>
    </row>
    <row r="2152" spans="4:27">
      <c r="D2152" s="315"/>
      <c r="E2152" s="316"/>
      <c r="H2152" s="256"/>
      <c r="J2152" s="256"/>
      <c r="W2152" s="317"/>
      <c r="Z2152" s="176"/>
      <c r="AA2152" s="176"/>
    </row>
    <row r="2153" spans="4:27">
      <c r="D2153" s="315"/>
      <c r="E2153" s="316"/>
      <c r="H2153" s="256"/>
      <c r="J2153" s="256"/>
      <c r="W2153" s="317"/>
      <c r="Z2153" s="176"/>
      <c r="AA2153" s="176"/>
    </row>
    <row r="2154" spans="4:27">
      <c r="D2154" s="315"/>
      <c r="E2154" s="316"/>
      <c r="H2154" s="256"/>
      <c r="J2154" s="256"/>
      <c r="W2154" s="317"/>
      <c r="Z2154" s="176"/>
      <c r="AA2154" s="176"/>
    </row>
    <row r="2155" spans="4:27">
      <c r="D2155" s="315"/>
      <c r="E2155" s="316"/>
      <c r="H2155" s="256"/>
      <c r="J2155" s="256"/>
      <c r="W2155" s="317"/>
      <c r="Z2155" s="176"/>
      <c r="AA2155" s="176"/>
    </row>
    <row r="2156" spans="4:27">
      <c r="D2156" s="315"/>
      <c r="E2156" s="316"/>
      <c r="H2156" s="256"/>
      <c r="J2156" s="256"/>
      <c r="W2156" s="317"/>
      <c r="Z2156" s="176"/>
      <c r="AA2156" s="176"/>
    </row>
    <row r="2157" spans="4:27">
      <c r="D2157" s="315"/>
      <c r="E2157" s="316"/>
      <c r="H2157" s="256"/>
      <c r="J2157" s="256"/>
      <c r="W2157" s="317"/>
      <c r="Z2157" s="176"/>
      <c r="AA2157" s="176"/>
    </row>
    <row r="2158" spans="4:27">
      <c r="D2158" s="315"/>
      <c r="E2158" s="316"/>
      <c r="H2158" s="256"/>
      <c r="J2158" s="256"/>
      <c r="W2158" s="317"/>
      <c r="Z2158" s="176"/>
      <c r="AA2158" s="176"/>
    </row>
    <row r="2159" spans="4:27">
      <c r="D2159" s="315"/>
      <c r="E2159" s="316"/>
      <c r="H2159" s="256"/>
      <c r="J2159" s="256"/>
      <c r="W2159" s="317"/>
      <c r="Z2159" s="176"/>
      <c r="AA2159" s="176"/>
    </row>
    <row r="2160" spans="4:27">
      <c r="D2160" s="315"/>
      <c r="E2160" s="316"/>
      <c r="H2160" s="256"/>
      <c r="J2160" s="256"/>
      <c r="W2160" s="317"/>
      <c r="Z2160" s="176"/>
      <c r="AA2160" s="176"/>
    </row>
    <row r="2161" spans="4:27">
      <c r="D2161" s="315"/>
      <c r="E2161" s="316"/>
      <c r="H2161" s="256"/>
      <c r="J2161" s="256"/>
      <c r="W2161" s="317"/>
      <c r="Z2161" s="176"/>
      <c r="AA2161" s="176"/>
    </row>
    <row r="2162" spans="4:27">
      <c r="D2162" s="315"/>
      <c r="E2162" s="316"/>
      <c r="H2162" s="256"/>
      <c r="J2162" s="256"/>
      <c r="W2162" s="317"/>
      <c r="Z2162" s="176"/>
      <c r="AA2162" s="176"/>
    </row>
    <row r="2163" spans="4:27">
      <c r="D2163" s="315"/>
      <c r="E2163" s="316"/>
      <c r="H2163" s="256"/>
      <c r="J2163" s="256"/>
      <c r="W2163" s="317"/>
      <c r="Z2163" s="176"/>
      <c r="AA2163" s="176"/>
    </row>
    <row r="2164" spans="4:27">
      <c r="D2164" s="315"/>
      <c r="E2164" s="316"/>
      <c r="H2164" s="256"/>
      <c r="J2164" s="256"/>
      <c r="W2164" s="317"/>
      <c r="Z2164" s="176"/>
      <c r="AA2164" s="176"/>
    </row>
    <row r="2165" spans="4:27">
      <c r="D2165" s="315"/>
      <c r="E2165" s="316"/>
      <c r="H2165" s="256"/>
      <c r="J2165" s="256"/>
      <c r="W2165" s="317"/>
      <c r="Z2165" s="176"/>
      <c r="AA2165" s="176"/>
    </row>
    <row r="2166" spans="4:27">
      <c r="D2166" s="315"/>
      <c r="E2166" s="316"/>
      <c r="H2166" s="256"/>
      <c r="J2166" s="256"/>
      <c r="W2166" s="317"/>
      <c r="Z2166" s="176"/>
      <c r="AA2166" s="176"/>
    </row>
    <row r="2167" spans="4:27">
      <c r="D2167" s="315"/>
      <c r="E2167" s="316"/>
      <c r="H2167" s="256"/>
      <c r="J2167" s="256"/>
      <c r="W2167" s="317"/>
      <c r="Z2167" s="176"/>
      <c r="AA2167" s="176"/>
    </row>
    <row r="2168" spans="4:27">
      <c r="D2168" s="315"/>
      <c r="E2168" s="316"/>
      <c r="H2168" s="256"/>
      <c r="J2168" s="256"/>
      <c r="W2168" s="317"/>
      <c r="Z2168" s="176"/>
      <c r="AA2168" s="176"/>
    </row>
    <row r="2169" spans="4:27">
      <c r="D2169" s="315"/>
      <c r="E2169" s="316"/>
      <c r="H2169" s="256"/>
      <c r="J2169" s="256"/>
      <c r="W2169" s="317"/>
      <c r="Z2169" s="176"/>
      <c r="AA2169" s="176"/>
    </row>
    <row r="2170" spans="4:27">
      <c r="D2170" s="315"/>
      <c r="E2170" s="316"/>
      <c r="H2170" s="256"/>
      <c r="J2170" s="256"/>
      <c r="W2170" s="317"/>
      <c r="Z2170" s="176"/>
      <c r="AA2170" s="176"/>
    </row>
    <row r="2171" spans="4:27">
      <c r="D2171" s="315"/>
      <c r="E2171" s="316"/>
      <c r="H2171" s="256"/>
      <c r="J2171" s="256"/>
      <c r="W2171" s="317"/>
      <c r="Z2171" s="176"/>
      <c r="AA2171" s="176"/>
    </row>
    <row r="2172" spans="4:27">
      <c r="D2172" s="315"/>
      <c r="E2172" s="316"/>
      <c r="H2172" s="256"/>
      <c r="J2172" s="256"/>
      <c r="W2172" s="317"/>
      <c r="Z2172" s="176"/>
      <c r="AA2172" s="176"/>
    </row>
    <row r="2173" spans="4:27">
      <c r="D2173" s="315"/>
      <c r="E2173" s="316"/>
      <c r="H2173" s="256"/>
      <c r="J2173" s="256"/>
      <c r="W2173" s="317"/>
      <c r="Z2173" s="176"/>
      <c r="AA2173" s="176"/>
    </row>
    <row r="2174" spans="4:27">
      <c r="D2174" s="315"/>
      <c r="E2174" s="316"/>
      <c r="H2174" s="256"/>
      <c r="J2174" s="256"/>
      <c r="W2174" s="317"/>
      <c r="Z2174" s="176"/>
      <c r="AA2174" s="176"/>
    </row>
    <row r="2175" spans="4:27">
      <c r="D2175" s="315"/>
      <c r="E2175" s="316"/>
      <c r="H2175" s="256"/>
      <c r="J2175" s="256"/>
      <c r="W2175" s="317"/>
      <c r="Z2175" s="176"/>
      <c r="AA2175" s="176"/>
    </row>
    <row r="2176" spans="4:27">
      <c r="D2176" s="315"/>
      <c r="E2176" s="316"/>
      <c r="H2176" s="256"/>
      <c r="J2176" s="256"/>
      <c r="W2176" s="317"/>
      <c r="Z2176" s="176"/>
      <c r="AA2176" s="176"/>
    </row>
    <row r="2177" spans="4:27">
      <c r="D2177" s="315"/>
      <c r="E2177" s="316"/>
      <c r="H2177" s="256"/>
      <c r="J2177" s="256"/>
      <c r="W2177" s="317"/>
      <c r="Z2177" s="176"/>
      <c r="AA2177" s="176"/>
    </row>
    <row r="2178" spans="4:27">
      <c r="D2178" s="315"/>
      <c r="E2178" s="316"/>
      <c r="H2178" s="256"/>
      <c r="J2178" s="256"/>
      <c r="W2178" s="317"/>
      <c r="Z2178" s="176"/>
      <c r="AA2178" s="176"/>
    </row>
    <row r="2179" spans="4:27">
      <c r="D2179" s="315"/>
      <c r="E2179" s="316"/>
      <c r="H2179" s="256"/>
      <c r="J2179" s="256"/>
      <c r="W2179" s="317"/>
      <c r="Z2179" s="176"/>
      <c r="AA2179" s="176"/>
    </row>
    <row r="2180" spans="4:27">
      <c r="D2180" s="315"/>
      <c r="E2180" s="316"/>
      <c r="H2180" s="256"/>
      <c r="J2180" s="256"/>
      <c r="W2180" s="317"/>
      <c r="Z2180" s="176"/>
      <c r="AA2180" s="176"/>
    </row>
    <row r="2181" spans="4:27">
      <c r="D2181" s="315"/>
      <c r="E2181" s="316"/>
      <c r="H2181" s="256"/>
      <c r="J2181" s="256"/>
      <c r="W2181" s="317"/>
      <c r="Z2181" s="176"/>
      <c r="AA2181" s="176"/>
    </row>
    <row r="2182" spans="4:27">
      <c r="D2182" s="315"/>
      <c r="E2182" s="316"/>
      <c r="H2182" s="256"/>
      <c r="J2182" s="256"/>
      <c r="W2182" s="317"/>
      <c r="Z2182" s="176"/>
      <c r="AA2182" s="176"/>
    </row>
    <row r="2183" spans="4:27">
      <c r="D2183" s="315"/>
      <c r="E2183" s="316"/>
      <c r="H2183" s="256"/>
      <c r="J2183" s="256"/>
      <c r="W2183" s="317"/>
      <c r="Z2183" s="176"/>
      <c r="AA2183" s="176"/>
    </row>
    <row r="2184" spans="4:27">
      <c r="D2184" s="315"/>
      <c r="E2184" s="316"/>
      <c r="H2184" s="256"/>
      <c r="J2184" s="256"/>
      <c r="W2184" s="317"/>
      <c r="Z2184" s="176"/>
      <c r="AA2184" s="176"/>
    </row>
    <row r="2185" spans="4:27">
      <c r="D2185" s="315"/>
      <c r="E2185" s="316"/>
      <c r="H2185" s="256"/>
      <c r="J2185" s="256"/>
      <c r="W2185" s="317"/>
      <c r="Z2185" s="176"/>
      <c r="AA2185" s="176"/>
    </row>
    <row r="2186" spans="4:27">
      <c r="D2186" s="315"/>
      <c r="E2186" s="316"/>
      <c r="H2186" s="256"/>
      <c r="J2186" s="256"/>
      <c r="W2186" s="317"/>
      <c r="Z2186" s="176"/>
      <c r="AA2186" s="176"/>
    </row>
    <row r="2187" spans="4:27">
      <c r="D2187" s="315"/>
      <c r="E2187" s="316"/>
      <c r="H2187" s="256"/>
      <c r="J2187" s="256"/>
      <c r="W2187" s="317"/>
      <c r="Z2187" s="176"/>
      <c r="AA2187" s="176"/>
    </row>
    <row r="2188" spans="4:27">
      <c r="D2188" s="315"/>
      <c r="E2188" s="316"/>
      <c r="H2188" s="256"/>
      <c r="J2188" s="256"/>
      <c r="W2188" s="317"/>
      <c r="Z2188" s="176"/>
      <c r="AA2188" s="176"/>
    </row>
    <row r="2189" spans="4:27">
      <c r="D2189" s="315"/>
      <c r="E2189" s="316"/>
      <c r="H2189" s="256"/>
      <c r="J2189" s="256"/>
      <c r="W2189" s="317"/>
      <c r="Z2189" s="176"/>
      <c r="AA2189" s="176"/>
    </row>
    <row r="2190" spans="4:27">
      <c r="D2190" s="315"/>
      <c r="E2190" s="316"/>
      <c r="H2190" s="256"/>
      <c r="J2190" s="256"/>
      <c r="W2190" s="317"/>
      <c r="Z2190" s="176"/>
      <c r="AA2190" s="176"/>
    </row>
    <row r="2191" spans="4:27">
      <c r="D2191" s="315"/>
      <c r="E2191" s="316"/>
      <c r="H2191" s="256"/>
      <c r="J2191" s="256"/>
      <c r="W2191" s="317"/>
      <c r="Z2191" s="176"/>
      <c r="AA2191" s="176"/>
    </row>
    <row r="2192" spans="4:27">
      <c r="D2192" s="315"/>
      <c r="E2192" s="316"/>
      <c r="H2192" s="256"/>
      <c r="J2192" s="256"/>
      <c r="W2192" s="317"/>
      <c r="Z2192" s="176"/>
      <c r="AA2192" s="176"/>
    </row>
    <row r="2193" spans="4:27">
      <c r="D2193" s="315"/>
      <c r="E2193" s="316"/>
      <c r="H2193" s="256"/>
      <c r="J2193" s="256"/>
      <c r="W2193" s="317"/>
      <c r="Z2193" s="176"/>
      <c r="AA2193" s="176"/>
    </row>
    <row r="2194" spans="4:27">
      <c r="D2194" s="315"/>
      <c r="E2194" s="316"/>
      <c r="H2194" s="256"/>
      <c r="J2194" s="256"/>
      <c r="W2194" s="317"/>
      <c r="Z2194" s="176"/>
      <c r="AA2194" s="176"/>
    </row>
    <row r="2195" spans="4:27">
      <c r="D2195" s="315"/>
      <c r="E2195" s="316"/>
      <c r="H2195" s="256"/>
      <c r="J2195" s="256"/>
      <c r="W2195" s="317"/>
      <c r="Z2195" s="176"/>
      <c r="AA2195" s="176"/>
    </row>
    <row r="2196" spans="4:27">
      <c r="D2196" s="315"/>
      <c r="E2196" s="316"/>
      <c r="H2196" s="256"/>
      <c r="J2196" s="256"/>
      <c r="W2196" s="317"/>
      <c r="Z2196" s="176"/>
      <c r="AA2196" s="176"/>
    </row>
    <row r="2197" spans="4:27">
      <c r="D2197" s="315"/>
      <c r="E2197" s="316"/>
      <c r="H2197" s="256"/>
      <c r="J2197" s="256"/>
      <c r="W2197" s="317"/>
      <c r="Z2197" s="176"/>
      <c r="AA2197" s="176"/>
    </row>
    <row r="2198" spans="4:27">
      <c r="D2198" s="315"/>
      <c r="E2198" s="316"/>
      <c r="H2198" s="256"/>
      <c r="J2198" s="256"/>
      <c r="W2198" s="317"/>
      <c r="Z2198" s="176"/>
      <c r="AA2198" s="176"/>
    </row>
    <row r="2199" spans="4:27">
      <c r="D2199" s="315"/>
      <c r="E2199" s="316"/>
      <c r="H2199" s="256"/>
      <c r="J2199" s="256"/>
      <c r="W2199" s="317"/>
      <c r="Z2199" s="176"/>
      <c r="AA2199" s="176"/>
    </row>
    <row r="2200" spans="4:27">
      <c r="D2200" s="315"/>
      <c r="E2200" s="316"/>
      <c r="H2200" s="256"/>
      <c r="J2200" s="256"/>
      <c r="W2200" s="317"/>
      <c r="Z2200" s="176"/>
      <c r="AA2200" s="176"/>
    </row>
    <row r="2201" spans="4:27">
      <c r="D2201" s="315"/>
      <c r="E2201" s="316"/>
      <c r="H2201" s="256"/>
      <c r="J2201" s="256"/>
      <c r="W2201" s="317"/>
      <c r="Z2201" s="176"/>
      <c r="AA2201" s="176"/>
    </row>
    <row r="2202" spans="4:27">
      <c r="D2202" s="315"/>
      <c r="E2202" s="316"/>
      <c r="H2202" s="256"/>
      <c r="J2202" s="256"/>
      <c r="W2202" s="317"/>
      <c r="Z2202" s="176"/>
      <c r="AA2202" s="176"/>
    </row>
    <row r="2203" spans="4:27">
      <c r="D2203" s="315"/>
      <c r="E2203" s="316"/>
      <c r="H2203" s="256"/>
      <c r="J2203" s="256"/>
      <c r="W2203" s="317"/>
      <c r="Z2203" s="176"/>
      <c r="AA2203" s="176"/>
    </row>
    <row r="2204" spans="4:27">
      <c r="D2204" s="315"/>
      <c r="E2204" s="316"/>
      <c r="H2204" s="256"/>
      <c r="J2204" s="256"/>
      <c r="W2204" s="317"/>
      <c r="Z2204" s="176"/>
      <c r="AA2204" s="176"/>
    </row>
    <row r="2205" spans="4:27">
      <c r="D2205" s="315"/>
      <c r="E2205" s="316"/>
      <c r="H2205" s="256"/>
      <c r="J2205" s="256"/>
      <c r="W2205" s="317"/>
      <c r="Z2205" s="176"/>
      <c r="AA2205" s="176"/>
    </row>
    <row r="2206" spans="4:27">
      <c r="D2206" s="315"/>
      <c r="E2206" s="316"/>
      <c r="H2206" s="256"/>
      <c r="J2206" s="256"/>
      <c r="W2206" s="317"/>
      <c r="Z2206" s="176"/>
      <c r="AA2206" s="176"/>
    </row>
    <row r="2207" spans="4:27">
      <c r="D2207" s="315"/>
      <c r="E2207" s="316"/>
      <c r="H2207" s="256"/>
      <c r="J2207" s="256"/>
      <c r="W2207" s="317"/>
      <c r="Z2207" s="176"/>
      <c r="AA2207" s="176"/>
    </row>
    <row r="2208" spans="4:27">
      <c r="D2208" s="315"/>
      <c r="E2208" s="316"/>
      <c r="H2208" s="256"/>
      <c r="J2208" s="256"/>
      <c r="W2208" s="317"/>
      <c r="Z2208" s="176"/>
      <c r="AA2208" s="176"/>
    </row>
    <row r="2209" spans="4:27">
      <c r="D2209" s="315"/>
      <c r="E2209" s="316"/>
      <c r="H2209" s="256"/>
      <c r="J2209" s="256"/>
      <c r="W2209" s="317"/>
      <c r="Z2209" s="176"/>
      <c r="AA2209" s="176"/>
    </row>
    <row r="2210" spans="4:27">
      <c r="D2210" s="315"/>
      <c r="E2210" s="316"/>
      <c r="H2210" s="256"/>
      <c r="J2210" s="256"/>
      <c r="W2210" s="317"/>
      <c r="Z2210" s="176"/>
      <c r="AA2210" s="176"/>
    </row>
    <row r="2211" spans="4:27">
      <c r="D2211" s="315"/>
      <c r="E2211" s="316"/>
      <c r="H2211" s="256"/>
      <c r="J2211" s="256"/>
      <c r="W2211" s="317"/>
      <c r="Z2211" s="176"/>
      <c r="AA2211" s="176"/>
    </row>
    <row r="2212" spans="4:27">
      <c r="D2212" s="315"/>
      <c r="E2212" s="316"/>
      <c r="H2212" s="256"/>
      <c r="J2212" s="256"/>
      <c r="W2212" s="317"/>
      <c r="Z2212" s="176"/>
      <c r="AA2212" s="176"/>
    </row>
    <row r="2213" spans="4:27">
      <c r="D2213" s="315"/>
      <c r="E2213" s="316"/>
      <c r="H2213" s="256"/>
      <c r="J2213" s="256"/>
      <c r="W2213" s="317"/>
      <c r="Z2213" s="176"/>
      <c r="AA2213" s="176"/>
    </row>
    <row r="2214" spans="4:27">
      <c r="D2214" s="315"/>
      <c r="E2214" s="316"/>
      <c r="H2214" s="256"/>
      <c r="J2214" s="256"/>
      <c r="W2214" s="317"/>
      <c r="Z2214" s="176"/>
      <c r="AA2214" s="176"/>
    </row>
    <row r="2215" spans="4:27">
      <c r="D2215" s="315"/>
      <c r="E2215" s="316"/>
      <c r="H2215" s="256"/>
      <c r="J2215" s="256"/>
      <c r="W2215" s="317"/>
      <c r="Z2215" s="176"/>
      <c r="AA2215" s="176"/>
    </row>
    <row r="2216" spans="4:27">
      <c r="D2216" s="315"/>
      <c r="E2216" s="316"/>
      <c r="H2216" s="256"/>
      <c r="J2216" s="256"/>
      <c r="W2216" s="317"/>
      <c r="Z2216" s="176"/>
      <c r="AA2216" s="176"/>
    </row>
    <row r="2217" spans="4:27">
      <c r="D2217" s="315"/>
      <c r="E2217" s="316"/>
      <c r="H2217" s="256"/>
      <c r="J2217" s="256"/>
      <c r="W2217" s="317"/>
      <c r="Z2217" s="176"/>
      <c r="AA2217" s="176"/>
    </row>
    <row r="2218" spans="4:27">
      <c r="D2218" s="315"/>
      <c r="E2218" s="316"/>
      <c r="H2218" s="256"/>
      <c r="J2218" s="256"/>
      <c r="W2218" s="317"/>
      <c r="Z2218" s="176"/>
      <c r="AA2218" s="176"/>
    </row>
    <row r="2219" spans="4:27">
      <c r="D2219" s="315"/>
      <c r="E2219" s="316"/>
      <c r="H2219" s="256"/>
      <c r="J2219" s="256"/>
      <c r="W2219" s="317"/>
      <c r="Z2219" s="176"/>
      <c r="AA2219" s="176"/>
    </row>
    <row r="2220" spans="4:27">
      <c r="D2220" s="315"/>
      <c r="E2220" s="316"/>
      <c r="H2220" s="256"/>
      <c r="J2220" s="256"/>
      <c r="W2220" s="317"/>
      <c r="Z2220" s="176"/>
      <c r="AA2220" s="176"/>
    </row>
    <row r="2221" spans="4:27">
      <c r="D2221" s="315"/>
      <c r="E2221" s="316"/>
      <c r="H2221" s="256"/>
      <c r="J2221" s="256"/>
      <c r="W2221" s="317"/>
      <c r="Z2221" s="176"/>
      <c r="AA2221" s="176"/>
    </row>
    <row r="2222" spans="4:27">
      <c r="D2222" s="315"/>
      <c r="E2222" s="316"/>
      <c r="H2222" s="256"/>
      <c r="J2222" s="256"/>
      <c r="W2222" s="317"/>
      <c r="Z2222" s="176"/>
      <c r="AA2222" s="176"/>
    </row>
    <row r="2223" spans="4:27">
      <c r="D2223" s="315"/>
      <c r="E2223" s="316"/>
      <c r="H2223" s="256"/>
      <c r="J2223" s="256"/>
      <c r="W2223" s="317"/>
      <c r="Z2223" s="176"/>
      <c r="AA2223" s="176"/>
    </row>
    <row r="2224" spans="4:27">
      <c r="D2224" s="315"/>
      <c r="E2224" s="316"/>
      <c r="H2224" s="256"/>
      <c r="J2224" s="256"/>
      <c r="W2224" s="317"/>
      <c r="Z2224" s="176"/>
      <c r="AA2224" s="176"/>
    </row>
    <row r="2225" spans="4:27">
      <c r="D2225" s="315"/>
      <c r="E2225" s="316"/>
      <c r="H2225" s="256"/>
      <c r="J2225" s="256"/>
      <c r="W2225" s="317"/>
      <c r="Z2225" s="176"/>
      <c r="AA2225" s="176"/>
    </row>
    <row r="2226" spans="4:27">
      <c r="D2226" s="315"/>
      <c r="E2226" s="316"/>
      <c r="H2226" s="256"/>
      <c r="J2226" s="256"/>
      <c r="W2226" s="317"/>
      <c r="Z2226" s="176"/>
      <c r="AA2226" s="176"/>
    </row>
    <row r="2227" spans="4:27">
      <c r="D2227" s="315"/>
      <c r="E2227" s="316"/>
      <c r="H2227" s="256"/>
      <c r="J2227" s="256"/>
      <c r="W2227" s="317"/>
      <c r="Z2227" s="176"/>
      <c r="AA2227" s="176"/>
    </row>
    <row r="2228" spans="4:27">
      <c r="D2228" s="315"/>
      <c r="E2228" s="316"/>
      <c r="H2228" s="256"/>
      <c r="J2228" s="256"/>
      <c r="W2228" s="317"/>
      <c r="Z2228" s="176"/>
      <c r="AA2228" s="176"/>
    </row>
    <row r="2229" spans="4:27">
      <c r="D2229" s="315"/>
      <c r="E2229" s="316"/>
      <c r="H2229" s="256"/>
      <c r="J2229" s="256"/>
      <c r="W2229" s="317"/>
      <c r="Z2229" s="176"/>
      <c r="AA2229" s="176"/>
    </row>
    <row r="2230" spans="4:27">
      <c r="D2230" s="315"/>
      <c r="E2230" s="316"/>
      <c r="H2230" s="256"/>
      <c r="J2230" s="256"/>
      <c r="W2230" s="317"/>
      <c r="Z2230" s="176"/>
      <c r="AA2230" s="176"/>
    </row>
    <row r="2231" spans="4:27">
      <c r="D2231" s="315"/>
      <c r="E2231" s="316"/>
      <c r="H2231" s="256"/>
      <c r="J2231" s="256"/>
      <c r="W2231" s="317"/>
      <c r="Z2231" s="176"/>
      <c r="AA2231" s="176"/>
    </row>
    <row r="2232" spans="4:27">
      <c r="D2232" s="315"/>
      <c r="E2232" s="316"/>
      <c r="H2232" s="256"/>
      <c r="J2232" s="256"/>
      <c r="W2232" s="317"/>
      <c r="Z2232" s="176"/>
      <c r="AA2232" s="176"/>
    </row>
    <row r="2233" spans="4:27">
      <c r="D2233" s="315"/>
      <c r="E2233" s="316"/>
      <c r="H2233" s="256"/>
      <c r="J2233" s="256"/>
      <c r="W2233" s="317"/>
      <c r="Z2233" s="176"/>
      <c r="AA2233" s="176"/>
    </row>
    <row r="2234" spans="4:27">
      <c r="D2234" s="315"/>
      <c r="E2234" s="316"/>
      <c r="H2234" s="256"/>
      <c r="J2234" s="256"/>
      <c r="W2234" s="317"/>
      <c r="Z2234" s="176"/>
      <c r="AA2234" s="176"/>
    </row>
    <row r="2235" spans="4:27">
      <c r="D2235" s="315"/>
      <c r="E2235" s="316"/>
      <c r="H2235" s="256"/>
      <c r="J2235" s="256"/>
      <c r="W2235" s="317"/>
      <c r="Z2235" s="176"/>
      <c r="AA2235" s="176"/>
    </row>
    <row r="2236" spans="4:27">
      <c r="D2236" s="315"/>
      <c r="E2236" s="316"/>
      <c r="H2236" s="256"/>
      <c r="J2236" s="256"/>
      <c r="W2236" s="317"/>
      <c r="Z2236" s="176"/>
      <c r="AA2236" s="176"/>
    </row>
    <row r="2237" spans="4:27">
      <c r="D2237" s="315"/>
      <c r="E2237" s="316"/>
      <c r="H2237" s="256"/>
      <c r="J2237" s="256"/>
      <c r="W2237" s="317"/>
      <c r="Z2237" s="176"/>
      <c r="AA2237" s="176"/>
    </row>
    <row r="2238" spans="4:27">
      <c r="D2238" s="315"/>
      <c r="E2238" s="316"/>
      <c r="H2238" s="256"/>
      <c r="J2238" s="256"/>
      <c r="W2238" s="317"/>
      <c r="Z2238" s="176"/>
      <c r="AA2238" s="176"/>
    </row>
    <row r="2239" spans="4:27">
      <c r="D2239" s="315"/>
      <c r="E2239" s="316"/>
      <c r="H2239" s="256"/>
      <c r="J2239" s="256"/>
      <c r="W2239" s="317"/>
      <c r="Z2239" s="176"/>
      <c r="AA2239" s="176"/>
    </row>
    <row r="2240" spans="4:27">
      <c r="D2240" s="315"/>
      <c r="E2240" s="316"/>
      <c r="H2240" s="256"/>
      <c r="J2240" s="256"/>
      <c r="W2240" s="317"/>
      <c r="Z2240" s="176"/>
      <c r="AA2240" s="176"/>
    </row>
    <row r="2241" spans="4:27">
      <c r="D2241" s="315"/>
      <c r="E2241" s="316"/>
      <c r="H2241" s="256"/>
      <c r="J2241" s="256"/>
      <c r="W2241" s="317"/>
      <c r="Z2241" s="176"/>
      <c r="AA2241" s="176"/>
    </row>
    <row r="2242" spans="4:27">
      <c r="D2242" s="315"/>
      <c r="E2242" s="316"/>
      <c r="H2242" s="256"/>
      <c r="J2242" s="256"/>
      <c r="W2242" s="317"/>
      <c r="Z2242" s="176"/>
      <c r="AA2242" s="176"/>
    </row>
    <row r="2243" spans="4:27">
      <c r="D2243" s="315"/>
      <c r="E2243" s="316"/>
      <c r="H2243" s="256"/>
      <c r="J2243" s="256"/>
      <c r="W2243" s="317"/>
      <c r="Z2243" s="176"/>
      <c r="AA2243" s="176"/>
    </row>
    <row r="2244" spans="4:27">
      <c r="D2244" s="315"/>
      <c r="E2244" s="316"/>
      <c r="H2244" s="256"/>
      <c r="J2244" s="256"/>
      <c r="W2244" s="317"/>
      <c r="Z2244" s="176"/>
      <c r="AA2244" s="176"/>
    </row>
    <row r="2245" spans="4:27">
      <c r="D2245" s="315"/>
      <c r="E2245" s="316"/>
      <c r="H2245" s="256"/>
      <c r="J2245" s="256"/>
      <c r="W2245" s="317"/>
      <c r="Z2245" s="176"/>
      <c r="AA2245" s="176"/>
    </row>
    <row r="2246" spans="4:27">
      <c r="D2246" s="315"/>
      <c r="E2246" s="316"/>
      <c r="H2246" s="256"/>
      <c r="J2246" s="256"/>
      <c r="W2246" s="317"/>
      <c r="Z2246" s="176"/>
      <c r="AA2246" s="176"/>
    </row>
    <row r="2247" spans="4:27">
      <c r="D2247" s="315"/>
      <c r="E2247" s="316"/>
      <c r="H2247" s="256"/>
      <c r="J2247" s="256"/>
      <c r="W2247" s="317"/>
      <c r="Z2247" s="176"/>
      <c r="AA2247" s="176"/>
    </row>
    <row r="2248" spans="4:27">
      <c r="D2248" s="315"/>
      <c r="E2248" s="316"/>
      <c r="H2248" s="256"/>
      <c r="J2248" s="256"/>
      <c r="W2248" s="317"/>
      <c r="Z2248" s="176"/>
      <c r="AA2248" s="176"/>
    </row>
    <row r="2249" spans="4:27">
      <c r="D2249" s="315"/>
      <c r="E2249" s="316"/>
      <c r="H2249" s="256"/>
      <c r="J2249" s="256"/>
      <c r="W2249" s="317"/>
      <c r="Z2249" s="176"/>
      <c r="AA2249" s="176"/>
    </row>
    <row r="2250" spans="4:27">
      <c r="D2250" s="315"/>
      <c r="E2250" s="316"/>
      <c r="H2250" s="256"/>
      <c r="J2250" s="256"/>
      <c r="W2250" s="317"/>
      <c r="Z2250" s="176"/>
      <c r="AA2250" s="176"/>
    </row>
    <row r="2251" spans="4:27">
      <c r="D2251" s="315"/>
      <c r="E2251" s="316"/>
      <c r="H2251" s="256"/>
      <c r="J2251" s="256"/>
      <c r="W2251" s="317"/>
      <c r="Z2251" s="176"/>
      <c r="AA2251" s="176"/>
    </row>
    <row r="2252" spans="4:27">
      <c r="D2252" s="315"/>
      <c r="E2252" s="316"/>
      <c r="H2252" s="256"/>
      <c r="J2252" s="256"/>
      <c r="W2252" s="317"/>
      <c r="Z2252" s="176"/>
      <c r="AA2252" s="176"/>
    </row>
    <row r="2253" spans="4:27">
      <c r="D2253" s="315"/>
      <c r="E2253" s="316"/>
      <c r="H2253" s="256"/>
      <c r="J2253" s="256"/>
      <c r="W2253" s="317"/>
      <c r="Z2253" s="176"/>
      <c r="AA2253" s="176"/>
    </row>
    <row r="2254" spans="4:27">
      <c r="D2254" s="315"/>
      <c r="E2254" s="316"/>
      <c r="H2254" s="256"/>
      <c r="J2254" s="256"/>
      <c r="W2254" s="317"/>
      <c r="Z2254" s="176"/>
      <c r="AA2254" s="176"/>
    </row>
    <row r="2255" spans="4:27">
      <c r="D2255" s="315"/>
      <c r="E2255" s="316"/>
      <c r="H2255" s="256"/>
      <c r="J2255" s="256"/>
      <c r="W2255" s="317"/>
      <c r="Z2255" s="176"/>
      <c r="AA2255" s="176"/>
    </row>
    <row r="2256" spans="4:27">
      <c r="D2256" s="315"/>
      <c r="E2256" s="316"/>
      <c r="H2256" s="256"/>
      <c r="J2256" s="256"/>
      <c r="W2256" s="317"/>
      <c r="Z2256" s="176"/>
      <c r="AA2256" s="176"/>
    </row>
    <row r="2257" spans="4:27">
      <c r="D2257" s="315"/>
      <c r="E2257" s="316"/>
      <c r="H2257" s="256"/>
      <c r="J2257" s="256"/>
      <c r="W2257" s="317"/>
      <c r="Z2257" s="176"/>
      <c r="AA2257" s="176"/>
    </row>
    <row r="2258" spans="4:27">
      <c r="D2258" s="315"/>
      <c r="E2258" s="316"/>
      <c r="H2258" s="256"/>
      <c r="J2258" s="256"/>
      <c r="W2258" s="317"/>
      <c r="Z2258" s="176"/>
      <c r="AA2258" s="176"/>
    </row>
    <row r="2259" spans="4:27">
      <c r="D2259" s="315"/>
      <c r="E2259" s="316"/>
      <c r="H2259" s="256"/>
      <c r="J2259" s="256"/>
      <c r="W2259" s="317"/>
      <c r="Z2259" s="176"/>
      <c r="AA2259" s="176"/>
    </row>
    <row r="2260" spans="4:27">
      <c r="D2260" s="315"/>
      <c r="E2260" s="316"/>
      <c r="H2260" s="256"/>
      <c r="J2260" s="256"/>
      <c r="W2260" s="317"/>
      <c r="Z2260" s="176"/>
      <c r="AA2260" s="176"/>
    </row>
    <row r="2261" spans="4:27">
      <c r="D2261" s="315"/>
      <c r="E2261" s="316"/>
      <c r="H2261" s="256"/>
      <c r="J2261" s="256"/>
      <c r="W2261" s="317"/>
      <c r="Z2261" s="176"/>
      <c r="AA2261" s="176"/>
    </row>
    <row r="2262" spans="4:27">
      <c r="D2262" s="315"/>
      <c r="E2262" s="316"/>
      <c r="H2262" s="256"/>
      <c r="J2262" s="256"/>
      <c r="W2262" s="317"/>
      <c r="Z2262" s="176"/>
      <c r="AA2262" s="176"/>
    </row>
    <row r="2263" spans="4:27">
      <c r="D2263" s="315"/>
      <c r="E2263" s="316"/>
      <c r="H2263" s="256"/>
      <c r="J2263" s="256"/>
      <c r="W2263" s="317"/>
      <c r="Z2263" s="176"/>
      <c r="AA2263" s="176"/>
    </row>
    <row r="2264" spans="4:27">
      <c r="D2264" s="315"/>
      <c r="E2264" s="316"/>
      <c r="H2264" s="256"/>
      <c r="J2264" s="256"/>
      <c r="W2264" s="317"/>
      <c r="Z2264" s="176"/>
      <c r="AA2264" s="176"/>
    </row>
    <row r="2265" spans="4:27">
      <c r="D2265" s="315"/>
      <c r="E2265" s="316"/>
      <c r="H2265" s="256"/>
      <c r="J2265" s="256"/>
      <c r="W2265" s="317"/>
      <c r="Z2265" s="176"/>
      <c r="AA2265" s="176"/>
    </row>
    <row r="2266" spans="4:27">
      <c r="D2266" s="315"/>
      <c r="E2266" s="316"/>
      <c r="H2266" s="256"/>
      <c r="J2266" s="256"/>
      <c r="W2266" s="317"/>
      <c r="Z2266" s="176"/>
      <c r="AA2266" s="176"/>
    </row>
    <row r="2267" spans="4:27">
      <c r="D2267" s="315"/>
      <c r="E2267" s="316"/>
      <c r="H2267" s="256"/>
      <c r="J2267" s="256"/>
      <c r="W2267" s="317"/>
      <c r="Z2267" s="176"/>
      <c r="AA2267" s="176"/>
    </row>
    <row r="2268" spans="4:27">
      <c r="D2268" s="315"/>
      <c r="E2268" s="316"/>
      <c r="H2268" s="256"/>
      <c r="J2268" s="256"/>
      <c r="W2268" s="317"/>
      <c r="Z2268" s="176"/>
      <c r="AA2268" s="176"/>
    </row>
    <row r="2269" spans="4:27">
      <c r="D2269" s="315"/>
      <c r="E2269" s="316"/>
      <c r="H2269" s="256"/>
      <c r="J2269" s="256"/>
      <c r="W2269" s="317"/>
      <c r="Z2269" s="176"/>
      <c r="AA2269" s="176"/>
    </row>
    <row r="2270" spans="4:27">
      <c r="D2270" s="315"/>
      <c r="E2270" s="316"/>
      <c r="H2270" s="256"/>
      <c r="J2270" s="256"/>
      <c r="W2270" s="317"/>
      <c r="Z2270" s="176"/>
      <c r="AA2270" s="176"/>
    </row>
    <row r="2271" spans="4:27">
      <c r="D2271" s="315"/>
      <c r="E2271" s="316"/>
      <c r="H2271" s="256"/>
      <c r="J2271" s="256"/>
      <c r="W2271" s="317"/>
      <c r="Z2271" s="176"/>
      <c r="AA2271" s="176"/>
    </row>
    <row r="2272" spans="4:27">
      <c r="D2272" s="315"/>
      <c r="E2272" s="316"/>
      <c r="H2272" s="256"/>
      <c r="J2272" s="256"/>
      <c r="W2272" s="317"/>
      <c r="Z2272" s="176"/>
      <c r="AA2272" s="176"/>
    </row>
    <row r="2273" spans="4:27">
      <c r="D2273" s="315"/>
      <c r="E2273" s="316"/>
      <c r="H2273" s="256"/>
      <c r="J2273" s="256"/>
      <c r="W2273" s="317"/>
      <c r="Z2273" s="176"/>
      <c r="AA2273" s="176"/>
    </row>
    <row r="2274" spans="4:27">
      <c r="D2274" s="315"/>
      <c r="E2274" s="316"/>
      <c r="H2274" s="256"/>
      <c r="J2274" s="256"/>
      <c r="W2274" s="317"/>
      <c r="Z2274" s="176"/>
      <c r="AA2274" s="176"/>
    </row>
    <row r="2275" spans="4:27">
      <c r="D2275" s="315"/>
      <c r="E2275" s="316"/>
      <c r="H2275" s="256"/>
      <c r="J2275" s="256"/>
      <c r="W2275" s="317"/>
      <c r="Z2275" s="176"/>
      <c r="AA2275" s="176"/>
    </row>
    <row r="2276" spans="4:27">
      <c r="D2276" s="315"/>
      <c r="E2276" s="316"/>
      <c r="H2276" s="256"/>
      <c r="J2276" s="256"/>
      <c r="W2276" s="317"/>
      <c r="Z2276" s="176"/>
      <c r="AA2276" s="176"/>
    </row>
    <row r="2277" spans="4:27">
      <c r="D2277" s="315"/>
      <c r="E2277" s="316"/>
      <c r="H2277" s="256"/>
      <c r="J2277" s="256"/>
      <c r="W2277" s="317"/>
      <c r="Z2277" s="176"/>
      <c r="AA2277" s="176"/>
    </row>
    <row r="2278" spans="4:27">
      <c r="D2278" s="315"/>
      <c r="E2278" s="316"/>
      <c r="H2278" s="256"/>
      <c r="J2278" s="256"/>
      <c r="W2278" s="317"/>
      <c r="Z2278" s="176"/>
      <c r="AA2278" s="176"/>
    </row>
    <row r="2279" spans="4:27">
      <c r="D2279" s="315"/>
      <c r="E2279" s="316"/>
      <c r="H2279" s="256"/>
      <c r="J2279" s="256"/>
      <c r="W2279" s="317"/>
      <c r="Z2279" s="176"/>
      <c r="AA2279" s="176"/>
    </row>
    <row r="2280" spans="4:27">
      <c r="D2280" s="315"/>
      <c r="E2280" s="316"/>
      <c r="H2280" s="256"/>
      <c r="J2280" s="256"/>
      <c r="W2280" s="317"/>
      <c r="Z2280" s="176"/>
      <c r="AA2280" s="176"/>
    </row>
    <row r="2281" spans="4:27">
      <c r="D2281" s="315"/>
      <c r="E2281" s="316"/>
      <c r="H2281" s="256"/>
      <c r="J2281" s="256"/>
      <c r="W2281" s="317"/>
      <c r="Z2281" s="176"/>
      <c r="AA2281" s="176"/>
    </row>
    <row r="2282" spans="4:27">
      <c r="D2282" s="315"/>
      <c r="E2282" s="316"/>
      <c r="H2282" s="256"/>
      <c r="J2282" s="256"/>
      <c r="W2282" s="317"/>
      <c r="Z2282" s="176"/>
      <c r="AA2282" s="176"/>
    </row>
    <row r="2283" spans="4:27">
      <c r="D2283" s="315"/>
      <c r="E2283" s="316"/>
      <c r="H2283" s="256"/>
      <c r="J2283" s="256"/>
      <c r="W2283" s="317"/>
      <c r="Z2283" s="176"/>
      <c r="AA2283" s="176"/>
    </row>
    <row r="2284" spans="4:27">
      <c r="D2284" s="315"/>
      <c r="E2284" s="316"/>
      <c r="H2284" s="256"/>
      <c r="J2284" s="256"/>
      <c r="W2284" s="317"/>
      <c r="Z2284" s="176"/>
      <c r="AA2284" s="176"/>
    </row>
    <row r="2285" spans="4:27">
      <c r="D2285" s="315"/>
      <c r="E2285" s="316"/>
      <c r="H2285" s="256"/>
      <c r="J2285" s="256"/>
      <c r="W2285" s="317"/>
      <c r="Z2285" s="176"/>
      <c r="AA2285" s="176"/>
    </row>
    <row r="2286" spans="4:27">
      <c r="D2286" s="315"/>
      <c r="E2286" s="316"/>
      <c r="H2286" s="256"/>
      <c r="J2286" s="256"/>
      <c r="W2286" s="317"/>
      <c r="Z2286" s="176"/>
      <c r="AA2286" s="176"/>
    </row>
    <row r="2287" spans="4:27">
      <c r="D2287" s="315"/>
      <c r="E2287" s="316"/>
      <c r="H2287" s="256"/>
      <c r="J2287" s="256"/>
      <c r="W2287" s="317"/>
      <c r="Z2287" s="176"/>
      <c r="AA2287" s="176"/>
    </row>
    <row r="2288" spans="4:27">
      <c r="D2288" s="315"/>
      <c r="E2288" s="316"/>
      <c r="H2288" s="256"/>
      <c r="J2288" s="256"/>
      <c r="W2288" s="317"/>
      <c r="Z2288" s="176"/>
      <c r="AA2288" s="176"/>
    </row>
    <row r="2289" spans="4:27">
      <c r="D2289" s="315"/>
      <c r="E2289" s="316"/>
      <c r="H2289" s="256"/>
      <c r="J2289" s="256"/>
      <c r="W2289" s="317"/>
      <c r="Z2289" s="176"/>
      <c r="AA2289" s="176"/>
    </row>
    <row r="2290" spans="4:27">
      <c r="D2290" s="315"/>
      <c r="E2290" s="316"/>
      <c r="H2290" s="256"/>
      <c r="J2290" s="256"/>
      <c r="W2290" s="317"/>
      <c r="Z2290" s="176"/>
      <c r="AA2290" s="176"/>
    </row>
    <row r="2291" spans="4:27">
      <c r="D2291" s="315"/>
      <c r="E2291" s="316"/>
      <c r="H2291" s="256"/>
      <c r="J2291" s="256"/>
      <c r="W2291" s="317"/>
      <c r="Z2291" s="176"/>
      <c r="AA2291" s="176"/>
    </row>
    <row r="2292" spans="4:27">
      <c r="D2292" s="315"/>
      <c r="E2292" s="316"/>
      <c r="H2292" s="256"/>
      <c r="J2292" s="256"/>
      <c r="W2292" s="317"/>
      <c r="Z2292" s="176"/>
      <c r="AA2292" s="176"/>
    </row>
    <row r="2293" spans="4:27">
      <c r="D2293" s="315"/>
      <c r="E2293" s="316"/>
      <c r="H2293" s="256"/>
      <c r="J2293" s="256"/>
      <c r="W2293" s="317"/>
      <c r="Z2293" s="176"/>
      <c r="AA2293" s="176"/>
    </row>
    <row r="2294" spans="4:27">
      <c r="D2294" s="315"/>
      <c r="E2294" s="316"/>
      <c r="H2294" s="256"/>
      <c r="J2294" s="256"/>
      <c r="W2294" s="317"/>
      <c r="Z2294" s="176"/>
      <c r="AA2294" s="176"/>
    </row>
    <row r="2295" spans="4:27">
      <c r="D2295" s="315"/>
      <c r="E2295" s="316"/>
      <c r="H2295" s="256"/>
      <c r="J2295" s="256"/>
      <c r="W2295" s="317"/>
      <c r="Z2295" s="176"/>
      <c r="AA2295" s="176"/>
    </row>
    <row r="2296" spans="4:27">
      <c r="D2296" s="315"/>
      <c r="E2296" s="316"/>
      <c r="H2296" s="256"/>
      <c r="J2296" s="256"/>
      <c r="W2296" s="317"/>
      <c r="Z2296" s="176"/>
      <c r="AA2296" s="176"/>
    </row>
    <row r="2297" spans="4:27">
      <c r="D2297" s="315"/>
      <c r="E2297" s="316"/>
      <c r="H2297" s="256"/>
      <c r="J2297" s="256"/>
      <c r="W2297" s="317"/>
      <c r="Z2297" s="176"/>
      <c r="AA2297" s="176"/>
    </row>
    <row r="2298" spans="4:27">
      <c r="D2298" s="315"/>
      <c r="E2298" s="316"/>
      <c r="H2298" s="256"/>
      <c r="J2298" s="256"/>
      <c r="W2298" s="317"/>
      <c r="Z2298" s="176"/>
      <c r="AA2298" s="176"/>
    </row>
    <row r="2299" spans="4:27">
      <c r="D2299" s="315"/>
      <c r="E2299" s="316"/>
      <c r="H2299" s="256"/>
      <c r="J2299" s="256"/>
      <c r="W2299" s="317"/>
      <c r="Z2299" s="176"/>
      <c r="AA2299" s="176"/>
    </row>
    <row r="2300" spans="4:27">
      <c r="D2300" s="315"/>
      <c r="E2300" s="316"/>
      <c r="H2300" s="256"/>
      <c r="J2300" s="256"/>
      <c r="W2300" s="317"/>
      <c r="Z2300" s="176"/>
      <c r="AA2300" s="176"/>
    </row>
    <row r="2301" spans="4:27">
      <c r="D2301" s="315"/>
      <c r="E2301" s="316"/>
      <c r="H2301" s="256"/>
      <c r="J2301" s="256"/>
      <c r="W2301" s="317"/>
      <c r="Z2301" s="176"/>
      <c r="AA2301" s="176"/>
    </row>
    <row r="2302" spans="4:27">
      <c r="D2302" s="315"/>
      <c r="E2302" s="316"/>
      <c r="H2302" s="256"/>
      <c r="J2302" s="256"/>
      <c r="W2302" s="317"/>
      <c r="Z2302" s="176"/>
      <c r="AA2302" s="176"/>
    </row>
    <row r="2303" spans="4:27">
      <c r="D2303" s="315"/>
      <c r="E2303" s="316"/>
      <c r="H2303" s="256"/>
      <c r="J2303" s="256"/>
      <c r="W2303" s="317"/>
      <c r="Z2303" s="176"/>
      <c r="AA2303" s="176"/>
    </row>
    <row r="2304" spans="4:27">
      <c r="D2304" s="315"/>
      <c r="E2304" s="316"/>
      <c r="H2304" s="256"/>
      <c r="J2304" s="256"/>
      <c r="W2304" s="317"/>
      <c r="Z2304" s="176"/>
      <c r="AA2304" s="176"/>
    </row>
    <row r="2305" spans="4:27">
      <c r="D2305" s="315"/>
      <c r="E2305" s="316"/>
      <c r="H2305" s="256"/>
      <c r="J2305" s="256"/>
      <c r="W2305" s="317"/>
      <c r="Z2305" s="176"/>
      <c r="AA2305" s="176"/>
    </row>
    <row r="2306" spans="4:27">
      <c r="D2306" s="315"/>
      <c r="E2306" s="316"/>
      <c r="H2306" s="256"/>
      <c r="J2306" s="256"/>
      <c r="W2306" s="317"/>
      <c r="Z2306" s="176"/>
      <c r="AA2306" s="176"/>
    </row>
    <row r="2307" spans="4:27">
      <c r="D2307" s="315"/>
      <c r="E2307" s="316"/>
      <c r="H2307" s="256"/>
      <c r="J2307" s="256"/>
      <c r="W2307" s="317"/>
      <c r="Z2307" s="176"/>
      <c r="AA2307" s="176"/>
    </row>
    <row r="2308" spans="4:27">
      <c r="D2308" s="315"/>
      <c r="E2308" s="316"/>
      <c r="H2308" s="256"/>
      <c r="J2308" s="256"/>
      <c r="W2308" s="317"/>
      <c r="Z2308" s="176"/>
      <c r="AA2308" s="176"/>
    </row>
    <row r="2309" spans="4:27">
      <c r="D2309" s="315"/>
      <c r="E2309" s="316"/>
      <c r="H2309" s="256"/>
      <c r="J2309" s="256"/>
      <c r="W2309" s="317"/>
      <c r="Z2309" s="176"/>
      <c r="AA2309" s="176"/>
    </row>
    <row r="2310" spans="4:27">
      <c r="D2310" s="315"/>
      <c r="E2310" s="316"/>
      <c r="H2310" s="256"/>
      <c r="J2310" s="256"/>
      <c r="W2310" s="317"/>
      <c r="Z2310" s="176"/>
      <c r="AA2310" s="176"/>
    </row>
    <row r="2311" spans="4:27">
      <c r="D2311" s="315"/>
      <c r="E2311" s="316"/>
      <c r="H2311" s="256"/>
      <c r="J2311" s="256"/>
      <c r="W2311" s="317"/>
      <c r="Z2311" s="176"/>
      <c r="AA2311" s="176"/>
    </row>
    <row r="2312" spans="4:27">
      <c r="D2312" s="315"/>
      <c r="E2312" s="316"/>
      <c r="H2312" s="256"/>
      <c r="J2312" s="256"/>
      <c r="W2312" s="317"/>
      <c r="Z2312" s="176"/>
      <c r="AA2312" s="176"/>
    </row>
    <row r="2313" spans="4:27">
      <c r="D2313" s="315"/>
      <c r="E2313" s="316"/>
      <c r="H2313" s="256"/>
      <c r="J2313" s="256"/>
      <c r="W2313" s="317"/>
      <c r="Z2313" s="176"/>
      <c r="AA2313" s="176"/>
    </row>
    <row r="2314" spans="4:27">
      <c r="D2314" s="315"/>
      <c r="E2314" s="316"/>
      <c r="H2314" s="256"/>
      <c r="J2314" s="256"/>
      <c r="W2314" s="317"/>
      <c r="Z2314" s="176"/>
      <c r="AA2314" s="176"/>
    </row>
    <row r="2315" spans="4:27">
      <c r="D2315" s="315"/>
      <c r="E2315" s="316"/>
      <c r="H2315" s="256"/>
      <c r="J2315" s="256"/>
      <c r="W2315" s="317"/>
      <c r="Z2315" s="176"/>
      <c r="AA2315" s="176"/>
    </row>
    <row r="2316" spans="4:27">
      <c r="D2316" s="315"/>
      <c r="E2316" s="316"/>
      <c r="H2316" s="256"/>
      <c r="J2316" s="256"/>
      <c r="W2316" s="317"/>
      <c r="Z2316" s="176"/>
      <c r="AA2316" s="176"/>
    </row>
    <row r="2317" spans="4:27">
      <c r="D2317" s="315"/>
      <c r="E2317" s="316"/>
      <c r="H2317" s="256"/>
      <c r="J2317" s="256"/>
      <c r="W2317" s="317"/>
      <c r="Z2317" s="176"/>
      <c r="AA2317" s="176"/>
    </row>
    <row r="2318" spans="4:27">
      <c r="D2318" s="315"/>
      <c r="E2318" s="316"/>
      <c r="H2318" s="256"/>
      <c r="J2318" s="256"/>
      <c r="W2318" s="317"/>
      <c r="Z2318" s="176"/>
      <c r="AA2318" s="176"/>
    </row>
    <row r="2319" spans="4:27">
      <c r="D2319" s="315"/>
      <c r="E2319" s="316"/>
      <c r="H2319" s="256"/>
      <c r="J2319" s="256"/>
      <c r="W2319" s="317"/>
      <c r="Z2319" s="176"/>
      <c r="AA2319" s="176"/>
    </row>
    <row r="2320" spans="4:27">
      <c r="D2320" s="315"/>
      <c r="E2320" s="316"/>
      <c r="H2320" s="256"/>
      <c r="J2320" s="256"/>
      <c r="W2320" s="317"/>
      <c r="Z2320" s="176"/>
      <c r="AA2320" s="176"/>
    </row>
    <row r="2321" spans="4:27">
      <c r="D2321" s="315"/>
      <c r="E2321" s="316"/>
      <c r="H2321" s="256"/>
      <c r="J2321" s="256"/>
      <c r="W2321" s="317"/>
      <c r="Z2321" s="176"/>
      <c r="AA2321" s="176"/>
    </row>
    <row r="2322" spans="4:27">
      <c r="D2322" s="315"/>
      <c r="E2322" s="316"/>
      <c r="H2322" s="256"/>
      <c r="J2322" s="256"/>
      <c r="W2322" s="317"/>
      <c r="Z2322" s="176"/>
      <c r="AA2322" s="176"/>
    </row>
    <row r="2323" spans="4:27">
      <c r="D2323" s="315"/>
      <c r="E2323" s="316"/>
      <c r="H2323" s="256"/>
      <c r="J2323" s="256"/>
      <c r="W2323" s="317"/>
      <c r="Z2323" s="176"/>
      <c r="AA2323" s="176"/>
    </row>
    <row r="2324" spans="4:27">
      <c r="D2324" s="315"/>
      <c r="E2324" s="316"/>
      <c r="H2324" s="256"/>
      <c r="J2324" s="256"/>
      <c r="W2324" s="317"/>
      <c r="Z2324" s="176"/>
      <c r="AA2324" s="176"/>
    </row>
    <row r="2325" spans="4:27">
      <c r="D2325" s="315"/>
      <c r="E2325" s="316"/>
      <c r="H2325" s="256"/>
      <c r="J2325" s="256"/>
      <c r="W2325" s="317"/>
      <c r="Z2325" s="176"/>
      <c r="AA2325" s="176"/>
    </row>
    <row r="2326" spans="4:27">
      <c r="D2326" s="315"/>
      <c r="E2326" s="316"/>
      <c r="H2326" s="256"/>
      <c r="J2326" s="256"/>
      <c r="W2326" s="317"/>
      <c r="Z2326" s="176"/>
      <c r="AA2326" s="176"/>
    </row>
    <row r="2327" spans="4:27">
      <c r="D2327" s="315"/>
      <c r="E2327" s="316"/>
      <c r="H2327" s="256"/>
      <c r="J2327" s="256"/>
      <c r="W2327" s="317"/>
      <c r="Z2327" s="176"/>
      <c r="AA2327" s="176"/>
    </row>
    <row r="2328" spans="4:27">
      <c r="D2328" s="315"/>
      <c r="E2328" s="316"/>
      <c r="H2328" s="256"/>
      <c r="J2328" s="256"/>
      <c r="W2328" s="317"/>
      <c r="Z2328" s="176"/>
      <c r="AA2328" s="176"/>
    </row>
    <row r="2329" spans="4:27">
      <c r="D2329" s="315"/>
      <c r="E2329" s="316"/>
      <c r="H2329" s="256"/>
      <c r="J2329" s="256"/>
      <c r="W2329" s="317"/>
      <c r="Z2329" s="176"/>
      <c r="AA2329" s="176"/>
    </row>
    <row r="2330" spans="4:27">
      <c r="D2330" s="315"/>
      <c r="E2330" s="316"/>
      <c r="H2330" s="256"/>
      <c r="J2330" s="256"/>
      <c r="W2330" s="317"/>
      <c r="Z2330" s="176"/>
      <c r="AA2330" s="176"/>
    </row>
    <row r="2331" spans="4:27">
      <c r="D2331" s="315"/>
      <c r="E2331" s="316"/>
      <c r="H2331" s="256"/>
      <c r="J2331" s="256"/>
      <c r="W2331" s="317"/>
      <c r="Z2331" s="176"/>
      <c r="AA2331" s="176"/>
    </row>
    <row r="2332" spans="4:27">
      <c r="D2332" s="315"/>
      <c r="E2332" s="316"/>
      <c r="H2332" s="256"/>
      <c r="J2332" s="256"/>
      <c r="W2332" s="317"/>
      <c r="Z2332" s="176"/>
      <c r="AA2332" s="176"/>
    </row>
    <row r="2333" spans="4:27">
      <c r="D2333" s="315"/>
      <c r="E2333" s="316"/>
      <c r="H2333" s="256"/>
      <c r="J2333" s="256"/>
      <c r="W2333" s="317"/>
      <c r="Z2333" s="176"/>
      <c r="AA2333" s="176"/>
    </row>
    <row r="2334" spans="4:27">
      <c r="D2334" s="315"/>
      <c r="E2334" s="316"/>
      <c r="H2334" s="256"/>
      <c r="J2334" s="256"/>
      <c r="W2334" s="317"/>
      <c r="Z2334" s="176"/>
      <c r="AA2334" s="176"/>
    </row>
    <row r="2335" spans="4:27">
      <c r="D2335" s="315"/>
      <c r="E2335" s="316"/>
      <c r="H2335" s="256"/>
      <c r="J2335" s="256"/>
      <c r="W2335" s="317"/>
      <c r="Z2335" s="176"/>
      <c r="AA2335" s="176"/>
    </row>
    <row r="2336" spans="4:27">
      <c r="D2336" s="315"/>
      <c r="E2336" s="316"/>
      <c r="H2336" s="256"/>
      <c r="J2336" s="256"/>
      <c r="W2336" s="317"/>
      <c r="Z2336" s="176"/>
      <c r="AA2336" s="176"/>
    </row>
    <row r="2337" spans="4:27">
      <c r="D2337" s="315"/>
      <c r="E2337" s="316"/>
      <c r="H2337" s="256"/>
      <c r="J2337" s="256"/>
      <c r="W2337" s="317"/>
      <c r="Z2337" s="176"/>
      <c r="AA2337" s="176"/>
    </row>
    <row r="2338" spans="4:27">
      <c r="D2338" s="315"/>
      <c r="E2338" s="316"/>
      <c r="H2338" s="256"/>
      <c r="J2338" s="256"/>
      <c r="W2338" s="317"/>
      <c r="Z2338" s="176"/>
      <c r="AA2338" s="176"/>
    </row>
    <row r="2339" spans="4:27">
      <c r="D2339" s="315"/>
      <c r="E2339" s="316"/>
      <c r="H2339" s="256"/>
      <c r="J2339" s="256"/>
      <c r="W2339" s="317"/>
      <c r="Z2339" s="176"/>
      <c r="AA2339" s="176"/>
    </row>
    <row r="2340" spans="4:27">
      <c r="D2340" s="315"/>
      <c r="E2340" s="316"/>
      <c r="H2340" s="256"/>
      <c r="J2340" s="256"/>
      <c r="W2340" s="317"/>
      <c r="Z2340" s="176"/>
      <c r="AA2340" s="176"/>
    </row>
    <row r="2341" spans="4:27">
      <c r="D2341" s="315"/>
      <c r="E2341" s="316"/>
      <c r="H2341" s="256"/>
      <c r="J2341" s="256"/>
      <c r="W2341" s="317"/>
      <c r="Z2341" s="176"/>
      <c r="AA2341" s="176"/>
    </row>
    <row r="2342" spans="4:27">
      <c r="D2342" s="315"/>
      <c r="E2342" s="316"/>
      <c r="H2342" s="256"/>
      <c r="J2342" s="256"/>
      <c r="W2342" s="317"/>
      <c r="Z2342" s="176"/>
      <c r="AA2342" s="176"/>
    </row>
    <row r="2343" spans="4:27">
      <c r="D2343" s="315"/>
      <c r="E2343" s="316"/>
      <c r="H2343" s="256"/>
      <c r="J2343" s="256"/>
      <c r="W2343" s="317"/>
      <c r="Z2343" s="176"/>
      <c r="AA2343" s="176"/>
    </row>
    <row r="2344" spans="4:27">
      <c r="D2344" s="315"/>
      <c r="E2344" s="316"/>
      <c r="H2344" s="256"/>
      <c r="J2344" s="256"/>
      <c r="W2344" s="317"/>
      <c r="Z2344" s="176"/>
      <c r="AA2344" s="176"/>
    </row>
    <row r="2345" spans="4:27">
      <c r="D2345" s="315"/>
      <c r="E2345" s="316"/>
      <c r="H2345" s="256"/>
      <c r="J2345" s="256"/>
      <c r="W2345" s="317"/>
      <c r="Z2345" s="176"/>
      <c r="AA2345" s="176"/>
    </row>
    <row r="2346" spans="4:27">
      <c r="D2346" s="315"/>
      <c r="E2346" s="316"/>
      <c r="H2346" s="256"/>
      <c r="J2346" s="256"/>
      <c r="W2346" s="317"/>
      <c r="Z2346" s="176"/>
      <c r="AA2346" s="176"/>
    </row>
    <row r="2347" spans="4:27">
      <c r="D2347" s="315"/>
      <c r="E2347" s="316"/>
      <c r="H2347" s="256"/>
      <c r="J2347" s="256"/>
      <c r="W2347" s="317"/>
      <c r="Z2347" s="176"/>
      <c r="AA2347" s="176"/>
    </row>
    <row r="2348" spans="4:27">
      <c r="D2348" s="315"/>
      <c r="E2348" s="316"/>
      <c r="H2348" s="256"/>
      <c r="J2348" s="256"/>
      <c r="W2348" s="317"/>
      <c r="Z2348" s="176"/>
      <c r="AA2348" s="176"/>
    </row>
    <row r="2349" spans="4:27">
      <c r="D2349" s="315"/>
      <c r="E2349" s="316"/>
      <c r="H2349" s="256"/>
      <c r="J2349" s="256"/>
      <c r="W2349" s="317"/>
      <c r="Z2349" s="176"/>
      <c r="AA2349" s="176"/>
    </row>
    <row r="2350" spans="4:27">
      <c r="D2350" s="315"/>
      <c r="E2350" s="316"/>
      <c r="H2350" s="256"/>
      <c r="J2350" s="256"/>
      <c r="W2350" s="317"/>
      <c r="Z2350" s="176"/>
      <c r="AA2350" s="176"/>
    </row>
    <row r="2351" spans="4:27">
      <c r="D2351" s="315"/>
      <c r="E2351" s="316"/>
      <c r="H2351" s="256"/>
      <c r="J2351" s="256"/>
      <c r="W2351" s="317"/>
      <c r="Z2351" s="176"/>
      <c r="AA2351" s="176"/>
    </row>
    <row r="2352" spans="4:27">
      <c r="D2352" s="315"/>
      <c r="E2352" s="316"/>
      <c r="H2352" s="256"/>
      <c r="J2352" s="256"/>
      <c r="W2352" s="317"/>
      <c r="Z2352" s="176"/>
      <c r="AA2352" s="176"/>
    </row>
    <row r="2353" spans="4:27">
      <c r="D2353" s="315"/>
      <c r="E2353" s="316"/>
      <c r="H2353" s="256"/>
      <c r="J2353" s="256"/>
      <c r="W2353" s="317"/>
      <c r="Z2353" s="176"/>
      <c r="AA2353" s="176"/>
    </row>
    <row r="2354" spans="4:27">
      <c r="D2354" s="315"/>
      <c r="E2354" s="316"/>
      <c r="H2354" s="256"/>
      <c r="J2354" s="256"/>
      <c r="W2354" s="317"/>
      <c r="Z2354" s="176"/>
      <c r="AA2354" s="176"/>
    </row>
    <row r="2355" spans="4:27">
      <c r="D2355" s="315"/>
      <c r="E2355" s="316"/>
      <c r="H2355" s="256"/>
      <c r="J2355" s="256"/>
      <c r="W2355" s="317"/>
      <c r="Z2355" s="176"/>
      <c r="AA2355" s="176"/>
    </row>
    <row r="2356" spans="4:27">
      <c r="D2356" s="315"/>
      <c r="E2356" s="316"/>
      <c r="H2356" s="256"/>
      <c r="J2356" s="256"/>
      <c r="W2356" s="317"/>
      <c r="Z2356" s="176"/>
      <c r="AA2356" s="176"/>
    </row>
    <row r="2357" spans="4:27">
      <c r="D2357" s="315"/>
      <c r="E2357" s="316"/>
      <c r="H2357" s="256"/>
      <c r="J2357" s="256"/>
      <c r="W2357" s="317"/>
      <c r="Z2357" s="176"/>
      <c r="AA2357" s="176"/>
    </row>
    <row r="2358" spans="4:27">
      <c r="D2358" s="315"/>
      <c r="E2358" s="316"/>
      <c r="H2358" s="256"/>
      <c r="J2358" s="256"/>
      <c r="W2358" s="317"/>
      <c r="Z2358" s="176"/>
      <c r="AA2358" s="176"/>
    </row>
    <row r="2359" spans="4:27">
      <c r="D2359" s="315"/>
      <c r="E2359" s="316"/>
      <c r="H2359" s="256"/>
      <c r="J2359" s="256"/>
      <c r="W2359" s="317"/>
      <c r="Z2359" s="176"/>
      <c r="AA2359" s="176"/>
    </row>
    <row r="2360" spans="4:27">
      <c r="D2360" s="315"/>
      <c r="E2360" s="316"/>
      <c r="H2360" s="256"/>
      <c r="J2360" s="256"/>
      <c r="W2360" s="317"/>
      <c r="Z2360" s="176"/>
      <c r="AA2360" s="176"/>
    </row>
    <row r="2361" spans="4:27">
      <c r="D2361" s="315"/>
      <c r="E2361" s="316"/>
      <c r="H2361" s="256"/>
      <c r="J2361" s="256"/>
      <c r="W2361" s="317"/>
      <c r="Z2361" s="176"/>
      <c r="AA2361" s="176"/>
    </row>
    <row r="2362" spans="4:27">
      <c r="D2362" s="315"/>
      <c r="E2362" s="316"/>
      <c r="H2362" s="256"/>
      <c r="J2362" s="256"/>
      <c r="W2362" s="317"/>
      <c r="Z2362" s="176"/>
      <c r="AA2362" s="176"/>
    </row>
    <row r="2363" spans="4:27">
      <c r="D2363" s="315"/>
      <c r="E2363" s="316"/>
      <c r="H2363" s="256"/>
      <c r="J2363" s="256"/>
      <c r="W2363" s="317"/>
      <c r="Z2363" s="176"/>
      <c r="AA2363" s="176"/>
    </row>
    <row r="2364" spans="4:27">
      <c r="D2364" s="315"/>
      <c r="E2364" s="316"/>
      <c r="H2364" s="256"/>
      <c r="J2364" s="256"/>
      <c r="W2364" s="317"/>
      <c r="Z2364" s="176"/>
      <c r="AA2364" s="176"/>
    </row>
    <row r="2365" spans="4:27">
      <c r="D2365" s="315"/>
      <c r="E2365" s="316"/>
      <c r="H2365" s="256"/>
      <c r="J2365" s="256"/>
      <c r="W2365" s="317"/>
      <c r="Z2365" s="176"/>
      <c r="AA2365" s="176"/>
    </row>
    <row r="2366" spans="4:27">
      <c r="D2366" s="315"/>
      <c r="E2366" s="316"/>
      <c r="H2366" s="256"/>
      <c r="J2366" s="256"/>
      <c r="W2366" s="317"/>
      <c r="Z2366" s="176"/>
      <c r="AA2366" s="176"/>
    </row>
    <row r="2367" spans="4:27">
      <c r="D2367" s="315"/>
      <c r="E2367" s="316"/>
      <c r="H2367" s="256"/>
      <c r="J2367" s="256"/>
      <c r="W2367" s="317"/>
      <c r="Z2367" s="176"/>
      <c r="AA2367" s="176"/>
    </row>
    <row r="2368" spans="4:27">
      <c r="D2368" s="315"/>
      <c r="E2368" s="316"/>
      <c r="H2368" s="256"/>
      <c r="J2368" s="256"/>
      <c r="W2368" s="317"/>
      <c r="Z2368" s="176"/>
      <c r="AA2368" s="176"/>
    </row>
    <row r="2369" spans="4:27">
      <c r="D2369" s="315"/>
      <c r="E2369" s="316"/>
      <c r="H2369" s="256"/>
      <c r="J2369" s="256"/>
      <c r="W2369" s="317"/>
      <c r="Z2369" s="176"/>
      <c r="AA2369" s="176"/>
    </row>
    <row r="2370" spans="4:27">
      <c r="D2370" s="315"/>
      <c r="E2370" s="316"/>
      <c r="H2370" s="256"/>
      <c r="J2370" s="256"/>
      <c r="W2370" s="317"/>
      <c r="Z2370" s="176"/>
      <c r="AA2370" s="176"/>
    </row>
    <row r="2371" spans="4:27">
      <c r="D2371" s="315"/>
      <c r="E2371" s="316"/>
      <c r="H2371" s="256"/>
      <c r="J2371" s="256"/>
      <c r="W2371" s="317"/>
      <c r="Z2371" s="176"/>
      <c r="AA2371" s="176"/>
    </row>
    <row r="2372" spans="4:27">
      <c r="D2372" s="315"/>
      <c r="E2372" s="316"/>
      <c r="H2372" s="256"/>
      <c r="J2372" s="256"/>
      <c r="W2372" s="317"/>
      <c r="Z2372" s="176"/>
      <c r="AA2372" s="176"/>
    </row>
    <row r="2373" spans="4:27">
      <c r="D2373" s="315"/>
      <c r="E2373" s="316"/>
      <c r="H2373" s="256"/>
      <c r="J2373" s="256"/>
      <c r="W2373" s="317"/>
      <c r="Z2373" s="176"/>
      <c r="AA2373" s="176"/>
    </row>
    <row r="2374" spans="4:27">
      <c r="D2374" s="315"/>
      <c r="E2374" s="316"/>
      <c r="H2374" s="256"/>
      <c r="J2374" s="256"/>
      <c r="W2374" s="317"/>
      <c r="Z2374" s="176"/>
      <c r="AA2374" s="176"/>
    </row>
    <row r="2375" spans="4:27">
      <c r="D2375" s="315"/>
      <c r="E2375" s="316"/>
      <c r="H2375" s="256"/>
      <c r="J2375" s="256"/>
      <c r="W2375" s="317"/>
      <c r="Z2375" s="176"/>
      <c r="AA2375" s="176"/>
    </row>
    <row r="2376" spans="4:27">
      <c r="D2376" s="315"/>
      <c r="E2376" s="316"/>
      <c r="H2376" s="256"/>
      <c r="J2376" s="256"/>
      <c r="W2376" s="317"/>
      <c r="Z2376" s="176"/>
      <c r="AA2376" s="176"/>
    </row>
    <row r="2377" spans="4:27">
      <c r="D2377" s="315"/>
      <c r="E2377" s="316"/>
      <c r="H2377" s="256"/>
      <c r="J2377" s="256"/>
      <c r="W2377" s="317"/>
      <c r="Z2377" s="176"/>
      <c r="AA2377" s="176"/>
    </row>
    <row r="2378" spans="4:27">
      <c r="D2378" s="315"/>
      <c r="E2378" s="316"/>
      <c r="H2378" s="256"/>
      <c r="J2378" s="256"/>
      <c r="W2378" s="317"/>
      <c r="Z2378" s="176"/>
      <c r="AA2378" s="176"/>
    </row>
    <row r="2379" spans="4:27">
      <c r="D2379" s="315"/>
      <c r="E2379" s="316"/>
      <c r="H2379" s="256"/>
      <c r="J2379" s="256"/>
      <c r="W2379" s="317"/>
      <c r="Z2379" s="176"/>
      <c r="AA2379" s="176"/>
    </row>
    <row r="2380" spans="4:27">
      <c r="D2380" s="315"/>
      <c r="E2380" s="316"/>
      <c r="H2380" s="256"/>
      <c r="J2380" s="256"/>
      <c r="W2380" s="317"/>
      <c r="Z2380" s="176"/>
      <c r="AA2380" s="176"/>
    </row>
    <row r="2381" spans="4:27">
      <c r="D2381" s="315"/>
      <c r="E2381" s="316"/>
      <c r="H2381" s="256"/>
      <c r="J2381" s="256"/>
      <c r="W2381" s="317"/>
      <c r="Z2381" s="176"/>
      <c r="AA2381" s="176"/>
    </row>
    <row r="2382" spans="4:27">
      <c r="D2382" s="315"/>
      <c r="E2382" s="316"/>
      <c r="H2382" s="256"/>
      <c r="J2382" s="256"/>
      <c r="W2382" s="317"/>
      <c r="Z2382" s="176"/>
      <c r="AA2382" s="176"/>
    </row>
    <row r="2383" spans="4:27">
      <c r="D2383" s="315"/>
      <c r="E2383" s="316"/>
      <c r="H2383" s="256"/>
      <c r="J2383" s="256"/>
      <c r="W2383" s="317"/>
      <c r="Z2383" s="176"/>
      <c r="AA2383" s="176"/>
    </row>
    <row r="2384" spans="4:27">
      <c r="D2384" s="315"/>
      <c r="E2384" s="316"/>
      <c r="H2384" s="256"/>
      <c r="J2384" s="256"/>
      <c r="W2384" s="317"/>
      <c r="Z2384" s="176"/>
      <c r="AA2384" s="176"/>
    </row>
    <row r="2385" spans="4:27">
      <c r="D2385" s="315"/>
      <c r="E2385" s="316"/>
      <c r="H2385" s="256"/>
      <c r="J2385" s="256"/>
      <c r="W2385" s="317"/>
      <c r="Z2385" s="176"/>
      <c r="AA2385" s="176"/>
    </row>
    <row r="2386" spans="4:27">
      <c r="D2386" s="315"/>
      <c r="E2386" s="316"/>
      <c r="H2386" s="256"/>
      <c r="J2386" s="256"/>
      <c r="W2386" s="317"/>
      <c r="Z2386" s="176"/>
      <c r="AA2386" s="176"/>
    </row>
    <row r="2387" spans="4:27">
      <c r="D2387" s="315"/>
      <c r="E2387" s="316"/>
      <c r="H2387" s="256"/>
      <c r="J2387" s="256"/>
      <c r="W2387" s="317"/>
      <c r="Z2387" s="176"/>
      <c r="AA2387" s="176"/>
    </row>
    <row r="2388" spans="4:27">
      <c r="D2388" s="315"/>
      <c r="E2388" s="316"/>
      <c r="H2388" s="256"/>
      <c r="J2388" s="256"/>
      <c r="W2388" s="317"/>
      <c r="Z2388" s="176"/>
      <c r="AA2388" s="176"/>
    </row>
    <row r="2389" spans="4:27">
      <c r="D2389" s="315"/>
      <c r="E2389" s="316"/>
      <c r="H2389" s="256"/>
      <c r="J2389" s="256"/>
      <c r="W2389" s="317"/>
      <c r="Z2389" s="176"/>
      <c r="AA2389" s="176"/>
    </row>
    <row r="2390" spans="4:27">
      <c r="D2390" s="315"/>
      <c r="E2390" s="316"/>
      <c r="H2390" s="256"/>
      <c r="J2390" s="256"/>
      <c r="W2390" s="317"/>
      <c r="Z2390" s="176"/>
      <c r="AA2390" s="176"/>
    </row>
    <row r="2391" spans="4:27">
      <c r="D2391" s="315"/>
      <c r="E2391" s="316"/>
      <c r="H2391" s="256"/>
      <c r="J2391" s="256"/>
      <c r="W2391" s="317"/>
      <c r="Z2391" s="176"/>
      <c r="AA2391" s="176"/>
    </row>
    <row r="2392" spans="4:27">
      <c r="D2392" s="315"/>
      <c r="E2392" s="316"/>
      <c r="H2392" s="256"/>
      <c r="J2392" s="256"/>
      <c r="W2392" s="317"/>
      <c r="Z2392" s="176"/>
      <c r="AA2392" s="176"/>
    </row>
    <row r="2393" spans="4:27">
      <c r="D2393" s="315"/>
      <c r="E2393" s="316"/>
      <c r="H2393" s="256"/>
      <c r="J2393" s="256"/>
      <c r="W2393" s="317"/>
      <c r="Z2393" s="176"/>
      <c r="AA2393" s="176"/>
    </row>
    <row r="2394" spans="4:27">
      <c r="D2394" s="315"/>
      <c r="E2394" s="316"/>
      <c r="H2394" s="256"/>
      <c r="J2394" s="256"/>
      <c r="W2394" s="317"/>
      <c r="Z2394" s="176"/>
      <c r="AA2394" s="176"/>
    </row>
    <row r="2395" spans="4:27">
      <c r="D2395" s="315"/>
      <c r="E2395" s="316"/>
      <c r="H2395" s="256"/>
      <c r="J2395" s="256"/>
      <c r="W2395" s="317"/>
      <c r="Z2395" s="176"/>
      <c r="AA2395" s="176"/>
    </row>
    <row r="2396" spans="4:27">
      <c r="D2396" s="315"/>
      <c r="E2396" s="316"/>
      <c r="H2396" s="256"/>
      <c r="J2396" s="256"/>
      <c r="W2396" s="317"/>
      <c r="Z2396" s="176"/>
      <c r="AA2396" s="176"/>
    </row>
    <row r="2397" spans="4:27">
      <c r="D2397" s="315"/>
      <c r="E2397" s="316"/>
      <c r="H2397" s="256"/>
      <c r="J2397" s="256"/>
      <c r="W2397" s="317"/>
      <c r="Z2397" s="176"/>
      <c r="AA2397" s="176"/>
    </row>
    <row r="2398" spans="4:27">
      <c r="D2398" s="315"/>
      <c r="E2398" s="316"/>
      <c r="H2398" s="256"/>
      <c r="J2398" s="256"/>
      <c r="W2398" s="317"/>
      <c r="Z2398" s="176"/>
      <c r="AA2398" s="176"/>
    </row>
    <row r="2399" spans="4:27">
      <c r="D2399" s="315"/>
      <c r="E2399" s="316"/>
      <c r="H2399" s="256"/>
      <c r="J2399" s="256"/>
      <c r="W2399" s="317"/>
      <c r="Z2399" s="176"/>
      <c r="AA2399" s="176"/>
    </row>
    <row r="2400" spans="4:27">
      <c r="D2400" s="315"/>
      <c r="E2400" s="316"/>
      <c r="H2400" s="256"/>
      <c r="J2400" s="256"/>
      <c r="W2400" s="317"/>
      <c r="Z2400" s="176"/>
      <c r="AA2400" s="176"/>
    </row>
    <row r="2401" spans="4:27">
      <c r="D2401" s="315"/>
      <c r="E2401" s="316"/>
      <c r="H2401" s="256"/>
      <c r="J2401" s="256"/>
      <c r="W2401" s="317"/>
      <c r="Z2401" s="176"/>
      <c r="AA2401" s="176"/>
    </row>
    <row r="2402" spans="4:27">
      <c r="D2402" s="315"/>
      <c r="E2402" s="316"/>
      <c r="H2402" s="256"/>
      <c r="J2402" s="256"/>
      <c r="W2402" s="317"/>
      <c r="Z2402" s="176"/>
      <c r="AA2402" s="176"/>
    </row>
    <row r="2403" spans="4:27">
      <c r="D2403" s="315"/>
      <c r="E2403" s="316"/>
      <c r="H2403" s="256"/>
      <c r="J2403" s="256"/>
      <c r="W2403" s="317"/>
      <c r="Z2403" s="176"/>
      <c r="AA2403" s="176"/>
    </row>
    <row r="2404" spans="4:27">
      <c r="D2404" s="315"/>
      <c r="E2404" s="316"/>
      <c r="H2404" s="256"/>
      <c r="J2404" s="256"/>
      <c r="W2404" s="317"/>
      <c r="Z2404" s="176"/>
      <c r="AA2404" s="176"/>
    </row>
    <row r="2405" spans="4:27">
      <c r="D2405" s="315"/>
      <c r="E2405" s="316"/>
      <c r="H2405" s="256"/>
      <c r="J2405" s="256"/>
      <c r="W2405" s="317"/>
      <c r="Z2405" s="176"/>
      <c r="AA2405" s="176"/>
    </row>
    <row r="2406" spans="4:27">
      <c r="D2406" s="315"/>
      <c r="E2406" s="316"/>
      <c r="H2406" s="256"/>
      <c r="J2406" s="256"/>
      <c r="W2406" s="317"/>
      <c r="Z2406" s="176"/>
      <c r="AA2406" s="176"/>
    </row>
    <row r="2407" spans="4:27">
      <c r="D2407" s="315"/>
      <c r="E2407" s="316"/>
      <c r="H2407" s="256"/>
      <c r="J2407" s="256"/>
      <c r="W2407" s="317"/>
      <c r="Z2407" s="176"/>
      <c r="AA2407" s="176"/>
    </row>
    <row r="2408" spans="4:27">
      <c r="D2408" s="315"/>
      <c r="E2408" s="316"/>
      <c r="H2408" s="256"/>
      <c r="J2408" s="256"/>
      <c r="W2408" s="317"/>
      <c r="Z2408" s="176"/>
      <c r="AA2408" s="176"/>
    </row>
    <row r="2409" spans="4:27">
      <c r="D2409" s="315"/>
      <c r="E2409" s="316"/>
      <c r="H2409" s="256"/>
      <c r="J2409" s="256"/>
      <c r="W2409" s="317"/>
      <c r="Z2409" s="176"/>
      <c r="AA2409" s="176"/>
    </row>
    <row r="2410" spans="4:27">
      <c r="D2410" s="315"/>
      <c r="E2410" s="316"/>
      <c r="H2410" s="256"/>
      <c r="J2410" s="256"/>
      <c r="W2410" s="317"/>
      <c r="Z2410" s="176"/>
      <c r="AA2410" s="176"/>
    </row>
    <row r="2411" spans="4:27">
      <c r="D2411" s="315"/>
      <c r="E2411" s="316"/>
      <c r="H2411" s="256"/>
      <c r="J2411" s="256"/>
      <c r="W2411" s="317"/>
      <c r="Z2411" s="176"/>
      <c r="AA2411" s="176"/>
    </row>
    <row r="2412" spans="4:27">
      <c r="D2412" s="315"/>
      <c r="E2412" s="316"/>
      <c r="H2412" s="256"/>
      <c r="J2412" s="256"/>
      <c r="W2412" s="317"/>
      <c r="Z2412" s="176"/>
      <c r="AA2412" s="176"/>
    </row>
    <row r="2413" spans="4:27">
      <c r="D2413" s="315"/>
      <c r="E2413" s="316"/>
      <c r="H2413" s="256"/>
      <c r="J2413" s="256"/>
      <c r="W2413" s="317"/>
      <c r="Z2413" s="176"/>
      <c r="AA2413" s="176"/>
    </row>
    <row r="2414" spans="4:27">
      <c r="D2414" s="315"/>
      <c r="E2414" s="316"/>
      <c r="H2414" s="256"/>
      <c r="J2414" s="256"/>
      <c r="W2414" s="317"/>
      <c r="Z2414" s="176"/>
      <c r="AA2414" s="176"/>
    </row>
    <row r="2415" spans="4:27">
      <c r="D2415" s="315"/>
      <c r="E2415" s="316"/>
      <c r="H2415" s="256"/>
      <c r="J2415" s="256"/>
      <c r="W2415" s="317"/>
      <c r="Z2415" s="176"/>
      <c r="AA2415" s="176"/>
    </row>
    <row r="2416" spans="4:27">
      <c r="D2416" s="315"/>
      <c r="E2416" s="316"/>
      <c r="H2416" s="256"/>
      <c r="J2416" s="256"/>
      <c r="W2416" s="317"/>
      <c r="Z2416" s="176"/>
      <c r="AA2416" s="176"/>
    </row>
    <row r="2417" spans="4:27">
      <c r="D2417" s="315"/>
      <c r="E2417" s="316"/>
      <c r="H2417" s="256"/>
      <c r="J2417" s="256"/>
      <c r="W2417" s="317"/>
      <c r="Z2417" s="176"/>
      <c r="AA2417" s="176"/>
    </row>
    <row r="2418" spans="4:27">
      <c r="D2418" s="315"/>
      <c r="E2418" s="316"/>
      <c r="H2418" s="256"/>
      <c r="J2418" s="256"/>
      <c r="W2418" s="317"/>
      <c r="Z2418" s="176"/>
      <c r="AA2418" s="176"/>
    </row>
    <row r="2419" spans="4:27">
      <c r="D2419" s="315"/>
      <c r="E2419" s="316"/>
      <c r="H2419" s="256"/>
      <c r="J2419" s="256"/>
      <c r="W2419" s="317"/>
      <c r="Z2419" s="176"/>
      <c r="AA2419" s="176"/>
    </row>
    <row r="2420" spans="4:27">
      <c r="D2420" s="315"/>
      <c r="E2420" s="316"/>
      <c r="H2420" s="256"/>
      <c r="J2420" s="256"/>
      <c r="W2420" s="317"/>
      <c r="Z2420" s="176"/>
      <c r="AA2420" s="176"/>
    </row>
    <row r="2421" spans="4:27">
      <c r="D2421" s="315"/>
      <c r="E2421" s="316"/>
      <c r="H2421" s="256"/>
      <c r="J2421" s="256"/>
      <c r="W2421" s="317"/>
      <c r="Z2421" s="176"/>
      <c r="AA2421" s="176"/>
    </row>
    <row r="2422" spans="4:27">
      <c r="D2422" s="315"/>
      <c r="E2422" s="316"/>
      <c r="H2422" s="256"/>
      <c r="J2422" s="256"/>
      <c r="W2422" s="317"/>
      <c r="Z2422" s="176"/>
      <c r="AA2422" s="176"/>
    </row>
    <row r="2423" spans="4:27">
      <c r="D2423" s="315"/>
      <c r="E2423" s="316"/>
      <c r="H2423" s="256"/>
      <c r="J2423" s="256"/>
      <c r="W2423" s="317"/>
      <c r="Z2423" s="176"/>
      <c r="AA2423" s="176"/>
    </row>
    <row r="2424" spans="4:27">
      <c r="D2424" s="315"/>
      <c r="E2424" s="316"/>
      <c r="H2424" s="256"/>
      <c r="J2424" s="256"/>
      <c r="W2424" s="317"/>
      <c r="Z2424" s="176"/>
      <c r="AA2424" s="176"/>
    </row>
    <row r="2425" spans="4:27">
      <c r="D2425" s="315"/>
      <c r="E2425" s="316"/>
      <c r="H2425" s="256"/>
      <c r="J2425" s="256"/>
      <c r="W2425" s="317"/>
      <c r="Z2425" s="176"/>
      <c r="AA2425" s="176"/>
    </row>
    <row r="2426" spans="4:27">
      <c r="D2426" s="315"/>
      <c r="E2426" s="316"/>
      <c r="H2426" s="256"/>
      <c r="J2426" s="256"/>
      <c r="W2426" s="317"/>
      <c r="Z2426" s="176"/>
      <c r="AA2426" s="176"/>
    </row>
    <row r="2427" spans="4:27">
      <c r="D2427" s="315"/>
      <c r="E2427" s="316"/>
      <c r="H2427" s="256"/>
      <c r="J2427" s="256"/>
      <c r="W2427" s="317"/>
      <c r="Z2427" s="176"/>
      <c r="AA2427" s="176"/>
    </row>
    <row r="2428" spans="4:27">
      <c r="D2428" s="315"/>
      <c r="E2428" s="316"/>
      <c r="H2428" s="256"/>
      <c r="J2428" s="256"/>
      <c r="W2428" s="317"/>
      <c r="Z2428" s="176"/>
      <c r="AA2428" s="176"/>
    </row>
    <row r="2429" spans="4:27">
      <c r="D2429" s="315"/>
      <c r="E2429" s="316"/>
      <c r="H2429" s="256"/>
      <c r="J2429" s="256"/>
      <c r="W2429" s="317"/>
      <c r="Z2429" s="176"/>
      <c r="AA2429" s="176"/>
    </row>
    <row r="2430" spans="4:27">
      <c r="D2430" s="315"/>
      <c r="E2430" s="316"/>
      <c r="H2430" s="256"/>
      <c r="J2430" s="256"/>
      <c r="W2430" s="317"/>
      <c r="Z2430" s="176"/>
      <c r="AA2430" s="176"/>
    </row>
    <row r="2431" spans="4:27">
      <c r="D2431" s="315"/>
      <c r="E2431" s="316"/>
      <c r="H2431" s="256"/>
      <c r="J2431" s="256"/>
      <c r="W2431" s="317"/>
      <c r="Z2431" s="176"/>
      <c r="AA2431" s="176"/>
    </row>
    <row r="2432" spans="4:27">
      <c r="D2432" s="315"/>
      <c r="E2432" s="316"/>
      <c r="H2432" s="256"/>
      <c r="J2432" s="256"/>
      <c r="W2432" s="317"/>
      <c r="Z2432" s="176"/>
      <c r="AA2432" s="176"/>
    </row>
    <row r="2433" spans="4:27">
      <c r="D2433" s="315"/>
      <c r="E2433" s="316"/>
      <c r="H2433" s="256"/>
      <c r="J2433" s="256"/>
      <c r="W2433" s="317"/>
      <c r="Z2433" s="176"/>
      <c r="AA2433" s="176"/>
    </row>
    <row r="2434" spans="4:27">
      <c r="D2434" s="315"/>
      <c r="E2434" s="316"/>
      <c r="H2434" s="256"/>
      <c r="J2434" s="256"/>
      <c r="W2434" s="317"/>
      <c r="Z2434" s="176"/>
      <c r="AA2434" s="176"/>
    </row>
    <row r="2435" spans="4:27">
      <c r="D2435" s="315"/>
      <c r="E2435" s="316"/>
      <c r="H2435" s="256"/>
      <c r="J2435" s="256"/>
      <c r="W2435" s="317"/>
      <c r="Z2435" s="176"/>
      <c r="AA2435" s="176"/>
    </row>
    <row r="2436" spans="4:27">
      <c r="D2436" s="315"/>
      <c r="E2436" s="316"/>
      <c r="H2436" s="256"/>
      <c r="J2436" s="256"/>
      <c r="W2436" s="317"/>
      <c r="Z2436" s="176"/>
      <c r="AA2436" s="176"/>
    </row>
    <row r="2437" spans="4:27">
      <c r="D2437" s="315"/>
      <c r="E2437" s="316"/>
      <c r="H2437" s="256"/>
      <c r="J2437" s="256"/>
      <c r="W2437" s="317"/>
      <c r="Z2437" s="176"/>
      <c r="AA2437" s="176"/>
    </row>
    <row r="2438" spans="4:27">
      <c r="D2438" s="315"/>
      <c r="E2438" s="316"/>
      <c r="H2438" s="256"/>
      <c r="J2438" s="256"/>
      <c r="W2438" s="317"/>
      <c r="Z2438" s="176"/>
      <c r="AA2438" s="176"/>
    </row>
    <row r="2439" spans="4:27">
      <c r="D2439" s="315"/>
      <c r="E2439" s="316"/>
      <c r="H2439" s="256"/>
      <c r="J2439" s="256"/>
      <c r="W2439" s="317"/>
      <c r="Z2439" s="176"/>
      <c r="AA2439" s="176"/>
    </row>
    <row r="2440" spans="4:27">
      <c r="D2440" s="315"/>
      <c r="E2440" s="316"/>
      <c r="H2440" s="256"/>
      <c r="J2440" s="256"/>
      <c r="W2440" s="317"/>
      <c r="Z2440" s="176"/>
      <c r="AA2440" s="176"/>
    </row>
    <row r="2441" spans="4:27">
      <c r="D2441" s="315"/>
      <c r="E2441" s="316"/>
      <c r="H2441" s="256"/>
      <c r="J2441" s="256"/>
      <c r="W2441" s="317"/>
      <c r="Z2441" s="176"/>
      <c r="AA2441" s="176"/>
    </row>
    <row r="2442" spans="4:27">
      <c r="D2442" s="315"/>
      <c r="E2442" s="316"/>
      <c r="H2442" s="256"/>
      <c r="J2442" s="256"/>
      <c r="W2442" s="317"/>
      <c r="Z2442" s="176"/>
      <c r="AA2442" s="176"/>
    </row>
    <row r="2443" spans="4:27">
      <c r="D2443" s="315"/>
      <c r="E2443" s="316"/>
      <c r="H2443" s="256"/>
      <c r="J2443" s="256"/>
      <c r="W2443" s="317"/>
      <c r="Z2443" s="176"/>
      <c r="AA2443" s="176"/>
    </row>
    <row r="2444" spans="4:27">
      <c r="D2444" s="315"/>
      <c r="E2444" s="316"/>
      <c r="H2444" s="256"/>
      <c r="J2444" s="256"/>
      <c r="W2444" s="317"/>
      <c r="Z2444" s="176"/>
      <c r="AA2444" s="176"/>
    </row>
    <row r="2445" spans="4:27">
      <c r="D2445" s="315"/>
      <c r="E2445" s="316"/>
      <c r="H2445" s="256"/>
      <c r="J2445" s="256"/>
      <c r="W2445" s="317"/>
      <c r="Z2445" s="176"/>
      <c r="AA2445" s="176"/>
    </row>
    <row r="2446" spans="4:27">
      <c r="D2446" s="315"/>
      <c r="E2446" s="316"/>
      <c r="H2446" s="256"/>
      <c r="J2446" s="256"/>
      <c r="W2446" s="317"/>
      <c r="Z2446" s="176"/>
      <c r="AA2446" s="176"/>
    </row>
    <row r="2447" spans="4:27">
      <c r="D2447" s="315"/>
      <c r="E2447" s="316"/>
      <c r="H2447" s="256"/>
      <c r="J2447" s="256"/>
      <c r="W2447" s="317"/>
      <c r="Z2447" s="176"/>
      <c r="AA2447" s="176"/>
    </row>
    <row r="2448" spans="4:27">
      <c r="D2448" s="315"/>
      <c r="E2448" s="316"/>
      <c r="H2448" s="256"/>
      <c r="J2448" s="256"/>
      <c r="W2448" s="317"/>
      <c r="Z2448" s="176"/>
      <c r="AA2448" s="176"/>
    </row>
    <row r="2449" spans="1:27">
      <c r="D2449" s="315"/>
      <c r="E2449" s="316"/>
      <c r="H2449" s="256"/>
      <c r="J2449" s="256"/>
      <c r="W2449" s="317"/>
      <c r="Z2449" s="176"/>
      <c r="AA2449" s="176"/>
    </row>
    <row r="2450" spans="1:27">
      <c r="D2450" s="315"/>
      <c r="E2450" s="316"/>
      <c r="H2450" s="256"/>
      <c r="J2450" s="256"/>
      <c r="W2450" s="317"/>
      <c r="Z2450" s="176"/>
      <c r="AA2450" s="176"/>
    </row>
    <row r="2451" spans="1:27">
      <c r="D2451" s="315"/>
      <c r="E2451" s="316"/>
      <c r="H2451" s="256"/>
      <c r="J2451" s="256"/>
      <c r="W2451" s="317"/>
      <c r="Z2451" s="176"/>
      <c r="AA2451" s="176"/>
    </row>
    <row r="2452" spans="1:27">
      <c r="D2452" s="315"/>
      <c r="E2452" s="316"/>
      <c r="H2452" s="256"/>
      <c r="J2452" s="256"/>
      <c r="W2452" s="317"/>
      <c r="Z2452" s="176"/>
      <c r="AA2452" s="176"/>
    </row>
    <row r="2453" spans="1:27">
      <c r="D2453" s="315"/>
      <c r="E2453" s="316"/>
      <c r="H2453" s="256"/>
      <c r="J2453" s="256"/>
      <c r="W2453" s="317"/>
      <c r="Z2453" s="176"/>
      <c r="AA2453" s="176"/>
    </row>
    <row r="2454" spans="1:27">
      <c r="A2454" s="318"/>
      <c r="B2454" s="318"/>
      <c r="C2454" s="319"/>
      <c r="D2454" s="319"/>
      <c r="E2454" s="319"/>
      <c r="F2454" s="319"/>
      <c r="H2454" s="256"/>
      <c r="J2454" s="256"/>
      <c r="W2454" s="317"/>
      <c r="Z2454" s="176"/>
      <c r="AA2454" s="176"/>
    </row>
    <row r="2455" spans="1:27">
      <c r="A2455" s="318"/>
      <c r="B2455" s="318"/>
      <c r="C2455" s="319"/>
      <c r="D2455" s="319"/>
      <c r="E2455" s="319"/>
      <c r="F2455" s="319"/>
      <c r="H2455" s="256"/>
      <c r="J2455" s="256"/>
      <c r="W2455" s="317"/>
      <c r="Z2455" s="176"/>
      <c r="AA2455" s="176"/>
    </row>
    <row r="2456" spans="1:27">
      <c r="A2456" s="318"/>
      <c r="B2456" s="318"/>
      <c r="C2456" s="319"/>
      <c r="D2456" s="319"/>
      <c r="E2456" s="319"/>
      <c r="F2456" s="319"/>
      <c r="H2456" s="256"/>
      <c r="J2456" s="256"/>
      <c r="W2456" s="317"/>
      <c r="Z2456" s="176"/>
      <c r="AA2456" s="176"/>
    </row>
    <row r="2457" spans="1:27">
      <c r="A2457" s="318"/>
      <c r="B2457" s="318"/>
      <c r="C2457" s="319"/>
      <c r="D2457" s="319"/>
      <c r="E2457" s="319"/>
      <c r="F2457" s="319"/>
      <c r="H2457" s="256"/>
      <c r="J2457" s="256"/>
      <c r="W2457" s="317"/>
      <c r="Z2457" s="176"/>
      <c r="AA2457" s="176"/>
    </row>
    <row r="2458" spans="1:27">
      <c r="A2458" s="318"/>
      <c r="B2458" s="318"/>
      <c r="C2458" s="319"/>
      <c r="D2458" s="319"/>
      <c r="E2458" s="319"/>
      <c r="F2458" s="319"/>
      <c r="H2458" s="256"/>
      <c r="J2458" s="256"/>
      <c r="W2458" s="317"/>
      <c r="Z2458" s="176"/>
      <c r="AA2458" s="176"/>
    </row>
    <row r="2459" spans="1:27">
      <c r="A2459" s="318"/>
      <c r="B2459" s="318"/>
      <c r="C2459" s="319"/>
      <c r="D2459" s="319"/>
      <c r="E2459" s="319"/>
      <c r="F2459" s="319"/>
      <c r="H2459" s="256"/>
      <c r="J2459" s="256"/>
      <c r="W2459" s="317"/>
      <c r="Z2459" s="176"/>
      <c r="AA2459" s="176"/>
    </row>
    <row r="2460" spans="1:27">
      <c r="A2460" s="318"/>
      <c r="B2460" s="318"/>
      <c r="C2460" s="319"/>
      <c r="D2460" s="319"/>
      <c r="E2460" s="319"/>
      <c r="F2460" s="319"/>
      <c r="H2460" s="256"/>
      <c r="J2460" s="256"/>
      <c r="W2460" s="317"/>
      <c r="Z2460" s="176"/>
      <c r="AA2460" s="176"/>
    </row>
    <row r="2461" spans="1:27">
      <c r="A2461" s="318"/>
      <c r="B2461" s="318"/>
      <c r="C2461" s="319"/>
      <c r="D2461" s="319"/>
      <c r="E2461" s="319"/>
      <c r="F2461" s="319"/>
      <c r="H2461" s="256"/>
      <c r="J2461" s="256"/>
      <c r="W2461" s="317"/>
      <c r="Z2461" s="176"/>
      <c r="AA2461" s="176"/>
    </row>
    <row r="2462" spans="1:27">
      <c r="A2462" s="320" t="s">
        <v>255</v>
      </c>
      <c r="B2462" s="321"/>
      <c r="C2462" s="321"/>
      <c r="D2462" s="321"/>
      <c r="E2462" s="321"/>
      <c r="F2462" s="321"/>
      <c r="H2462" s="256"/>
      <c r="J2462" s="256"/>
      <c r="W2462" s="317"/>
      <c r="Z2462" s="176"/>
      <c r="AA2462" s="176"/>
    </row>
    <row r="2463" spans="1:27">
      <c r="A2463" s="321"/>
      <c r="B2463" s="321"/>
      <c r="C2463" s="321"/>
      <c r="D2463" s="321"/>
      <c r="E2463" s="321"/>
      <c r="F2463" s="321"/>
      <c r="G2463" s="319"/>
      <c r="H2463" s="256"/>
      <c r="J2463" s="256"/>
      <c r="N2463" s="322"/>
      <c r="S2463" s="323"/>
      <c r="Y2463" s="319"/>
    </row>
    <row r="2464" spans="1:27">
      <c r="A2464" s="324" t="s">
        <v>256</v>
      </c>
      <c r="B2464" s="321"/>
      <c r="C2464" s="321"/>
      <c r="D2464" s="325" t="s">
        <v>257</v>
      </c>
      <c r="E2464" s="326"/>
      <c r="F2464" s="321"/>
      <c r="G2464" s="319"/>
      <c r="H2464" s="256"/>
      <c r="J2464" s="256"/>
      <c r="N2464" s="322"/>
      <c r="S2464" s="323"/>
      <c r="Y2464" s="319"/>
    </row>
    <row r="2465" spans="1:25">
      <c r="A2465" s="327" t="s">
        <v>258</v>
      </c>
      <c r="B2465" s="328" t="s">
        <v>259</v>
      </c>
      <c r="C2465" s="165"/>
      <c r="D2465" s="327" t="s">
        <v>258</v>
      </c>
      <c r="E2465" s="328" t="s">
        <v>259</v>
      </c>
      <c r="F2465" s="165" t="s">
        <v>260</v>
      </c>
      <c r="G2465" s="319"/>
      <c r="H2465" s="256"/>
      <c r="J2465" s="256"/>
      <c r="N2465" s="322"/>
      <c r="S2465" s="323"/>
      <c r="Y2465" s="319"/>
    </row>
    <row r="2466" spans="1:25" ht="25.5">
      <c r="A2466" s="329" t="s">
        <v>261</v>
      </c>
      <c r="B2466" s="329" t="s">
        <v>261</v>
      </c>
      <c r="C2466" s="165" t="str">
        <f>D2466&amp;":"&amp;$G$2476</f>
        <v>--:CALENDAR</v>
      </c>
      <c r="D2466" s="329" t="s">
        <v>201</v>
      </c>
      <c r="E2466" s="329" t="s">
        <v>262</v>
      </c>
      <c r="F2466" s="165" t="s">
        <v>263</v>
      </c>
      <c r="G2466" s="319"/>
      <c r="H2466" s="256"/>
      <c r="J2466" s="256"/>
      <c r="N2466" s="322"/>
      <c r="S2466" s="323"/>
      <c r="Y2466" s="319"/>
    </row>
    <row r="2467" spans="1:25">
      <c r="A2467" s="330" t="s">
        <v>264</v>
      </c>
      <c r="B2467" s="330" t="s">
        <v>264</v>
      </c>
      <c r="C2467" s="165" t="str">
        <f t="shared" ref="C2467:C2476" si="0">D2467&amp;":"&amp;$G$2476</f>
        <v>Adjusted:CALENDAR</v>
      </c>
      <c r="D2467" s="330" t="s">
        <v>265</v>
      </c>
      <c r="E2467" s="330" t="s">
        <v>266</v>
      </c>
      <c r="F2467" s="181" t="s">
        <v>267</v>
      </c>
      <c r="G2467" s="319"/>
      <c r="H2467" s="319"/>
      <c r="I2467" s="319"/>
      <c r="N2467" s="322"/>
      <c r="S2467" s="323"/>
      <c r="Y2467" s="319"/>
    </row>
    <row r="2468" spans="1:25">
      <c r="A2468" s="329" t="s">
        <v>268</v>
      </c>
      <c r="B2468" s="329" t="s">
        <v>268</v>
      </c>
      <c r="C2468" s="165" t="str">
        <f t="shared" si="0"/>
        <v>Basic:CALENDAR</v>
      </c>
      <c r="D2468" s="329" t="s">
        <v>269</v>
      </c>
      <c r="E2468" s="329" t="s">
        <v>270</v>
      </c>
      <c r="F2468" s="201" t="s">
        <v>271</v>
      </c>
      <c r="G2468" s="319"/>
      <c r="H2468" s="319"/>
      <c r="I2468" s="319"/>
      <c r="N2468" s="322"/>
      <c r="S2468" s="323"/>
      <c r="Y2468" s="319"/>
    </row>
    <row r="2469" spans="1:25">
      <c r="A2469" s="330" t="s">
        <v>272</v>
      </c>
      <c r="B2469" s="330" t="s">
        <v>272</v>
      </c>
      <c r="C2469" s="165" t="str">
        <f t="shared" si="0"/>
        <v>Diluted:CALENDAR</v>
      </c>
      <c r="D2469" s="330" t="s">
        <v>273</v>
      </c>
      <c r="E2469" s="330" t="s">
        <v>274</v>
      </c>
      <c r="F2469" s="201" t="s">
        <v>275</v>
      </c>
      <c r="G2469" s="319"/>
      <c r="H2469" s="319"/>
      <c r="I2469" s="319"/>
      <c r="N2469" s="322"/>
      <c r="S2469" s="323"/>
      <c r="Y2469" s="319"/>
    </row>
    <row r="2470" spans="1:25">
      <c r="A2470" s="329" t="s">
        <v>276</v>
      </c>
      <c r="B2470" s="329" t="s">
        <v>276</v>
      </c>
      <c r="C2470" s="165" t="str">
        <f t="shared" si="0"/>
        <v>GAAP:CALENDAR</v>
      </c>
      <c r="D2470" s="329" t="s">
        <v>277</v>
      </c>
      <c r="E2470" s="329" t="s">
        <v>277</v>
      </c>
      <c r="F2470" s="201" t="s">
        <v>187</v>
      </c>
      <c r="G2470" s="319"/>
      <c r="H2470" s="319"/>
      <c r="I2470" s="319"/>
      <c r="N2470" s="322"/>
      <c r="S2470" s="323"/>
      <c r="Y2470" s="319"/>
    </row>
    <row r="2471" spans="1:25" s="321" customFormat="1">
      <c r="A2471" s="330" t="s">
        <v>278</v>
      </c>
      <c r="B2471" s="330" t="s">
        <v>278</v>
      </c>
      <c r="C2471" s="165" t="str">
        <f t="shared" si="0"/>
        <v>Indicated:CALENDAR</v>
      </c>
      <c r="D2471" s="330" t="s">
        <v>279</v>
      </c>
      <c r="E2471" s="330" t="s">
        <v>280</v>
      </c>
      <c r="F2471" s="201" t="s">
        <v>281</v>
      </c>
      <c r="H2471" s="319"/>
      <c r="I2471" s="319"/>
      <c r="J2471" s="187"/>
      <c r="K2471" s="166"/>
      <c r="L2471" s="166"/>
      <c r="M2471" s="188"/>
    </row>
    <row r="2472" spans="1:25" s="321" customFormat="1">
      <c r="A2472" s="329" t="s">
        <v>282</v>
      </c>
      <c r="B2472" s="329" t="s">
        <v>282</v>
      </c>
      <c r="C2472" s="165" t="str">
        <f t="shared" si="0"/>
        <v>Managed:CALENDAR</v>
      </c>
      <c r="D2472" s="329" t="s">
        <v>283</v>
      </c>
      <c r="E2472" s="329" t="s">
        <v>284</v>
      </c>
      <c r="F2472" s="218" t="s">
        <v>285</v>
      </c>
      <c r="H2472" s="319"/>
      <c r="I2472" s="319"/>
      <c r="J2472" s="187"/>
      <c r="K2472" s="166"/>
      <c r="L2472" s="166"/>
      <c r="M2472" s="188"/>
    </row>
    <row r="2473" spans="1:25" s="321" customFormat="1">
      <c r="A2473" s="330" t="s">
        <v>286</v>
      </c>
      <c r="B2473" s="330" t="s">
        <v>286</v>
      </c>
      <c r="C2473" s="165" t="str">
        <f t="shared" si="0"/>
        <v>Operating:CALENDAR</v>
      </c>
      <c r="D2473" s="330" t="s">
        <v>287</v>
      </c>
      <c r="E2473" s="330" t="s">
        <v>288</v>
      </c>
      <c r="F2473" s="218" t="s">
        <v>289</v>
      </c>
      <c r="G2473" s="325" t="s">
        <v>290</v>
      </c>
      <c r="H2473" s="319"/>
      <c r="I2473" s="319"/>
      <c r="J2473" s="187"/>
      <c r="K2473" s="166"/>
      <c r="L2473" s="166"/>
      <c r="M2473" s="188"/>
    </row>
    <row r="2474" spans="1:25" s="321" customFormat="1">
      <c r="A2474" s="329" t="s">
        <v>291</v>
      </c>
      <c r="B2474" s="329" t="s">
        <v>291</v>
      </c>
      <c r="C2474" s="165" t="str">
        <f t="shared" si="0"/>
        <v>Primary:CALENDAR</v>
      </c>
      <c r="D2474" s="329" t="s">
        <v>292</v>
      </c>
      <c r="E2474" s="329" t="s">
        <v>293</v>
      </c>
      <c r="F2474" s="165" t="s">
        <v>294</v>
      </c>
      <c r="G2474" s="328" t="s">
        <v>259</v>
      </c>
      <c r="H2474" s="319"/>
      <c r="I2474" s="319"/>
      <c r="J2474" s="187"/>
      <c r="K2474" s="166"/>
      <c r="L2474" s="166"/>
      <c r="M2474" s="188"/>
    </row>
    <row r="2475" spans="1:25" s="321" customFormat="1" ht="76.5">
      <c r="A2475" s="330" t="s">
        <v>295</v>
      </c>
      <c r="B2475" s="330" t="s">
        <v>295</v>
      </c>
      <c r="C2475" s="165" t="str">
        <f t="shared" si="0"/>
        <v>ProForma:CALENDAR</v>
      </c>
      <c r="D2475" s="330" t="s">
        <v>296</v>
      </c>
      <c r="E2475" s="330" t="s">
        <v>297</v>
      </c>
      <c r="F2475" s="236" t="s">
        <v>298</v>
      </c>
      <c r="G2475" s="282" t="s">
        <v>202</v>
      </c>
      <c r="M2475" s="331"/>
    </row>
    <row r="2476" spans="1:25" s="321" customFormat="1" ht="102">
      <c r="A2476" s="329" t="s">
        <v>299</v>
      </c>
      <c r="B2476" s="329" t="s">
        <v>299</v>
      </c>
      <c r="C2476" s="165" t="str">
        <f t="shared" si="0"/>
        <v>Restated:CALENDAR</v>
      </c>
      <c r="D2476" s="329" t="s">
        <v>300</v>
      </c>
      <c r="E2476" s="329" t="s">
        <v>301</v>
      </c>
      <c r="F2476" s="245" t="s">
        <v>302</v>
      </c>
      <c r="G2476" s="282" t="s">
        <v>303</v>
      </c>
      <c r="M2476" s="331"/>
    </row>
    <row r="2477" spans="1:25" s="321" customFormat="1" ht="25.5">
      <c r="A2477" s="330" t="s">
        <v>304</v>
      </c>
      <c r="B2477" s="330" t="s">
        <v>304</v>
      </c>
      <c r="C2477" s="165"/>
      <c r="F2477" s="218" t="s">
        <v>305</v>
      </c>
      <c r="H2477" s="325" t="s">
        <v>306</v>
      </c>
      <c r="M2477" s="331"/>
    </row>
    <row r="2478" spans="1:25" s="321" customFormat="1">
      <c r="A2478" s="329" t="s">
        <v>307</v>
      </c>
      <c r="B2478" s="329" t="s">
        <v>307</v>
      </c>
      <c r="C2478" s="165"/>
      <c r="D2478" s="166"/>
      <c r="E2478" s="166"/>
      <c r="F2478" s="165" t="s">
        <v>308</v>
      </c>
      <c r="G2478" s="201"/>
      <c r="H2478" s="327" t="s">
        <v>258</v>
      </c>
      <c r="I2478" s="328" t="s">
        <v>259</v>
      </c>
      <c r="M2478" s="331"/>
    </row>
    <row r="2479" spans="1:25" s="321" customFormat="1" ht="12.75">
      <c r="A2479" s="330" t="s">
        <v>309</v>
      </c>
      <c r="B2479" s="330" t="s">
        <v>309</v>
      </c>
      <c r="C2479" s="165"/>
      <c r="D2479" s="332"/>
      <c r="E2479" s="165"/>
      <c r="F2479" s="165" t="s">
        <v>310</v>
      </c>
      <c r="G2479" s="201"/>
      <c r="H2479" s="329" t="s">
        <v>204</v>
      </c>
      <c r="I2479" s="329" t="s">
        <v>204</v>
      </c>
      <c r="M2479" s="331"/>
    </row>
    <row r="2480" spans="1:25" s="321" customFormat="1" ht="12.75">
      <c r="A2480" s="329" t="s">
        <v>311</v>
      </c>
      <c r="B2480" s="329" t="s">
        <v>311</v>
      </c>
      <c r="C2480" s="236"/>
      <c r="D2480" s="236"/>
      <c r="E2480" s="236"/>
      <c r="F2480" s="236" t="s">
        <v>222</v>
      </c>
      <c r="G2480" s="201"/>
      <c r="H2480" s="330" t="s">
        <v>312</v>
      </c>
      <c r="I2480" s="330" t="s">
        <v>312</v>
      </c>
      <c r="M2480" s="331"/>
    </row>
    <row r="2481" spans="1:13" s="321" customFormat="1" ht="12.75">
      <c r="A2481" s="330" t="s">
        <v>313</v>
      </c>
      <c r="B2481" s="330" t="s">
        <v>313</v>
      </c>
      <c r="C2481" s="245"/>
      <c r="D2481" s="245"/>
      <c r="E2481" s="245"/>
      <c r="F2481" s="245" t="s">
        <v>314</v>
      </c>
      <c r="G2481" s="218"/>
      <c r="H2481" s="329" t="s">
        <v>315</v>
      </c>
      <c r="I2481" s="329" t="s">
        <v>315</v>
      </c>
      <c r="M2481" s="331"/>
    </row>
    <row r="2482" spans="1:13" s="321" customFormat="1" ht="12.75">
      <c r="A2482" s="329" t="s">
        <v>250</v>
      </c>
      <c r="B2482" s="329" t="s">
        <v>250</v>
      </c>
      <c r="C2482" s="245"/>
      <c r="D2482" s="245"/>
      <c r="E2482" s="245"/>
      <c r="F2482" s="245" t="s">
        <v>316</v>
      </c>
      <c r="G2482" s="218"/>
      <c r="H2482" s="330" t="s">
        <v>317</v>
      </c>
      <c r="I2482" s="330" t="s">
        <v>317</v>
      </c>
      <c r="M2482" s="331"/>
    </row>
    <row r="2483" spans="1:13" s="321" customFormat="1" ht="12.75">
      <c r="A2483" s="330" t="s">
        <v>318</v>
      </c>
      <c r="B2483" s="330" t="s">
        <v>318</v>
      </c>
      <c r="C2483" s="245"/>
      <c r="D2483" s="245"/>
      <c r="E2483" s="245"/>
      <c r="F2483" s="245" t="s">
        <v>319</v>
      </c>
      <c r="G2483" s="165"/>
      <c r="H2483" s="329" t="s">
        <v>320</v>
      </c>
      <c r="I2483" s="329" t="s">
        <v>320</v>
      </c>
      <c r="M2483" s="331"/>
    </row>
    <row r="2484" spans="1:13" s="321" customFormat="1" ht="12.75">
      <c r="A2484" s="329" t="s">
        <v>321</v>
      </c>
      <c r="B2484" s="329" t="s">
        <v>321</v>
      </c>
      <c r="C2484" s="245"/>
      <c r="D2484" s="245"/>
      <c r="E2484" s="245"/>
      <c r="F2484" s="245" t="s">
        <v>322</v>
      </c>
      <c r="G2484" s="236"/>
      <c r="H2484" s="330" t="s">
        <v>323</v>
      </c>
      <c r="I2484" s="330" t="s">
        <v>323</v>
      </c>
      <c r="M2484" s="331"/>
    </row>
    <row r="2485" spans="1:13" s="321" customFormat="1" ht="25.5">
      <c r="A2485" s="330" t="s">
        <v>324</v>
      </c>
      <c r="B2485" s="330" t="s">
        <v>324</v>
      </c>
      <c r="C2485" s="245"/>
      <c r="D2485" s="245"/>
      <c r="E2485" s="245"/>
      <c r="F2485" s="245" t="s">
        <v>325</v>
      </c>
      <c r="G2485" s="245"/>
      <c r="H2485" s="329"/>
      <c r="I2485" s="329"/>
      <c r="M2485" s="331"/>
    </row>
    <row r="2486" spans="1:13" s="321" customFormat="1" ht="12.75">
      <c r="A2486" s="329" t="s">
        <v>326</v>
      </c>
      <c r="B2486" s="329" t="s">
        <v>326</v>
      </c>
      <c r="C2486" s="245"/>
      <c r="D2486" s="245"/>
      <c r="E2486" s="245"/>
      <c r="F2486" s="245" t="s">
        <v>327</v>
      </c>
      <c r="G2486" s="218"/>
      <c r="K2486" s="331"/>
    </row>
    <row r="2487" spans="1:13" s="321" customFormat="1" ht="12.75">
      <c r="A2487" s="330" t="s">
        <v>328</v>
      </c>
      <c r="B2487" s="330" t="s">
        <v>328</v>
      </c>
      <c r="C2487" s="245"/>
      <c r="D2487" s="245"/>
      <c r="E2487" s="245"/>
      <c r="F2487" s="245"/>
      <c r="G2487" s="165"/>
      <c r="M2487" s="331"/>
    </row>
    <row r="2488" spans="1:13" s="321" customFormat="1" ht="12.75">
      <c r="A2488" s="329" t="s">
        <v>329</v>
      </c>
      <c r="B2488" s="329" t="s">
        <v>329</v>
      </c>
      <c r="C2488" s="245"/>
      <c r="D2488" s="245"/>
      <c r="E2488" s="245"/>
      <c r="F2488" s="245"/>
      <c r="G2488" s="165"/>
      <c r="M2488" s="331"/>
    </row>
    <row r="2489" spans="1:13" s="321" customFormat="1" ht="12.75">
      <c r="A2489" s="330" t="s">
        <v>330</v>
      </c>
      <c r="B2489" s="330" t="s">
        <v>330</v>
      </c>
      <c r="C2489" s="245"/>
      <c r="D2489" s="245"/>
      <c r="E2489" s="245"/>
      <c r="F2489" s="245"/>
      <c r="G2489" s="293"/>
      <c r="M2489" s="331"/>
    </row>
    <row r="2490" spans="1:13" s="321" customFormat="1" ht="25.5">
      <c r="A2490" s="329" t="s">
        <v>331</v>
      </c>
      <c r="B2490" s="329" t="s">
        <v>331</v>
      </c>
      <c r="C2490" s="245"/>
      <c r="D2490" s="245"/>
      <c r="E2490" s="245"/>
      <c r="F2490" s="245"/>
      <c r="G2490" s="333"/>
      <c r="M2490" s="331"/>
    </row>
    <row r="2491" spans="1:13" s="321" customFormat="1" ht="12.75">
      <c r="A2491" s="330" t="s">
        <v>332</v>
      </c>
      <c r="B2491" s="330" t="s">
        <v>332</v>
      </c>
      <c r="C2491" s="218"/>
      <c r="D2491" s="218"/>
      <c r="E2491" s="218"/>
      <c r="F2491" s="218"/>
      <c r="G2491" s="333"/>
      <c r="M2491" s="331"/>
    </row>
    <row r="2492" spans="1:13" s="321" customFormat="1" ht="12.75">
      <c r="A2492" s="329" t="s">
        <v>333</v>
      </c>
      <c r="B2492" s="329" t="s">
        <v>333</v>
      </c>
      <c r="C2492" s="290"/>
      <c r="D2492" s="290"/>
      <c r="E2492" s="290"/>
      <c r="F2492" s="290"/>
      <c r="G2492" s="333"/>
      <c r="M2492" s="331"/>
    </row>
    <row r="2493" spans="1:13" s="321" customFormat="1" ht="12.75">
      <c r="A2493" s="329" t="s">
        <v>334</v>
      </c>
      <c r="B2493" s="329" t="s">
        <v>14</v>
      </c>
      <c r="C2493" s="293"/>
      <c r="D2493" s="293"/>
      <c r="E2493" s="293"/>
      <c r="F2493" s="293"/>
      <c r="G2493" s="333"/>
      <c r="M2493" s="331"/>
    </row>
    <row r="2494" spans="1:13" s="321" customFormat="1" ht="12.75">
      <c r="A2494" s="330" t="s">
        <v>335</v>
      </c>
      <c r="B2494" s="330" t="s">
        <v>335</v>
      </c>
      <c r="C2494" s="293"/>
      <c r="D2494" s="293"/>
      <c r="E2494" s="293"/>
      <c r="F2494" s="293"/>
      <c r="G2494" s="333"/>
      <c r="M2494" s="331"/>
    </row>
    <row r="2495" spans="1:13" s="321" customFormat="1" ht="12.75">
      <c r="A2495" s="329" t="s">
        <v>336</v>
      </c>
      <c r="B2495" s="329" t="s">
        <v>336</v>
      </c>
      <c r="C2495" s="165"/>
      <c r="D2495" s="165"/>
      <c r="E2495" s="165"/>
      <c r="F2495" s="165"/>
      <c r="G2495" s="333"/>
      <c r="M2495" s="331"/>
    </row>
    <row r="2496" spans="1:13" s="321" customFormat="1" ht="12.75">
      <c r="A2496" s="330" t="s">
        <v>337</v>
      </c>
      <c r="B2496" s="330" t="s">
        <v>337</v>
      </c>
      <c r="C2496" s="293"/>
      <c r="D2496" s="293"/>
      <c r="E2496" s="293"/>
      <c r="F2496" s="293"/>
      <c r="G2496" s="333"/>
      <c r="M2496" s="331"/>
    </row>
    <row r="2497" spans="1:13" s="321" customFormat="1" ht="12.75">
      <c r="A2497" s="329" t="s">
        <v>338</v>
      </c>
      <c r="B2497" s="329" t="s">
        <v>338</v>
      </c>
      <c r="C2497" s="165"/>
      <c r="D2497" s="165"/>
      <c r="E2497" s="165"/>
      <c r="F2497" s="165"/>
      <c r="G2497" s="333"/>
      <c r="M2497" s="331"/>
    </row>
    <row r="2498" spans="1:13" s="321" customFormat="1" ht="12.75">
      <c r="A2498" s="330" t="s">
        <v>339</v>
      </c>
      <c r="B2498" s="330" t="s">
        <v>339</v>
      </c>
      <c r="C2498" s="165"/>
      <c r="D2498" s="165"/>
      <c r="E2498" s="165"/>
      <c r="F2498" s="165"/>
      <c r="G2498" s="333"/>
      <c r="M2498" s="331"/>
    </row>
    <row r="2499" spans="1:13" s="321" customFormat="1" ht="12.75">
      <c r="A2499" s="329" t="s">
        <v>340</v>
      </c>
      <c r="B2499" s="329" t="s">
        <v>340</v>
      </c>
      <c r="C2499" s="325"/>
      <c r="D2499" s="325"/>
      <c r="E2499" s="325"/>
      <c r="F2499" s="325"/>
      <c r="G2499" s="333"/>
      <c r="M2499" s="331"/>
    </row>
    <row r="2500" spans="1:13" s="321" customFormat="1" ht="12.75">
      <c r="A2500" s="330" t="s">
        <v>254</v>
      </c>
      <c r="B2500" s="330" t="s">
        <v>254</v>
      </c>
      <c r="C2500" s="165"/>
      <c r="D2500" s="165"/>
      <c r="E2500" s="165"/>
      <c r="F2500" s="165"/>
      <c r="G2500" s="332"/>
      <c r="M2500" s="331"/>
    </row>
    <row r="2501" spans="1:13" s="321" customFormat="1" ht="25.5">
      <c r="A2501" s="329" t="s">
        <v>341</v>
      </c>
      <c r="B2501" s="329" t="s">
        <v>341</v>
      </c>
      <c r="C2501" s="293"/>
      <c r="D2501" s="293"/>
      <c r="E2501" s="293"/>
      <c r="F2501" s="293"/>
      <c r="G2501" s="290"/>
      <c r="M2501" s="331"/>
    </row>
    <row r="2502" spans="1:13" s="321" customFormat="1" ht="12.75">
      <c r="A2502" s="330" t="s">
        <v>342</v>
      </c>
      <c r="B2502" s="330" t="s">
        <v>342</v>
      </c>
      <c r="C2502" s="165"/>
      <c r="D2502" s="165"/>
      <c r="E2502" s="165"/>
      <c r="F2502" s="165"/>
      <c r="G2502" s="293"/>
      <c r="M2502" s="331"/>
    </row>
    <row r="2503" spans="1:13" s="321" customFormat="1" ht="12.75">
      <c r="A2503" s="329" t="s">
        <v>343</v>
      </c>
      <c r="B2503" s="329" t="s">
        <v>343</v>
      </c>
      <c r="C2503" s="165"/>
      <c r="D2503" s="165"/>
      <c r="E2503" s="165"/>
      <c r="F2503" s="165"/>
      <c r="G2503" s="293"/>
      <c r="M2503" s="331"/>
    </row>
    <row r="2504" spans="1:13" s="321" customFormat="1" ht="12.75">
      <c r="A2504" s="330" t="s">
        <v>344</v>
      </c>
      <c r="B2504" s="330" t="s">
        <v>344</v>
      </c>
      <c r="C2504" s="165"/>
      <c r="D2504" s="165"/>
      <c r="E2504" s="165"/>
      <c r="F2504" s="165"/>
      <c r="G2504" s="165"/>
      <c r="M2504" s="331"/>
    </row>
    <row r="2505" spans="1:13" s="321" customFormat="1" ht="12.75">
      <c r="A2505" s="329" t="s">
        <v>345</v>
      </c>
      <c r="B2505" s="329" t="s">
        <v>345</v>
      </c>
      <c r="C2505" s="165"/>
      <c r="D2505" s="165"/>
      <c r="E2505" s="165"/>
      <c r="F2505" s="165"/>
      <c r="G2505" s="293"/>
      <c r="M2505" s="331"/>
    </row>
    <row r="2506" spans="1:13" s="321" customFormat="1" ht="25.5">
      <c r="A2506" s="330" t="s">
        <v>346</v>
      </c>
      <c r="B2506" s="330" t="s">
        <v>346</v>
      </c>
      <c r="C2506" s="165"/>
      <c r="D2506" s="165"/>
      <c r="E2506" s="165"/>
      <c r="F2506" s="165"/>
      <c r="G2506" s="165"/>
      <c r="M2506" s="331"/>
    </row>
    <row r="2507" spans="1:13" s="321" customFormat="1" ht="12.75">
      <c r="A2507" s="329" t="s">
        <v>252</v>
      </c>
      <c r="B2507" s="329" t="s">
        <v>252</v>
      </c>
      <c r="C2507" s="165"/>
      <c r="D2507" s="165"/>
      <c r="E2507" s="165"/>
      <c r="F2507" s="165"/>
      <c r="G2507" s="165"/>
      <c r="M2507" s="331"/>
    </row>
    <row r="2508" spans="1:13" s="321" customFormat="1" ht="12.75">
      <c r="A2508" s="330" t="s">
        <v>347</v>
      </c>
      <c r="B2508" s="330" t="s">
        <v>347</v>
      </c>
      <c r="C2508" s="165"/>
      <c r="D2508" s="165"/>
      <c r="E2508" s="165"/>
      <c r="F2508" s="165"/>
      <c r="G2508" s="325"/>
      <c r="M2508" s="331"/>
    </row>
    <row r="2509" spans="1:13" s="321" customFormat="1" ht="12.75">
      <c r="A2509" s="329" t="s">
        <v>348</v>
      </c>
      <c r="B2509" s="329" t="s">
        <v>348</v>
      </c>
      <c r="C2509" s="293"/>
      <c r="D2509" s="293"/>
      <c r="E2509" s="293"/>
      <c r="F2509" s="293"/>
      <c r="G2509" s="165"/>
      <c r="M2509" s="331"/>
    </row>
    <row r="2510" spans="1:13" s="321" customFormat="1" ht="12.75">
      <c r="A2510" s="330" t="s">
        <v>349</v>
      </c>
      <c r="B2510" s="330" t="s">
        <v>349</v>
      </c>
      <c r="C2510" s="165"/>
      <c r="D2510" s="165"/>
      <c r="E2510" s="165"/>
      <c r="F2510" s="165"/>
      <c r="G2510" s="293"/>
      <c r="M2510" s="331"/>
    </row>
    <row r="2511" spans="1:13" s="321" customFormat="1" ht="12.75">
      <c r="A2511" s="330" t="s">
        <v>350</v>
      </c>
      <c r="B2511" s="330" t="s">
        <v>350</v>
      </c>
      <c r="C2511" s="165"/>
      <c r="D2511" s="165"/>
      <c r="E2511" s="165"/>
      <c r="F2511" s="165"/>
      <c r="G2511" s="165"/>
      <c r="M2511" s="331"/>
    </row>
    <row r="2512" spans="1:13" s="321" customFormat="1" ht="12.75">
      <c r="A2512" s="329" t="s">
        <v>351</v>
      </c>
      <c r="B2512" s="329" t="s">
        <v>352</v>
      </c>
      <c r="C2512" s="165"/>
      <c r="D2512" s="165"/>
      <c r="E2512" s="165"/>
      <c r="F2512" s="165"/>
      <c r="G2512" s="165"/>
      <c r="M2512" s="331"/>
    </row>
    <row r="2513" spans="1:13" s="321" customFormat="1" ht="12.75">
      <c r="A2513" s="330" t="s">
        <v>160</v>
      </c>
      <c r="B2513" s="330" t="s">
        <v>160</v>
      </c>
      <c r="C2513" s="165"/>
      <c r="D2513" s="165"/>
      <c r="E2513" s="165"/>
      <c r="F2513" s="165"/>
      <c r="G2513" s="165"/>
      <c r="M2513" s="331"/>
    </row>
    <row r="2514" spans="1:13" s="321" customFormat="1" ht="12.75">
      <c r="A2514" s="329" t="s">
        <v>353</v>
      </c>
      <c r="B2514" s="329" t="s">
        <v>353</v>
      </c>
      <c r="C2514" s="165"/>
      <c r="D2514" s="165"/>
      <c r="E2514" s="165"/>
      <c r="F2514" s="165"/>
      <c r="G2514" s="165"/>
      <c r="M2514" s="331"/>
    </row>
    <row r="2515" spans="1:13" s="321" customFormat="1" ht="12.75">
      <c r="A2515" s="330" t="s">
        <v>354</v>
      </c>
      <c r="B2515" s="330" t="s">
        <v>354</v>
      </c>
      <c r="C2515" s="165"/>
      <c r="D2515" s="165"/>
      <c r="E2515" s="165"/>
      <c r="F2515" s="165"/>
      <c r="G2515" s="165"/>
      <c r="M2515" s="331"/>
    </row>
    <row r="2516" spans="1:13" s="321" customFormat="1" ht="12.75">
      <c r="A2516" s="329" t="s">
        <v>355</v>
      </c>
      <c r="B2516" s="329" t="s">
        <v>355</v>
      </c>
      <c r="C2516" s="165"/>
      <c r="D2516" s="165"/>
      <c r="E2516" s="165"/>
      <c r="F2516" s="165"/>
      <c r="G2516" s="165"/>
      <c r="M2516" s="331"/>
    </row>
    <row r="2517" spans="1:13" s="321" customFormat="1" ht="12.75">
      <c r="A2517" s="330" t="s">
        <v>356</v>
      </c>
      <c r="B2517" s="330" t="s">
        <v>356</v>
      </c>
      <c r="C2517" s="165"/>
      <c r="D2517" s="165"/>
      <c r="E2517" s="165"/>
      <c r="F2517" s="165"/>
      <c r="G2517" s="165"/>
      <c r="M2517" s="331"/>
    </row>
    <row r="2518" spans="1:13" s="321" customFormat="1" ht="12.75">
      <c r="A2518" s="329" t="s">
        <v>357</v>
      </c>
      <c r="B2518" s="329" t="s">
        <v>357</v>
      </c>
      <c r="C2518" s="165"/>
      <c r="D2518" s="165"/>
      <c r="E2518" s="165"/>
      <c r="F2518" s="165"/>
      <c r="G2518" s="293"/>
      <c r="M2518" s="331"/>
    </row>
    <row r="2519" spans="1:13" s="321" customFormat="1" ht="12.75">
      <c r="A2519" s="330" t="s">
        <v>358</v>
      </c>
      <c r="B2519" s="330" t="s">
        <v>358</v>
      </c>
      <c r="C2519" s="165"/>
      <c r="D2519" s="165"/>
      <c r="E2519" s="165"/>
      <c r="F2519" s="165"/>
      <c r="G2519" s="165"/>
      <c r="M2519" s="331"/>
    </row>
    <row r="2520" spans="1:13" s="321" customFormat="1" ht="12.75">
      <c r="A2520" s="329" t="s">
        <v>359</v>
      </c>
      <c r="B2520" s="329" t="s">
        <v>359</v>
      </c>
      <c r="C2520" s="165"/>
      <c r="D2520" s="165"/>
      <c r="E2520" s="165"/>
      <c r="F2520" s="165"/>
      <c r="G2520" s="165"/>
      <c r="M2520" s="331"/>
    </row>
    <row r="2521" spans="1:13" s="321" customFormat="1" ht="12.75">
      <c r="A2521" s="330" t="s">
        <v>360</v>
      </c>
      <c r="B2521" s="330" t="s">
        <v>360</v>
      </c>
      <c r="C2521" s="165"/>
      <c r="D2521" s="165"/>
      <c r="E2521" s="323"/>
      <c r="F2521" s="165"/>
      <c r="G2521" s="165"/>
      <c r="M2521" s="331"/>
    </row>
    <row r="2522" spans="1:13" s="321" customFormat="1" ht="12.75">
      <c r="A2522" s="329" t="s">
        <v>361</v>
      </c>
      <c r="B2522" s="329" t="s">
        <v>361</v>
      </c>
      <c r="C2522" s="165"/>
      <c r="D2522" s="165"/>
      <c r="E2522" s="165"/>
      <c r="F2522" s="165"/>
      <c r="G2522" s="165"/>
      <c r="M2522" s="331"/>
    </row>
    <row r="2523" spans="1:13" s="321" customFormat="1" ht="12.75">
      <c r="A2523" s="330" t="s">
        <v>362</v>
      </c>
      <c r="B2523" s="330" t="s">
        <v>362</v>
      </c>
      <c r="C2523" s="165"/>
      <c r="D2523" s="165"/>
      <c r="E2523" s="165"/>
      <c r="F2523" s="165"/>
      <c r="G2523" s="165"/>
      <c r="M2523" s="331"/>
    </row>
    <row r="2524" spans="1:13" s="321" customFormat="1" ht="12.75">
      <c r="A2524" s="329" t="s">
        <v>363</v>
      </c>
      <c r="B2524" s="329" t="s">
        <v>363</v>
      </c>
      <c r="C2524" s="165"/>
      <c r="D2524" s="165"/>
      <c r="E2524" s="165"/>
      <c r="F2524" s="165"/>
      <c r="G2524" s="165"/>
      <c r="M2524" s="331"/>
    </row>
    <row r="2525" spans="1:13" s="321" customFormat="1" ht="25.5">
      <c r="A2525" s="330" t="s">
        <v>364</v>
      </c>
      <c r="B2525" s="330" t="s">
        <v>364</v>
      </c>
      <c r="C2525" s="165"/>
      <c r="D2525" s="165"/>
      <c r="E2525" s="165"/>
      <c r="F2525" s="165"/>
      <c r="G2525" s="165"/>
      <c r="M2525" s="331"/>
    </row>
    <row r="2526" spans="1:13" s="321" customFormat="1" ht="12.75">
      <c r="A2526" s="329" t="s">
        <v>365</v>
      </c>
      <c r="B2526" s="329" t="s">
        <v>365</v>
      </c>
      <c r="C2526" s="165"/>
      <c r="D2526" s="165"/>
      <c r="E2526" s="165"/>
      <c r="F2526" s="165"/>
      <c r="G2526" s="165"/>
      <c r="M2526" s="331"/>
    </row>
    <row r="2527" spans="1:13" s="321" customFormat="1" ht="12.75">
      <c r="A2527" s="330" t="s">
        <v>234</v>
      </c>
      <c r="B2527" s="330" t="s">
        <v>234</v>
      </c>
      <c r="C2527" s="165"/>
      <c r="D2527" s="165"/>
      <c r="E2527" s="323"/>
      <c r="F2527" s="165"/>
      <c r="G2527" s="165"/>
      <c r="M2527" s="331"/>
    </row>
    <row r="2528" spans="1:13" s="321" customFormat="1" ht="12.75">
      <c r="A2528" s="329" t="s">
        <v>366</v>
      </c>
      <c r="B2528" s="329" t="s">
        <v>366</v>
      </c>
      <c r="C2528" s="165"/>
      <c r="D2528" s="165"/>
      <c r="E2528" s="165"/>
      <c r="F2528" s="165"/>
      <c r="G2528" s="165"/>
      <c r="M2528" s="331"/>
    </row>
    <row r="2529" spans="1:13" s="321" customFormat="1" ht="12.75">
      <c r="A2529" s="330" t="s">
        <v>367</v>
      </c>
      <c r="B2529" s="330" t="s">
        <v>367</v>
      </c>
      <c r="C2529" s="165"/>
      <c r="D2529" s="165"/>
      <c r="E2529" s="165"/>
      <c r="F2529" s="165"/>
      <c r="G2529" s="165"/>
      <c r="M2529" s="331"/>
    </row>
    <row r="2530" spans="1:13" s="321" customFormat="1" ht="12.75">
      <c r="A2530" s="329" t="s">
        <v>368</v>
      </c>
      <c r="B2530" s="329" t="s">
        <v>368</v>
      </c>
      <c r="C2530" s="165"/>
      <c r="D2530" s="165"/>
      <c r="E2530" s="165"/>
      <c r="F2530" s="165"/>
      <c r="G2530" s="165"/>
      <c r="M2530" s="331"/>
    </row>
    <row r="2531" spans="1:13" s="321" customFormat="1" ht="12.75">
      <c r="A2531" s="330" t="s">
        <v>369</v>
      </c>
      <c r="B2531" s="330" t="s">
        <v>369</v>
      </c>
      <c r="C2531" s="165"/>
      <c r="D2531" s="165"/>
      <c r="E2531" s="165"/>
      <c r="F2531" s="165"/>
      <c r="G2531" s="165"/>
      <c r="M2531" s="331"/>
    </row>
    <row r="2532" spans="1:13" s="321" customFormat="1" ht="12.75">
      <c r="A2532" s="329" t="s">
        <v>370</v>
      </c>
      <c r="B2532" s="329" t="s">
        <v>370</v>
      </c>
      <c r="C2532" s="165"/>
      <c r="D2532" s="165"/>
      <c r="E2532" s="165"/>
      <c r="F2532" s="165"/>
      <c r="G2532" s="165"/>
      <c r="M2532" s="331"/>
    </row>
    <row r="2533" spans="1:13" s="321" customFormat="1" ht="12.75">
      <c r="A2533" s="330" t="s">
        <v>371</v>
      </c>
      <c r="B2533" s="330" t="s">
        <v>371</v>
      </c>
      <c r="C2533" s="165"/>
      <c r="D2533" s="165"/>
      <c r="E2533" s="165"/>
      <c r="F2533" s="165"/>
      <c r="G2533" s="165"/>
      <c r="M2533" s="331"/>
    </row>
    <row r="2534" spans="1:13" s="321" customFormat="1" ht="25.5">
      <c r="A2534" s="329" t="s">
        <v>372</v>
      </c>
      <c r="B2534" s="329" t="s">
        <v>372</v>
      </c>
      <c r="C2534" s="165"/>
      <c r="D2534" s="165"/>
      <c r="E2534" s="165"/>
      <c r="F2534" s="165"/>
      <c r="G2534" s="165"/>
      <c r="M2534" s="331"/>
    </row>
    <row r="2535" spans="1:13" s="321" customFormat="1" ht="12.75">
      <c r="A2535" s="330" t="s">
        <v>373</v>
      </c>
      <c r="B2535" s="330" t="s">
        <v>373</v>
      </c>
      <c r="C2535" s="165"/>
      <c r="D2535" s="165"/>
      <c r="E2535" s="165"/>
      <c r="F2535" s="165"/>
      <c r="G2535" s="165"/>
      <c r="M2535" s="331"/>
    </row>
    <row r="2536" spans="1:13" s="321" customFormat="1" ht="12.75">
      <c r="A2536" s="329" t="s">
        <v>374</v>
      </c>
      <c r="B2536" s="329" t="s">
        <v>374</v>
      </c>
      <c r="C2536" s="165"/>
      <c r="D2536" s="165"/>
      <c r="E2536" s="165"/>
      <c r="F2536" s="165"/>
      <c r="G2536" s="165"/>
      <c r="M2536" s="331"/>
    </row>
    <row r="2537" spans="1:13" s="321" customFormat="1" ht="38.25">
      <c r="A2537" s="330" t="s">
        <v>375</v>
      </c>
      <c r="B2537" s="330" t="s">
        <v>375</v>
      </c>
      <c r="C2537" s="165"/>
      <c r="D2537" s="165"/>
      <c r="E2537" s="165"/>
      <c r="F2537" s="165"/>
      <c r="G2537" s="165"/>
      <c r="M2537" s="331"/>
    </row>
    <row r="2538" spans="1:13" s="321" customFormat="1" ht="12.75">
      <c r="A2538" s="329" t="s">
        <v>376</v>
      </c>
      <c r="B2538" s="329" t="s">
        <v>376</v>
      </c>
      <c r="C2538" s="165"/>
      <c r="D2538" s="165"/>
      <c r="E2538" s="165"/>
      <c r="F2538" s="165"/>
      <c r="G2538" s="165"/>
      <c r="M2538" s="331"/>
    </row>
    <row r="2539" spans="1:13" s="321" customFormat="1" ht="25.5">
      <c r="A2539" s="330" t="s">
        <v>377</v>
      </c>
      <c r="B2539" s="330" t="s">
        <v>377</v>
      </c>
      <c r="C2539" s="165"/>
      <c r="D2539" s="165"/>
      <c r="E2539" s="165"/>
      <c r="F2539" s="165"/>
      <c r="G2539" s="323"/>
      <c r="M2539" s="331"/>
    </row>
    <row r="2540" spans="1:13" s="321" customFormat="1" ht="25.5">
      <c r="A2540" s="329" t="s">
        <v>378</v>
      </c>
      <c r="B2540" s="329" t="s">
        <v>378</v>
      </c>
      <c r="C2540" s="165"/>
      <c r="D2540" s="165"/>
      <c r="E2540" s="165"/>
      <c r="F2540" s="165"/>
      <c r="G2540" s="323"/>
      <c r="M2540" s="331"/>
    </row>
    <row r="2541" spans="1:13" s="321" customFormat="1" ht="12.75">
      <c r="A2541" s="330" t="s">
        <v>379</v>
      </c>
      <c r="B2541" s="330" t="s">
        <v>379</v>
      </c>
      <c r="C2541" s="165"/>
      <c r="D2541" s="165"/>
      <c r="E2541" s="165"/>
      <c r="F2541" s="165"/>
      <c r="G2541" s="323"/>
      <c r="M2541" s="331"/>
    </row>
    <row r="2542" spans="1:13" s="321" customFormat="1" ht="12.75">
      <c r="A2542" s="329" t="s">
        <v>380</v>
      </c>
      <c r="B2542" s="329" t="s">
        <v>14</v>
      </c>
      <c r="C2542" s="165"/>
      <c r="D2542" s="165"/>
      <c r="E2542" s="165"/>
      <c r="F2542" s="165"/>
      <c r="G2542" s="323"/>
      <c r="M2542" s="331"/>
    </row>
    <row r="2543" spans="1:13" s="321" customFormat="1" ht="25.5">
      <c r="A2543" s="330" t="s">
        <v>381</v>
      </c>
      <c r="B2543" s="330" t="s">
        <v>381</v>
      </c>
      <c r="C2543" s="165"/>
      <c r="D2543" s="165"/>
      <c r="E2543" s="165"/>
      <c r="F2543" s="165"/>
      <c r="G2543" s="323"/>
      <c r="M2543" s="331"/>
    </row>
    <row r="2544" spans="1:13" s="321" customFormat="1" ht="12.75">
      <c r="A2544" s="329" t="s">
        <v>382</v>
      </c>
      <c r="B2544" s="329" t="s">
        <v>382</v>
      </c>
      <c r="C2544" s="165"/>
      <c r="D2544" s="165"/>
      <c r="E2544" s="165"/>
      <c r="F2544" s="165"/>
      <c r="G2544" s="323"/>
      <c r="M2544" s="331"/>
    </row>
    <row r="2545" spans="1:13" s="321" customFormat="1" ht="12.75">
      <c r="A2545" s="330" t="s">
        <v>383</v>
      </c>
      <c r="B2545" s="330" t="s">
        <v>383</v>
      </c>
      <c r="C2545" s="165"/>
      <c r="D2545" s="165"/>
      <c r="E2545" s="165"/>
      <c r="F2545" s="165"/>
      <c r="G2545" s="323"/>
      <c r="M2545" s="331"/>
    </row>
    <row r="2546" spans="1:13" s="321" customFormat="1" ht="12.75">
      <c r="A2546" s="329" t="s">
        <v>384</v>
      </c>
      <c r="B2546" s="329" t="s">
        <v>384</v>
      </c>
      <c r="C2546" s="165"/>
      <c r="D2546" s="165"/>
      <c r="E2546" s="165"/>
      <c r="F2546" s="165"/>
      <c r="G2546" s="323"/>
      <c r="M2546" s="331"/>
    </row>
    <row r="2547" spans="1:13" s="321" customFormat="1" ht="12.75">
      <c r="A2547" s="330" t="s">
        <v>385</v>
      </c>
      <c r="B2547" s="330" t="s">
        <v>385</v>
      </c>
      <c r="C2547" s="165"/>
      <c r="D2547" s="165"/>
      <c r="E2547" s="165"/>
      <c r="F2547" s="165"/>
      <c r="G2547" s="323"/>
      <c r="M2547" s="331"/>
    </row>
    <row r="2548" spans="1:13" s="321" customFormat="1" ht="12.75">
      <c r="A2548" s="329" t="s">
        <v>386</v>
      </c>
      <c r="B2548" s="329" t="s">
        <v>386</v>
      </c>
      <c r="C2548" s="165"/>
      <c r="D2548" s="165"/>
      <c r="E2548" s="165"/>
      <c r="F2548" s="165"/>
      <c r="G2548" s="323"/>
      <c r="M2548" s="331"/>
    </row>
    <row r="2549" spans="1:13" s="321" customFormat="1" ht="12.75">
      <c r="A2549" s="330" t="s">
        <v>387</v>
      </c>
      <c r="B2549" s="330" t="s">
        <v>387</v>
      </c>
      <c r="C2549" s="165"/>
      <c r="D2549" s="165"/>
      <c r="E2549" s="165"/>
      <c r="F2549" s="165"/>
      <c r="G2549" s="323"/>
      <c r="M2549" s="331"/>
    </row>
    <row r="2550" spans="1:13" s="321" customFormat="1" ht="25.5">
      <c r="A2550" s="329" t="s">
        <v>388</v>
      </c>
      <c r="B2550" s="329" t="s">
        <v>388</v>
      </c>
      <c r="C2550" s="165"/>
      <c r="D2550" s="165"/>
      <c r="E2550" s="165"/>
      <c r="F2550" s="165"/>
      <c r="G2550" s="323"/>
      <c r="M2550" s="331"/>
    </row>
    <row r="2551" spans="1:13" s="321" customFormat="1" ht="12.75">
      <c r="A2551" s="330" t="s">
        <v>389</v>
      </c>
      <c r="B2551" s="330" t="s">
        <v>389</v>
      </c>
      <c r="C2551" s="165"/>
      <c r="D2551" s="165"/>
      <c r="E2551" s="165"/>
      <c r="F2551" s="165"/>
      <c r="G2551" s="323"/>
      <c r="M2551" s="331"/>
    </row>
    <row r="2552" spans="1:13" s="321" customFormat="1" ht="12.75">
      <c r="A2552" s="329" t="s">
        <v>390</v>
      </c>
      <c r="B2552" s="329" t="s">
        <v>391</v>
      </c>
      <c r="C2552" s="165"/>
      <c r="D2552" s="165"/>
      <c r="E2552" s="165"/>
      <c r="F2552" s="165"/>
      <c r="G2552" s="323"/>
      <c r="M2552" s="331"/>
    </row>
    <row r="2553" spans="1:13" s="321" customFormat="1" ht="12.75">
      <c r="A2553" s="330" t="s">
        <v>392</v>
      </c>
      <c r="B2553" s="330" t="s">
        <v>392</v>
      </c>
      <c r="C2553" s="165"/>
      <c r="D2553" s="165"/>
      <c r="E2553" s="165"/>
      <c r="F2553" s="165"/>
      <c r="G2553" s="323"/>
      <c r="M2553" s="331"/>
    </row>
    <row r="2554" spans="1:13" s="321" customFormat="1" ht="12.75">
      <c r="A2554" s="329" t="s">
        <v>200</v>
      </c>
      <c r="B2554" s="329" t="s">
        <v>200</v>
      </c>
      <c r="C2554" s="165"/>
      <c r="D2554" s="165"/>
      <c r="E2554" s="165"/>
      <c r="F2554" s="165"/>
      <c r="G2554" s="323"/>
      <c r="M2554" s="331"/>
    </row>
    <row r="2555" spans="1:13" s="321" customFormat="1" ht="12.75">
      <c r="A2555" s="330" t="s">
        <v>163</v>
      </c>
      <c r="B2555" s="330" t="s">
        <v>163</v>
      </c>
      <c r="C2555" s="165"/>
      <c r="D2555" s="165"/>
      <c r="E2555" s="165"/>
      <c r="F2555" s="165"/>
      <c r="G2555" s="323"/>
      <c r="M2555" s="331"/>
    </row>
    <row r="2556" spans="1:13" s="321" customFormat="1" ht="12.75">
      <c r="A2556" s="329" t="s">
        <v>393</v>
      </c>
      <c r="B2556" s="329" t="s">
        <v>393</v>
      </c>
      <c r="C2556" s="165"/>
      <c r="D2556" s="165"/>
      <c r="E2556" s="165"/>
      <c r="F2556" s="165"/>
      <c r="G2556" s="323"/>
      <c r="M2556" s="331"/>
    </row>
    <row r="2557" spans="1:13" s="321" customFormat="1" ht="12.75">
      <c r="A2557" s="330" t="s">
        <v>394</v>
      </c>
      <c r="B2557" s="330" t="s">
        <v>394</v>
      </c>
      <c r="C2557" s="165"/>
      <c r="D2557" s="165"/>
      <c r="E2557" s="165"/>
      <c r="F2557" s="165"/>
      <c r="G2557" s="323"/>
      <c r="M2557" s="331"/>
    </row>
    <row r="2558" spans="1:13" s="321" customFormat="1" ht="12.75">
      <c r="A2558" s="329" t="s">
        <v>395</v>
      </c>
      <c r="B2558" s="329" t="s">
        <v>395</v>
      </c>
      <c r="G2558" s="323"/>
      <c r="M2558" s="331"/>
    </row>
    <row r="2559" spans="1:13" s="321" customFormat="1" ht="12.75">
      <c r="A2559" s="330" t="s">
        <v>167</v>
      </c>
      <c r="B2559" s="330" t="s">
        <v>167</v>
      </c>
      <c r="G2559" s="323"/>
      <c r="M2559" s="331"/>
    </row>
    <row r="2560" spans="1:13" s="321" customFormat="1" ht="12.75">
      <c r="A2560" s="329" t="s">
        <v>396</v>
      </c>
      <c r="B2560" s="329" t="s">
        <v>396</v>
      </c>
      <c r="G2560" s="323"/>
      <c r="M2560" s="331"/>
    </row>
    <row r="2561" spans="1:13" s="321" customFormat="1" ht="12.75">
      <c r="A2561" s="330" t="s">
        <v>397</v>
      </c>
      <c r="B2561" s="330" t="s">
        <v>397</v>
      </c>
      <c r="G2561" s="323"/>
      <c r="M2561" s="331"/>
    </row>
    <row r="2562" spans="1:13" s="321" customFormat="1" ht="12.75">
      <c r="A2562" s="329" t="s">
        <v>398</v>
      </c>
      <c r="B2562" s="329" t="s">
        <v>398</v>
      </c>
      <c r="G2562" s="323"/>
      <c r="M2562" s="331"/>
    </row>
    <row r="2563" spans="1:13" s="321" customFormat="1" ht="12.75">
      <c r="A2563" s="330" t="s">
        <v>399</v>
      </c>
      <c r="B2563" s="330" t="s">
        <v>399</v>
      </c>
      <c r="G2563" s="323"/>
      <c r="M2563" s="331"/>
    </row>
    <row r="2564" spans="1:13" s="321" customFormat="1" ht="12.75">
      <c r="A2564" s="329" t="s">
        <v>400</v>
      </c>
      <c r="B2564" s="329" t="s">
        <v>400</v>
      </c>
      <c r="G2564" s="323"/>
      <c r="M2564" s="331"/>
    </row>
    <row r="2565" spans="1:13" s="321" customFormat="1" ht="12.75">
      <c r="A2565" s="330" t="s">
        <v>401</v>
      </c>
      <c r="B2565" s="330" t="s">
        <v>401</v>
      </c>
      <c r="G2565" s="323"/>
      <c r="M2565" s="331"/>
    </row>
    <row r="2566" spans="1:13" s="321" customFormat="1" ht="25.5">
      <c r="A2566" s="329" t="s">
        <v>402</v>
      </c>
      <c r="B2566" s="329" t="s">
        <v>402</v>
      </c>
      <c r="G2566" s="323"/>
      <c r="M2566" s="331"/>
    </row>
    <row r="2567" spans="1:13" s="321" customFormat="1">
      <c r="A2567" s="166"/>
      <c r="B2567" s="166"/>
      <c r="C2567" s="166"/>
      <c r="D2567" s="166"/>
      <c r="E2567" s="166"/>
      <c r="F2567" s="166"/>
      <c r="M2567" s="331"/>
    </row>
    <row r="2568" spans="1:13" s="321" customFormat="1">
      <c r="A2568" s="166"/>
      <c r="B2568" s="166"/>
      <c r="C2568" s="166"/>
      <c r="D2568" s="166"/>
      <c r="E2568" s="166"/>
      <c r="F2568" s="166"/>
      <c r="M2568" s="331"/>
    </row>
    <row r="2569" spans="1:13" s="321" customFormat="1">
      <c r="A2569" s="166"/>
      <c r="B2569" s="166"/>
      <c r="C2569" s="166"/>
      <c r="D2569" s="166"/>
      <c r="E2569" s="166"/>
      <c r="F2569" s="166"/>
      <c r="M2569" s="331"/>
    </row>
    <row r="2570" spans="1:13" s="321" customFormat="1">
      <c r="A2570" s="166"/>
      <c r="B2570" s="166"/>
      <c r="C2570" s="166"/>
      <c r="D2570" s="166"/>
      <c r="E2570" s="166"/>
      <c r="F2570" s="166"/>
      <c r="M2570" s="331"/>
    </row>
    <row r="2571" spans="1:13" s="321" customFormat="1">
      <c r="A2571" s="166"/>
      <c r="B2571" s="166"/>
      <c r="C2571" s="166"/>
      <c r="D2571" s="166"/>
      <c r="E2571" s="166"/>
      <c r="F2571" s="166"/>
      <c r="M2571" s="331"/>
    </row>
    <row r="2572" spans="1:13" s="321" customFormat="1">
      <c r="A2572" s="166"/>
      <c r="B2572" s="166"/>
      <c r="C2572" s="166"/>
      <c r="D2572" s="166"/>
      <c r="E2572" s="166"/>
      <c r="F2572" s="166"/>
      <c r="M2572" s="331"/>
    </row>
    <row r="2573" spans="1:13" s="321" customFormat="1">
      <c r="A2573" s="166"/>
      <c r="B2573" s="166"/>
      <c r="C2573" s="166"/>
      <c r="D2573" s="166"/>
      <c r="E2573" s="166"/>
      <c r="F2573" s="166"/>
      <c r="M2573" s="331"/>
    </row>
    <row r="2574" spans="1:13" s="321" customFormat="1">
      <c r="A2574" s="166"/>
      <c r="B2574" s="166"/>
      <c r="C2574" s="166"/>
      <c r="D2574" s="166"/>
      <c r="E2574" s="166"/>
      <c r="F2574" s="166"/>
      <c r="M2574" s="331"/>
    </row>
    <row r="2575" spans="1:13" s="321" customFormat="1">
      <c r="A2575" s="166"/>
      <c r="B2575" s="166"/>
      <c r="C2575" s="166"/>
      <c r="D2575" s="166"/>
      <c r="E2575" s="166"/>
      <c r="F2575" s="166"/>
      <c r="M2575" s="331"/>
    </row>
    <row r="2576" spans="1:13">
      <c r="H2576" s="321"/>
      <c r="I2576" s="321"/>
      <c r="J2576" s="321"/>
      <c r="K2576" s="321"/>
      <c r="L2576" s="321"/>
      <c r="M2576" s="331"/>
    </row>
    <row r="2577" spans="8:13">
      <c r="H2577" s="321"/>
      <c r="I2577" s="321"/>
      <c r="J2577" s="321"/>
      <c r="K2577" s="321"/>
      <c r="L2577" s="321"/>
      <c r="M2577" s="331"/>
    </row>
    <row r="2578" spans="8:13">
      <c r="H2578" s="321"/>
      <c r="I2578" s="321"/>
      <c r="J2578" s="321"/>
      <c r="K2578" s="321"/>
      <c r="L2578" s="321"/>
      <c r="M2578" s="331"/>
    </row>
    <row r="2579" spans="8:13">
      <c r="H2579" s="321"/>
      <c r="I2579" s="321"/>
      <c r="J2579" s="321"/>
      <c r="K2579" s="321"/>
      <c r="L2579" s="321"/>
      <c r="M2579" s="331"/>
    </row>
  </sheetData>
  <mergeCells count="14">
    <mergeCell ref="J110:M110"/>
    <mergeCell ref="J135:M135"/>
    <mergeCell ref="J84:M84"/>
    <mergeCell ref="D1:D4"/>
    <mergeCell ref="F1:M4"/>
    <mergeCell ref="J6:M6"/>
    <mergeCell ref="A7:F7"/>
    <mergeCell ref="A10:C10"/>
    <mergeCell ref="A19:F19"/>
    <mergeCell ref="D20:F21"/>
    <mergeCell ref="A23:F23"/>
    <mergeCell ref="D26:F27"/>
    <mergeCell ref="J32:M32"/>
    <mergeCell ref="J58:M58"/>
  </mergeCells>
  <dataValidations count="4">
    <dataValidation type="list" allowBlank="1" showInputMessage="1" showErrorMessage="1" sqref="M8 M86 M34 M60 M112 M137" xr:uid="{0DAADF97-D76D-49DE-BCB7-1AD0868D4E8F}">
      <formula1>$G$2475:$G$2476</formula1>
    </dataValidation>
    <dataValidation type="list" allowBlank="1" showInputMessage="1" showErrorMessage="1" sqref="L8 L86 L34 L60 L112 L137" xr:uid="{C9AE46A7-DDDC-4CE8-A653-845747A133CD}">
      <formula1>$D$2466:$D$2476</formula1>
    </dataValidation>
    <dataValidation type="list" allowBlank="1" showInputMessage="1" showErrorMessage="1" sqref="H86 H34 H8 H60 H112 H137" xr:uid="{732E2827-DFC1-45DA-891D-547420A01F1E}">
      <formula1>$A$2466:$A$2566</formula1>
    </dataValidation>
    <dataValidation type="list" allowBlank="1" showInputMessage="1" showErrorMessage="1" sqref="B9" xr:uid="{4883EE3C-A4B2-4C87-A7A0-4E12FF056452}">
      <formula1>$H$2479:$H$2484</formula1>
    </dataValidation>
  </dataValidations>
  <pageMargins left="0.25" right="0.25" top="0.75" bottom="0.75" header="0.3" footer="0.3"/>
  <pageSetup orientation="landscape" r:id="rId1"/>
  <headerFooter>
    <oddFooter>&amp;L_x000D_&amp;1#&amp;"Calibri"&amp;10&amp;K000000 Sensitivity: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8BA79-FDA7-42F5-B1F2-C58BB91B70AD}">
  <dimension ref="B1:W36"/>
  <sheetViews>
    <sheetView showGridLines="0" workbookViewId="0">
      <selection activeCell="M38" sqref="M38"/>
    </sheetView>
  </sheetViews>
  <sheetFormatPr defaultColWidth="8" defaultRowHeight="11.65" outlineLevelRow="1" outlineLevelCol="1"/>
  <cols>
    <col min="1" max="1" width="8" style="746"/>
    <col min="2" max="2" width="1.69140625" style="746" customWidth="1"/>
    <col min="3" max="3" width="26.69140625" style="746" bestFit="1" customWidth="1"/>
    <col min="4" max="4" width="8.3046875" style="746" bestFit="1" customWidth="1"/>
    <col min="5" max="5" width="8.69140625" style="746" bestFit="1" customWidth="1"/>
    <col min="6" max="6" width="9.53515625" style="746" bestFit="1" customWidth="1"/>
    <col min="7" max="7" width="1.69140625" style="746" customWidth="1"/>
    <col min="8" max="8" width="7.84375" style="746" hidden="1" customWidth="1" outlineLevel="1"/>
    <col min="9" max="9" width="7.53515625" style="746" hidden="1" customWidth="1" outlineLevel="1"/>
    <col min="10" max="10" width="9.53515625" style="746" hidden="1" customWidth="1" outlineLevel="1"/>
    <col min="11" max="11" width="1.84375" style="746" hidden="1" customWidth="1" outlineLevel="1"/>
    <col min="12" max="12" width="7.84375" style="746" bestFit="1" customWidth="1" collapsed="1"/>
    <col min="13" max="13" width="8.53515625" style="746" bestFit="1" customWidth="1"/>
    <col min="14" max="14" width="9.53515625" style="746" bestFit="1" customWidth="1"/>
    <col min="15" max="15" width="3.69140625" customWidth="1"/>
    <col min="16" max="16" width="39.84375" customWidth="1"/>
    <col min="17" max="17" width="1.15234375" style="746" customWidth="1"/>
    <col min="19" max="19" width="1.84375" style="746" customWidth="1"/>
    <col min="20" max="20" width="7.84375" style="746" bestFit="1" customWidth="1"/>
    <col min="21" max="21" width="7.3046875" style="746" customWidth="1"/>
    <col min="22" max="22" width="1.69140625" style="746" customWidth="1"/>
    <col min="23" max="23" width="9.15234375" style="746" bestFit="1" customWidth="1"/>
    <col min="24" max="16384" width="8" style="746"/>
  </cols>
  <sheetData>
    <row r="1" spans="2:23">
      <c r="C1" s="747"/>
    </row>
    <row r="2" spans="2:23">
      <c r="B2" s="975" t="str">
        <f>Intro!C5</f>
        <v>NeoGenomics</v>
      </c>
      <c r="C2" s="975"/>
      <c r="D2" s="975"/>
      <c r="E2" s="975"/>
      <c r="F2" s="975"/>
      <c r="G2" s="975"/>
      <c r="H2" s="975"/>
      <c r="I2" s="975"/>
      <c r="J2" s="975"/>
      <c r="K2" s="975"/>
      <c r="L2" s="975"/>
      <c r="M2" s="975"/>
      <c r="N2" s="975"/>
      <c r="Q2" s="748"/>
      <c r="T2" s="747"/>
      <c r="U2" s="747"/>
      <c r="V2" s="747"/>
      <c r="W2" s="747"/>
    </row>
    <row r="3" spans="2:23">
      <c r="B3" s="975" t="str">
        <f>'BM Upload2'!B4&amp;RIGHT('BM Upload2'!B3,2)</f>
        <v>4Q25</v>
      </c>
      <c r="C3" s="975"/>
      <c r="D3" s="975"/>
      <c r="E3" s="975"/>
      <c r="F3" s="975"/>
      <c r="G3" s="975"/>
      <c r="H3" s="975"/>
      <c r="I3" s="975"/>
      <c r="J3" s="975"/>
      <c r="K3" s="975"/>
      <c r="L3" s="975"/>
      <c r="M3" s="975"/>
      <c r="N3" s="975"/>
      <c r="Q3" s="748"/>
      <c r="V3" s="747"/>
      <c r="W3" s="747"/>
    </row>
    <row r="4" spans="2:23">
      <c r="B4" s="975" t="s">
        <v>672</v>
      </c>
      <c r="C4" s="975"/>
      <c r="D4" s="975"/>
      <c r="E4" s="975"/>
      <c r="F4" s="975"/>
      <c r="G4" s="975"/>
      <c r="H4" s="975"/>
      <c r="I4" s="975"/>
      <c r="J4" s="975"/>
      <c r="K4" s="975"/>
      <c r="L4" s="975"/>
      <c r="M4" s="975"/>
      <c r="N4" s="975"/>
      <c r="Q4" s="749"/>
      <c r="T4" s="747"/>
      <c r="U4" s="747"/>
      <c r="V4" s="747"/>
      <c r="W4" s="747"/>
    </row>
    <row r="5" spans="2:23">
      <c r="B5" s="975" t="s">
        <v>673</v>
      </c>
      <c r="C5" s="975"/>
      <c r="D5" s="975"/>
      <c r="E5" s="975"/>
      <c r="F5" s="975"/>
      <c r="G5" s="975"/>
      <c r="H5" s="975"/>
      <c r="I5" s="975"/>
      <c r="J5" s="975"/>
      <c r="K5" s="975"/>
      <c r="L5" s="975"/>
      <c r="M5" s="975"/>
      <c r="N5" s="975"/>
      <c r="Q5" s="749"/>
      <c r="S5" s="749"/>
      <c r="T5" s="747"/>
      <c r="U5" s="747"/>
      <c r="V5" s="747"/>
      <c r="W5" s="747"/>
    </row>
    <row r="6" spans="2:23" ht="4.5" customHeight="1">
      <c r="B6" s="750"/>
      <c r="C6" s="747"/>
      <c r="D6" s="747"/>
      <c r="E6" s="747"/>
      <c r="F6" s="747"/>
      <c r="G6" s="747"/>
      <c r="H6" s="747"/>
      <c r="I6" s="747"/>
      <c r="J6" s="747"/>
      <c r="K6" s="747"/>
      <c r="L6" s="747"/>
      <c r="M6" s="747"/>
      <c r="N6" s="747"/>
      <c r="Q6" s="747"/>
      <c r="T6" s="747"/>
      <c r="U6" s="747"/>
      <c r="V6" s="747"/>
      <c r="W6" s="747"/>
    </row>
    <row r="7" spans="2:23">
      <c r="B7" s="751"/>
      <c r="C7" s="752"/>
      <c r="D7" s="753"/>
      <c r="E7" s="752"/>
      <c r="F7" s="752"/>
      <c r="G7" s="753"/>
      <c r="H7" s="976" t="s">
        <v>674</v>
      </c>
      <c r="I7" s="976"/>
      <c r="J7" s="976"/>
      <c r="K7" s="754"/>
      <c r="L7" s="976" t="s">
        <v>675</v>
      </c>
      <c r="M7" s="976"/>
      <c r="N7" s="976"/>
      <c r="P7" s="755" t="s">
        <v>676</v>
      </c>
      <c r="U7" s="756"/>
      <c r="V7" s="756"/>
      <c r="W7" s="756"/>
    </row>
    <row r="8" spans="2:23">
      <c r="B8" s="748"/>
      <c r="C8" s="757"/>
      <c r="D8" s="758" t="s">
        <v>677</v>
      </c>
      <c r="E8" s="758" t="s">
        <v>678</v>
      </c>
      <c r="F8" s="758" t="s">
        <v>568</v>
      </c>
      <c r="G8" s="759"/>
      <c r="H8" s="758" t="s">
        <v>679</v>
      </c>
      <c r="I8" s="760" t="s">
        <v>680</v>
      </c>
      <c r="J8" s="758" t="s">
        <v>568</v>
      </c>
      <c r="K8" s="761"/>
      <c r="L8" s="758" t="s">
        <v>679</v>
      </c>
      <c r="M8" s="760" t="s">
        <v>680</v>
      </c>
      <c r="N8" s="758" t="s">
        <v>568</v>
      </c>
      <c r="P8" s="762"/>
      <c r="Q8" s="756"/>
      <c r="U8" s="756"/>
      <c r="V8" s="756"/>
      <c r="W8" s="756"/>
    </row>
    <row r="9" spans="2:23">
      <c r="B9" s="748" t="s">
        <v>18</v>
      </c>
      <c r="C9" s="749"/>
      <c r="D9" s="763">
        <f>IS!EX49</f>
        <v>168.035</v>
      </c>
      <c r="E9" s="763">
        <f ca="1">OFFSET(IS!EX49,,-6)</f>
        <v>156.24</v>
      </c>
      <c r="F9" s="764">
        <f ca="1">D9/E9-1</f>
        <v>7.5492831541218663E-2</v>
      </c>
      <c r="G9" s="765"/>
      <c r="H9" s="766"/>
      <c r="I9" s="767" t="e">
        <f>(D9-H9)/H9</f>
        <v>#DIV/0!</v>
      </c>
      <c r="J9" s="764">
        <f ca="1">H9/E9-1</f>
        <v>-1</v>
      </c>
      <c r="K9" s="768"/>
      <c r="L9" s="766">
        <v>170.6</v>
      </c>
      <c r="M9" s="767">
        <f>$D9/L9-1</f>
        <v>-1.5035169988276698E-2</v>
      </c>
      <c r="N9" s="764">
        <f ca="1">L9/E9-1</f>
        <v>9.1909882232462881E-2</v>
      </c>
      <c r="P9" s="762"/>
      <c r="Q9" s="769"/>
      <c r="S9" s="769"/>
      <c r="U9" s="770"/>
      <c r="V9" s="771"/>
      <c r="W9" s="771"/>
    </row>
    <row r="10" spans="2:23">
      <c r="B10" s="749"/>
      <c r="C10" s="749" t="s">
        <v>19</v>
      </c>
      <c r="D10" s="772">
        <f>IS!EX50</f>
        <v>89.483999999999995</v>
      </c>
      <c r="E10" s="772">
        <f ca="1">OFFSET(IS!EX50,,-6)</f>
        <v>85.465999999999994</v>
      </c>
      <c r="F10" s="764"/>
      <c r="G10" s="773"/>
      <c r="H10" s="774"/>
      <c r="I10" s="767"/>
      <c r="J10" s="775"/>
      <c r="K10" s="776"/>
      <c r="L10" s="774"/>
      <c r="M10" s="767"/>
      <c r="N10" s="767"/>
      <c r="P10" s="762"/>
      <c r="Q10" s="769"/>
      <c r="S10" s="769"/>
      <c r="U10" s="777"/>
      <c r="V10" s="771"/>
      <c r="W10" s="771"/>
    </row>
    <row r="11" spans="2:23">
      <c r="B11" s="749" t="s">
        <v>20</v>
      </c>
      <c r="C11" s="749"/>
      <c r="D11" s="772">
        <f>D9-D10</f>
        <v>78.551000000000002</v>
      </c>
      <c r="E11" s="772">
        <f ca="1">E9-E10</f>
        <v>70.774000000000015</v>
      </c>
      <c r="F11" s="764"/>
      <c r="G11" s="773"/>
      <c r="H11" s="772"/>
      <c r="I11" s="767" t="e">
        <f>(D11-H11)/H11</f>
        <v>#DIV/0!</v>
      </c>
      <c r="J11" s="764"/>
      <c r="K11" s="768"/>
      <c r="L11" s="766">
        <v>73.400000000000006</v>
      </c>
      <c r="M11" s="767">
        <f>$D11/L11-1</f>
        <v>7.0177111716621221E-2</v>
      </c>
      <c r="N11" s="764"/>
      <c r="P11" s="762"/>
      <c r="Q11" s="769"/>
      <c r="S11" s="769"/>
      <c r="U11" s="770"/>
      <c r="V11" s="771"/>
      <c r="W11" s="771"/>
    </row>
    <row r="12" spans="2:23">
      <c r="B12" s="749"/>
      <c r="C12" s="749" t="s">
        <v>527</v>
      </c>
      <c r="D12" s="772">
        <f>IS!EX52</f>
        <v>48.047999999999995</v>
      </c>
      <c r="E12" s="772">
        <f ca="1">OFFSET(IS!EX52,,-6)</f>
        <v>49.082999999999998</v>
      </c>
      <c r="F12" s="764"/>
      <c r="G12" s="773"/>
      <c r="H12" s="774"/>
      <c r="I12" s="767"/>
      <c r="J12" s="778"/>
      <c r="K12" s="779"/>
      <c r="L12" s="774"/>
      <c r="M12" s="767"/>
      <c r="N12" s="767"/>
      <c r="P12" s="762"/>
      <c r="Q12" s="769"/>
      <c r="S12" s="769"/>
      <c r="U12" s="770"/>
      <c r="V12" s="771"/>
      <c r="W12" s="771"/>
    </row>
    <row r="13" spans="2:23">
      <c r="B13" s="749"/>
      <c r="C13" s="749" t="s">
        <v>686</v>
      </c>
      <c r="D13" s="772">
        <f>IS!EX53</f>
        <v>22.683</v>
      </c>
      <c r="E13" s="772">
        <f ca="1">OFFSET(IS!EX53,,-6)</f>
        <v>20.221</v>
      </c>
      <c r="F13" s="764"/>
      <c r="G13" s="773"/>
      <c r="H13" s="774"/>
      <c r="I13" s="767"/>
      <c r="J13" s="778"/>
      <c r="K13" s="779"/>
      <c r="L13" s="774"/>
      <c r="M13" s="767"/>
      <c r="N13" s="767"/>
      <c r="P13" s="762"/>
      <c r="Q13" s="769"/>
      <c r="S13" s="769"/>
      <c r="U13" s="770"/>
      <c r="V13" s="771"/>
      <c r="W13" s="771"/>
    </row>
    <row r="14" spans="2:23">
      <c r="B14" s="749"/>
      <c r="C14" s="749" t="s">
        <v>40</v>
      </c>
      <c r="D14" s="772">
        <f>IS!EX54</f>
        <v>10.180999999999999</v>
      </c>
      <c r="E14" s="772">
        <f ca="1">OFFSET(IS!EX54,,-6)</f>
        <v>7.62</v>
      </c>
      <c r="F14" s="775"/>
      <c r="G14" s="773"/>
      <c r="H14" s="774"/>
      <c r="I14" s="767"/>
      <c r="J14" s="775"/>
      <c r="K14" s="776"/>
      <c r="L14" s="774"/>
      <c r="M14" s="767"/>
      <c r="N14" s="767"/>
      <c r="P14" s="762"/>
      <c r="Q14" s="769"/>
      <c r="S14" s="769"/>
      <c r="U14" s="777"/>
      <c r="V14" s="771"/>
      <c r="W14" s="771"/>
    </row>
    <row r="15" spans="2:23">
      <c r="B15" s="780" t="s">
        <v>416</v>
      </c>
      <c r="C15" s="781"/>
      <c r="D15" s="782">
        <f>IS!EX70</f>
        <v>7.0700000000000101</v>
      </c>
      <c r="E15" s="782">
        <f ca="1">OFFSET(IS!EX70,,-6)</f>
        <v>3.492000000000008</v>
      </c>
      <c r="F15" s="783">
        <f ca="1">D15/E15-1</f>
        <v>1.0246277205040073</v>
      </c>
      <c r="G15" s="784"/>
      <c r="H15" s="782"/>
      <c r="I15" s="785" t="e">
        <f>(D15-H15)/H15</f>
        <v>#DIV/0!</v>
      </c>
      <c r="J15" s="783">
        <f ca="1">H15/E15-1</f>
        <v>-1</v>
      </c>
      <c r="K15" s="786"/>
      <c r="L15" s="787">
        <v>4.9000000000000004</v>
      </c>
      <c r="M15" s="785">
        <f>$D15/L15-1</f>
        <v>0.44285714285714484</v>
      </c>
      <c r="N15" s="783">
        <f ca="1">L15/E15-1</f>
        <v>0.40320733104237938</v>
      </c>
      <c r="P15" s="762"/>
      <c r="Q15" s="769"/>
      <c r="S15" s="769"/>
      <c r="U15" s="770"/>
      <c r="V15" s="771"/>
      <c r="W15" s="771"/>
    </row>
    <row r="16" spans="2:23" hidden="1" outlineLevel="1">
      <c r="B16" s="749"/>
      <c r="C16" s="749" t="s">
        <v>24</v>
      </c>
      <c r="D16" s="772">
        <f>IS!EX57</f>
        <v>1.6180000000000001</v>
      </c>
      <c r="E16" s="772">
        <f ca="1">OFFSET(IS!EX57,,-6)</f>
        <v>1.6850000000000001</v>
      </c>
      <c r="F16" s="778"/>
      <c r="G16" s="773"/>
      <c r="H16" s="774"/>
      <c r="I16" s="767"/>
      <c r="J16" s="778"/>
      <c r="K16" s="779"/>
      <c r="L16" s="774"/>
      <c r="M16" s="767"/>
      <c r="N16" s="767"/>
      <c r="P16" s="762"/>
      <c r="Q16" s="769"/>
      <c r="S16" s="769"/>
      <c r="U16" s="770"/>
      <c r="V16" s="771"/>
      <c r="W16" s="771"/>
    </row>
    <row r="17" spans="2:23" hidden="1" outlineLevel="1">
      <c r="B17" s="749"/>
      <c r="C17" s="749" t="s">
        <v>25</v>
      </c>
      <c r="D17" s="772">
        <f>IS!EX58</f>
        <v>-3.7210000000000001</v>
      </c>
      <c r="E17" s="772">
        <f ca="1">OFFSET(IS!EX58,,-6)</f>
        <v>-4.8339999999999996</v>
      </c>
      <c r="F17" s="778"/>
      <c r="G17" s="773"/>
      <c r="H17" s="774"/>
      <c r="I17" s="767"/>
      <c r="J17" s="778"/>
      <c r="K17" s="779"/>
      <c r="L17" s="774"/>
      <c r="M17" s="767"/>
      <c r="N17" s="767"/>
      <c r="P17" s="762"/>
      <c r="Q17" s="769"/>
      <c r="S17" s="769"/>
      <c r="U17" s="770"/>
      <c r="V17" s="771"/>
      <c r="W17" s="771"/>
    </row>
    <row r="18" spans="2:23" s="789" customFormat="1" hidden="1" outlineLevel="1">
      <c r="B18" s="788"/>
      <c r="C18" s="749" t="s">
        <v>681</v>
      </c>
      <c r="D18" s="772">
        <f>IS!EX59</f>
        <v>-6.5000000000000002E-2</v>
      </c>
      <c r="E18" s="772">
        <f ca="1">OFFSET(IS!EX59,,-6)</f>
        <v>0.26300000000000001</v>
      </c>
      <c r="F18" s="775"/>
      <c r="G18" s="773"/>
      <c r="H18" s="774"/>
      <c r="I18" s="767"/>
      <c r="J18" s="775"/>
      <c r="K18" s="776"/>
      <c r="L18" s="774"/>
      <c r="M18" s="767"/>
      <c r="N18" s="767"/>
      <c r="P18" s="790"/>
      <c r="Q18" s="791"/>
      <c r="S18" s="791"/>
      <c r="U18" s="777"/>
      <c r="V18" s="792"/>
      <c r="W18" s="792"/>
    </row>
    <row r="19" spans="2:23" hidden="1" outlineLevel="1">
      <c r="B19" s="749" t="s">
        <v>27</v>
      </c>
      <c r="C19" s="749"/>
      <c r="D19" s="772">
        <f>D15-SUM(D16:D18)</f>
        <v>9.2380000000000102</v>
      </c>
      <c r="E19" s="772">
        <f ca="1">E15-SUM(E16:E18)</f>
        <v>6.3780000000000072</v>
      </c>
      <c r="F19" s="778"/>
      <c r="G19" s="773"/>
      <c r="H19" s="772"/>
      <c r="I19" s="767"/>
      <c r="J19" s="778"/>
      <c r="K19" s="779"/>
      <c r="L19" s="772"/>
      <c r="M19" s="767"/>
      <c r="N19" s="767"/>
      <c r="P19" s="762"/>
      <c r="Q19" s="769"/>
      <c r="S19" s="769"/>
      <c r="U19" s="770"/>
      <c r="V19" s="771"/>
      <c r="W19" s="771"/>
    </row>
    <row r="20" spans="2:23" hidden="1" outlineLevel="1">
      <c r="B20" s="749"/>
      <c r="C20" s="749" t="s">
        <v>28</v>
      </c>
      <c r="D20" s="772">
        <f>IS!EX61</f>
        <v>0.26600000000000001</v>
      </c>
      <c r="E20" s="772">
        <f ca="1">OFFSET(IS!EX61,,-6)</f>
        <v>-0.62</v>
      </c>
      <c r="F20" s="775"/>
      <c r="G20" s="773"/>
      <c r="H20" s="774"/>
      <c r="I20" s="767"/>
      <c r="J20" s="775"/>
      <c r="K20" s="776"/>
      <c r="L20" s="774"/>
      <c r="M20" s="767"/>
      <c r="N20" s="767"/>
      <c r="P20" s="762"/>
      <c r="Q20" s="769"/>
      <c r="S20" s="769"/>
      <c r="U20" s="777"/>
      <c r="V20" s="771"/>
      <c r="W20" s="771"/>
    </row>
    <row r="21" spans="2:23" hidden="1" outlineLevel="1">
      <c r="B21" s="748" t="s">
        <v>83</v>
      </c>
      <c r="C21" s="749"/>
      <c r="D21" s="763">
        <f>D19-D20</f>
        <v>8.9720000000000102</v>
      </c>
      <c r="E21" s="763">
        <f ca="1">E19-E20</f>
        <v>6.9980000000000073</v>
      </c>
      <c r="F21" s="764">
        <f ca="1">D21/E21-1</f>
        <v>0.28208059445555889</v>
      </c>
      <c r="G21" s="765"/>
      <c r="H21" s="763"/>
      <c r="I21" s="767" t="e">
        <f>(D21-H21)/H21</f>
        <v>#DIV/0!</v>
      </c>
      <c r="J21" s="764">
        <f ca="1">H21/E21-1</f>
        <v>-1</v>
      </c>
      <c r="K21" s="768"/>
      <c r="L21" s="766">
        <v>3.6</v>
      </c>
      <c r="M21" s="767">
        <f>$D21/L21-1</f>
        <v>1.492222222222225</v>
      </c>
      <c r="N21" s="764">
        <f ca="1">L21/E21-1</f>
        <v>-0.48556730494427036</v>
      </c>
      <c r="P21" s="762"/>
      <c r="Q21" s="769"/>
      <c r="S21" s="769"/>
      <c r="U21" s="770"/>
      <c r="V21" s="771"/>
      <c r="W21" s="771"/>
    </row>
    <row r="22" spans="2:23" ht="10.5" customHeight="1" collapsed="1">
      <c r="B22" s="749"/>
      <c r="C22" s="749"/>
      <c r="D22" s="749"/>
      <c r="E22" s="749"/>
      <c r="F22" s="775"/>
      <c r="G22" s="793"/>
      <c r="H22" s="749"/>
      <c r="I22" s="767"/>
      <c r="J22" s="775"/>
      <c r="K22" s="776"/>
      <c r="L22" s="749"/>
      <c r="M22" s="767"/>
      <c r="N22" s="767"/>
      <c r="P22" s="762"/>
      <c r="Q22" s="769"/>
      <c r="S22" s="769"/>
      <c r="U22" s="794"/>
    </row>
    <row r="23" spans="2:23" ht="12" thickBot="1">
      <c r="B23" s="795" t="s">
        <v>682</v>
      </c>
      <c r="C23" s="796"/>
      <c r="D23" s="797">
        <f>IS!EX68</f>
        <v>-3.6035045848510729E-3</v>
      </c>
      <c r="E23" s="797">
        <f ca="1">OFFSET(IS!EX68,,-6)</f>
        <v>-2.0965657238464462E-2</v>
      </c>
      <c r="F23" s="798">
        <f ca="1">D23/E23-1</f>
        <v>-0.82812346191370834</v>
      </c>
      <c r="G23" s="799"/>
      <c r="H23" s="800"/>
      <c r="I23" s="801" t="e">
        <f>(D23-H23)/H23</f>
        <v>#DIV/0!</v>
      </c>
      <c r="J23" s="798">
        <f ca="1">H23/E23-1</f>
        <v>-1</v>
      </c>
      <c r="K23" s="802"/>
      <c r="L23" s="800">
        <v>-0.01</v>
      </c>
      <c r="M23" s="801">
        <f>$D23/L23-1</f>
        <v>-0.63964954151489273</v>
      </c>
      <c r="N23" s="798">
        <f ca="1">L23/E23-1</f>
        <v>-0.52302950075642818</v>
      </c>
      <c r="P23" s="762"/>
      <c r="Q23" s="769"/>
      <c r="S23" s="769"/>
    </row>
    <row r="24" spans="2:23" ht="12" thickTop="1">
      <c r="B24" s="803"/>
      <c r="C24" s="803"/>
      <c r="F24" s="803"/>
      <c r="G24" s="804"/>
      <c r="J24" s="803"/>
      <c r="K24" s="805"/>
      <c r="P24" s="762"/>
    </row>
    <row r="25" spans="2:23" s="813" customFormat="1" ht="13.5" customHeight="1">
      <c r="B25" s="806" t="s">
        <v>33</v>
      </c>
      <c r="C25" s="807"/>
      <c r="D25" s="808">
        <f>D11/D9</f>
        <v>0.46746808700568337</v>
      </c>
      <c r="E25" s="808">
        <f ca="1">E11/E9</f>
        <v>0.45298259088581677</v>
      </c>
      <c r="F25" s="809">
        <f ca="1">(D25-E25)*10000</f>
        <v>144.85496119866605</v>
      </c>
      <c r="G25" s="810"/>
      <c r="H25" s="808"/>
      <c r="I25" s="811">
        <f>(D25-H25)*10000</f>
        <v>4674.6808700568336</v>
      </c>
      <c r="J25" s="809">
        <f ca="1">(H25-E25)*10000</f>
        <v>-4529.8259088581681</v>
      </c>
      <c r="K25" s="812"/>
      <c r="L25" s="808">
        <f>L11/L9</f>
        <v>0.43024618991793673</v>
      </c>
      <c r="M25" s="811">
        <f>(D25-L25)*10000</f>
        <v>372.21897087746646</v>
      </c>
      <c r="N25" s="809">
        <f ca="1">(L25-E25)*10000</f>
        <v>-227.36400967880044</v>
      </c>
      <c r="P25" s="814"/>
    </row>
    <row r="26" spans="2:23" s="813" customFormat="1" ht="13.5" customHeight="1">
      <c r="B26" s="806" t="s">
        <v>161</v>
      </c>
      <c r="C26" s="807"/>
      <c r="D26" s="808">
        <f>D15/D9</f>
        <v>4.2074567798375401E-2</v>
      </c>
      <c r="E26" s="808">
        <f ca="1">E15/E9</f>
        <v>2.2350230414746593E-2</v>
      </c>
      <c r="F26" s="809">
        <f ca="1">(D26-E26)*10000</f>
        <v>197.24337383628807</v>
      </c>
      <c r="G26" s="810"/>
      <c r="H26" s="808"/>
      <c r="I26" s="811">
        <f>(D26-H26)*10000</f>
        <v>420.74567798375404</v>
      </c>
      <c r="J26" s="809">
        <f ca="1">(H26-E26)*10000</f>
        <v>-223.50230414746594</v>
      </c>
      <c r="K26" s="812"/>
      <c r="L26" s="808">
        <f>L15/L9</f>
        <v>2.8722157092614307E-2</v>
      </c>
      <c r="M26" s="811">
        <f>(D26-L26)*10000</f>
        <v>133.52410705761093</v>
      </c>
      <c r="N26" s="809">
        <f ca="1">(L26-E26)*10000</f>
        <v>63.719266778677131</v>
      </c>
      <c r="P26" s="814"/>
    </row>
    <row r="27" spans="2:23" s="813" customFormat="1" ht="13.5" customHeight="1">
      <c r="B27" s="806" t="s">
        <v>34</v>
      </c>
      <c r="C27" s="807"/>
      <c r="D27" s="808">
        <f>D21/D9</f>
        <v>5.3393638230130692E-2</v>
      </c>
      <c r="E27" s="808">
        <f ca="1">E21/E9</f>
        <v>4.4790066564260156E-2</v>
      </c>
      <c r="F27" s="809">
        <f ca="1">(D27-E27)*10000</f>
        <v>86.035716658705368</v>
      </c>
      <c r="G27" s="810"/>
      <c r="H27" s="808"/>
      <c r="I27" s="811">
        <f>(D27-H27)*10000</f>
        <v>533.93638230130694</v>
      </c>
      <c r="J27" s="809">
        <f ca="1">(H27-E27)*10000</f>
        <v>-447.90066564260155</v>
      </c>
      <c r="K27" s="812"/>
      <c r="L27" s="808">
        <f>L21/L9</f>
        <v>2.1101992966002348E-2</v>
      </c>
      <c r="M27" s="811">
        <f>(D27-L27)*10000</f>
        <v>322.91645264128346</v>
      </c>
      <c r="N27" s="809">
        <f ca="1">(L27-E27)*10000</f>
        <v>-236.88073598257807</v>
      </c>
      <c r="P27" s="814"/>
    </row>
    <row r="28" spans="2:23" s="813" customFormat="1" ht="13.5" customHeight="1">
      <c r="B28" s="806"/>
      <c r="C28" s="807"/>
      <c r="D28" s="808"/>
      <c r="E28" s="808"/>
      <c r="F28" s="809"/>
      <c r="G28" s="810"/>
      <c r="H28" s="808"/>
      <c r="I28" s="811"/>
      <c r="J28" s="809"/>
      <c r="K28" s="812"/>
      <c r="L28" s="808"/>
      <c r="M28" s="811"/>
      <c r="N28" s="811"/>
      <c r="P28" s="814"/>
    </row>
    <row r="29" spans="2:23" s="813" customFormat="1" ht="13.5" customHeight="1">
      <c r="B29" s="748" t="s">
        <v>683</v>
      </c>
      <c r="C29" s="807"/>
      <c r="D29" s="808"/>
      <c r="E29" s="808"/>
      <c r="F29" s="809"/>
      <c r="G29" s="810"/>
      <c r="H29" s="808"/>
      <c r="I29" s="811"/>
      <c r="J29" s="809"/>
      <c r="K29" s="812"/>
      <c r="L29" s="808"/>
      <c r="M29" s="811"/>
      <c r="N29" s="811"/>
      <c r="P29" s="814"/>
    </row>
    <row r="30" spans="2:23" s="813" customFormat="1" ht="13.5" customHeight="1">
      <c r="B30" s="807" t="s">
        <v>528</v>
      </c>
      <c r="C30" s="807"/>
      <c r="D30" s="815">
        <f>Rev!EX10</f>
        <v>149.70881700000001</v>
      </c>
      <c r="E30" s="772">
        <f ca="1">OFFSET(Rev!EX10,,-6)</f>
        <v>134.535</v>
      </c>
      <c r="F30" s="764">
        <f ca="1">D30/E30-1</f>
        <v>0.1127871334596946</v>
      </c>
      <c r="G30" s="816"/>
      <c r="H30" s="817"/>
      <c r="I30" s="767" t="e">
        <f>$D30/H30-1</f>
        <v>#DIV/0!</v>
      </c>
      <c r="J30" s="764">
        <f ca="1">H30/E30-1</f>
        <v>-1</v>
      </c>
      <c r="K30" s="768"/>
      <c r="L30" s="774">
        <v>149</v>
      </c>
      <c r="M30" s="767">
        <f>$D30/L30-1</f>
        <v>4.757161073825511E-3</v>
      </c>
      <c r="N30" s="764">
        <f ca="1">L30/E30-1</f>
        <v>0.10751848961236865</v>
      </c>
      <c r="P30"/>
    </row>
    <row r="31" spans="2:23" s="813" customFormat="1" ht="13.5" customHeight="1">
      <c r="B31" s="807" t="s">
        <v>529</v>
      </c>
      <c r="C31" s="807"/>
      <c r="D31" s="815">
        <f>Rev!EX78</f>
        <v>18.326182999999986</v>
      </c>
      <c r="E31" s="772">
        <f ca="1">OFFSET(Rev!EX78,,-6)</f>
        <v>21.704999999999998</v>
      </c>
      <c r="F31" s="764">
        <f ca="1">D31/E31-1</f>
        <v>-0.15566998387468378</v>
      </c>
      <c r="G31" s="816"/>
      <c r="H31" s="817"/>
      <c r="I31" s="767" t="e">
        <f>$D31/H31-1</f>
        <v>#DIV/0!</v>
      </c>
      <c r="J31" s="764">
        <f ca="1">H31/E31-1</f>
        <v>-1</v>
      </c>
      <c r="K31" s="768"/>
      <c r="L31" s="774">
        <v>21.4</v>
      </c>
      <c r="M31" s="767">
        <f>$D31/L31-1</f>
        <v>-0.14363630841121555</v>
      </c>
      <c r="N31" s="764">
        <f ca="1">L31/E31-1</f>
        <v>-1.4052061736926968E-2</v>
      </c>
      <c r="P31"/>
    </row>
    <row r="32" spans="2:23" s="813" customFormat="1" ht="13.5" customHeight="1">
      <c r="B32" s="807"/>
      <c r="C32" s="807"/>
      <c r="D32" s="818"/>
      <c r="E32" s="818"/>
      <c r="F32" s="819"/>
      <c r="G32" s="818"/>
      <c r="H32" s="818"/>
      <c r="I32" s="820"/>
      <c r="J32" s="819"/>
      <c r="K32" s="819"/>
      <c r="L32" s="818"/>
      <c r="M32" s="820"/>
      <c r="N32" s="820"/>
    </row>
    <row r="34" spans="2:16">
      <c r="B34" s="746" t="s">
        <v>684</v>
      </c>
      <c r="O34" s="746"/>
      <c r="P34" s="746"/>
    </row>
    <row r="35" spans="2:16">
      <c r="B35" s="746" t="s">
        <v>685</v>
      </c>
      <c r="O35" s="746"/>
      <c r="P35" s="746"/>
    </row>
    <row r="36" spans="2:16">
      <c r="O36" s="746"/>
      <c r="P36" s="746"/>
    </row>
  </sheetData>
  <mergeCells count="6">
    <mergeCell ref="B2:N2"/>
    <mergeCell ref="B3:N3"/>
    <mergeCell ref="B4:N4"/>
    <mergeCell ref="B5:N5"/>
    <mergeCell ref="H7:J7"/>
    <mergeCell ref="L7:N7"/>
  </mergeCells>
  <pageMargins left="0.75" right="0.75" top="1" bottom="1" header="0.5" footer="0.5"/>
  <pageSetup orientation="portrait" r:id="rId1"/>
  <headerFooter alignWithMargins="0">
    <oddFooter>&amp;L_x000D_&amp;1#&amp;"Calibri"&amp;10&amp;K000000 Sensitivity: Public</oddFooter>
  </headerFooter>
  <ignoredErrors>
    <ignoredError sqref="I9:I31"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645B-8FAE-4511-90D2-75E48AAB50D0}">
  <dimension ref="B2:Q37"/>
  <sheetViews>
    <sheetView workbookViewId="0"/>
  </sheetViews>
  <sheetFormatPr defaultColWidth="8.84375" defaultRowHeight="11.65" outlineLevelRow="1"/>
  <cols>
    <col min="1" max="1" width="8.84375" style="733"/>
    <col min="2" max="2" width="10.84375" style="733" bestFit="1" customWidth="1"/>
    <col min="3" max="3" width="4.3046875" style="733" customWidth="1"/>
    <col min="4" max="4" width="6.3828125" style="733" bestFit="1" customWidth="1"/>
    <col min="5" max="5" width="2.69140625" style="733" customWidth="1"/>
    <col min="6" max="6" width="6.3828125" style="733" bestFit="1" customWidth="1"/>
    <col min="7" max="7" width="2.69140625" style="733" customWidth="1"/>
    <col min="8" max="8" width="6.3828125" style="733" bestFit="1" customWidth="1"/>
    <col min="9" max="9" width="1.3828125" style="733" customWidth="1"/>
    <col min="10" max="10" width="7" style="733" bestFit="1" customWidth="1"/>
    <col min="11" max="11" width="1.3046875" style="733" customWidth="1"/>
    <col min="12" max="12" width="10" style="733" bestFit="1" customWidth="1"/>
    <col min="13" max="13" width="9.69140625" style="733" bestFit="1" customWidth="1"/>
    <col min="14" max="14" width="1" style="733" customWidth="1"/>
    <col min="15" max="15" width="7.15234375" style="733" bestFit="1" customWidth="1"/>
    <col min="16" max="16" width="0.84375" style="733" customWidth="1"/>
    <col min="17" max="17" width="9.69140625" style="733" bestFit="1" customWidth="1"/>
    <col min="18" max="16384" width="8.84375" style="733"/>
  </cols>
  <sheetData>
    <row r="2" spans="2:17" ht="13.5">
      <c r="B2" s="978" t="s">
        <v>694</v>
      </c>
      <c r="C2" s="978"/>
      <c r="D2" s="978"/>
      <c r="E2" s="978"/>
      <c r="F2" s="978"/>
      <c r="G2" s="978"/>
      <c r="H2" s="978"/>
      <c r="I2" s="978"/>
      <c r="J2" s="978"/>
      <c r="K2" s="978"/>
      <c r="L2" s="978"/>
      <c r="M2" s="978"/>
      <c r="N2" s="978"/>
      <c r="O2" s="978"/>
      <c r="P2" s="978"/>
      <c r="Q2" s="978"/>
    </row>
    <row r="3" spans="2:17" ht="13.15">
      <c r="B3" s="977">
        <v>2025</v>
      </c>
      <c r="C3" s="977"/>
      <c r="D3" s="977"/>
      <c r="E3" s="977"/>
      <c r="F3" s="977"/>
      <c r="G3" s="977"/>
      <c r="H3" s="977"/>
      <c r="I3" s="977"/>
      <c r="J3" s="977"/>
      <c r="K3" s="977"/>
      <c r="L3" s="977"/>
      <c r="M3" s="977"/>
      <c r="N3" s="977"/>
      <c r="O3" s="977"/>
      <c r="P3" s="977"/>
      <c r="Q3" s="977"/>
    </row>
    <row r="4" spans="2:17">
      <c r="B4" s="734"/>
      <c r="C4" s="734"/>
      <c r="D4" s="734" t="s">
        <v>662</v>
      </c>
      <c r="E4" s="734"/>
      <c r="F4" s="734" t="s">
        <v>663</v>
      </c>
      <c r="G4" s="734"/>
      <c r="H4" s="734" t="s">
        <v>664</v>
      </c>
      <c r="I4" s="734"/>
      <c r="J4" s="734" t="s">
        <v>665</v>
      </c>
      <c r="K4" s="734"/>
      <c r="L4" s="734" t="s">
        <v>666</v>
      </c>
      <c r="M4" s="734" t="s">
        <v>667</v>
      </c>
      <c r="N4" s="734"/>
      <c r="O4" s="734" t="s">
        <v>668</v>
      </c>
      <c r="P4" s="734"/>
      <c r="Q4" s="734" t="s">
        <v>568</v>
      </c>
    </row>
    <row r="5" spans="2:17">
      <c r="B5" s="735" t="s">
        <v>127</v>
      </c>
      <c r="C5" s="735"/>
      <c r="D5" s="736">
        <v>747</v>
      </c>
      <c r="E5" s="737"/>
      <c r="F5" s="738">
        <f>AVERAGE(D5,H5)</f>
        <v>753</v>
      </c>
      <c r="G5" s="737"/>
      <c r="H5" s="736">
        <v>759</v>
      </c>
      <c r="I5" s="735"/>
      <c r="J5" s="739">
        <f>F11</f>
        <v>740</v>
      </c>
      <c r="K5" s="735"/>
      <c r="L5" s="740">
        <f>(F5-J5)/J5</f>
        <v>1.7567567567567569E-2</v>
      </c>
      <c r="M5" s="741">
        <f>F5-F11</f>
        <v>13</v>
      </c>
      <c r="N5" s="737"/>
      <c r="O5" s="739">
        <f>IS!EV49</f>
        <v>660.56600000000003</v>
      </c>
      <c r="P5" s="739"/>
      <c r="Q5" s="742">
        <f>F5/O5-1</f>
        <v>0.13993151327800701</v>
      </c>
    </row>
    <row r="6" spans="2:17">
      <c r="B6" s="735" t="s">
        <v>554</v>
      </c>
      <c r="C6" s="735"/>
      <c r="D6" s="736">
        <v>55</v>
      </c>
      <c r="E6" s="737"/>
      <c r="F6" s="738">
        <f>AVERAGE(D6,H6)</f>
        <v>56.5</v>
      </c>
      <c r="G6" s="737"/>
      <c r="H6" s="736">
        <v>58</v>
      </c>
      <c r="I6" s="735"/>
      <c r="J6" s="743">
        <f>F12</f>
        <v>56.5</v>
      </c>
      <c r="K6" s="735"/>
      <c r="L6" s="740">
        <f>(F6-J6)/J6</f>
        <v>0</v>
      </c>
      <c r="M6" s="741">
        <f>F6-F12</f>
        <v>0</v>
      </c>
      <c r="N6" s="737"/>
      <c r="O6" s="738">
        <f>IS!EV70</f>
        <v>39.608000000000054</v>
      </c>
      <c r="P6" s="739"/>
      <c r="Q6" s="742">
        <f>F6/O6-1</f>
        <v>0.42647949909109073</v>
      </c>
    </row>
    <row r="8" spans="2:17" ht="13.5">
      <c r="B8" s="978" t="s">
        <v>693</v>
      </c>
      <c r="C8" s="978"/>
      <c r="D8" s="978"/>
      <c r="E8" s="978"/>
      <c r="F8" s="978"/>
      <c r="G8" s="978"/>
      <c r="H8" s="978"/>
      <c r="I8" s="978"/>
      <c r="J8" s="978"/>
      <c r="K8" s="978"/>
      <c r="L8" s="978"/>
      <c r="M8" s="978"/>
      <c r="N8" s="978"/>
      <c r="O8" s="978"/>
      <c r="P8" s="978"/>
      <c r="Q8" s="978"/>
    </row>
    <row r="9" spans="2:17" ht="13.15">
      <c r="B9" s="977">
        <v>2025</v>
      </c>
      <c r="C9" s="977"/>
      <c r="D9" s="977"/>
      <c r="E9" s="977"/>
      <c r="F9" s="977"/>
      <c r="G9" s="977"/>
      <c r="H9" s="977"/>
      <c r="I9" s="977"/>
      <c r="J9" s="977"/>
      <c r="K9" s="977"/>
      <c r="L9" s="977"/>
      <c r="M9" s="977"/>
      <c r="N9" s="977"/>
      <c r="O9" s="977"/>
      <c r="P9" s="977"/>
      <c r="Q9" s="977"/>
    </row>
    <row r="10" spans="2:17">
      <c r="B10" s="734"/>
      <c r="C10" s="734"/>
      <c r="D10" s="734" t="s">
        <v>662</v>
      </c>
      <c r="E10" s="734"/>
      <c r="F10" s="734" t="s">
        <v>663</v>
      </c>
      <c r="G10" s="734"/>
      <c r="H10" s="734" t="s">
        <v>664</v>
      </c>
      <c r="I10" s="734"/>
      <c r="J10" s="734" t="s">
        <v>665</v>
      </c>
      <c r="K10" s="734"/>
      <c r="L10" s="734" t="s">
        <v>666</v>
      </c>
      <c r="M10" s="734" t="s">
        <v>667</v>
      </c>
      <c r="N10" s="734"/>
      <c r="O10" s="734" t="s">
        <v>668</v>
      </c>
      <c r="P10" s="734"/>
      <c r="Q10" s="734" t="s">
        <v>568</v>
      </c>
    </row>
    <row r="11" spans="2:17">
      <c r="B11" s="735" t="s">
        <v>127</v>
      </c>
      <c r="C11" s="735"/>
      <c r="D11" s="736">
        <v>735</v>
      </c>
      <c r="E11" s="737"/>
      <c r="F11" s="738">
        <f>AVERAGE(D11,H11)</f>
        <v>740</v>
      </c>
      <c r="G11" s="737"/>
      <c r="H11" s="736">
        <v>745</v>
      </c>
      <c r="I11" s="735"/>
      <c r="J11" s="739"/>
      <c r="K11" s="735"/>
      <c r="L11" s="740"/>
      <c r="M11" s="741"/>
      <c r="N11" s="737"/>
      <c r="O11" s="739">
        <f>IS!EV49</f>
        <v>660.56600000000003</v>
      </c>
      <c r="P11" s="739"/>
      <c r="Q11" s="742">
        <f>F11/O11-1</f>
        <v>0.12025142075129502</v>
      </c>
    </row>
    <row r="12" spans="2:17">
      <c r="B12" s="735" t="s">
        <v>554</v>
      </c>
      <c r="C12" s="735"/>
      <c r="D12" s="736">
        <v>55</v>
      </c>
      <c r="E12" s="737"/>
      <c r="F12" s="738">
        <f>AVERAGE(D12,H12)</f>
        <v>56.5</v>
      </c>
      <c r="G12" s="737"/>
      <c r="H12" s="736">
        <v>58</v>
      </c>
      <c r="I12" s="735"/>
      <c r="J12" s="743"/>
      <c r="K12" s="735"/>
      <c r="L12" s="740"/>
      <c r="M12" s="741"/>
      <c r="N12" s="737"/>
      <c r="O12" s="738">
        <f>IS!EV70</f>
        <v>39.608000000000054</v>
      </c>
      <c r="P12" s="739"/>
      <c r="Q12" s="742">
        <f>F12/O12-1</f>
        <v>0.42647949909109073</v>
      </c>
    </row>
    <row r="14" spans="2:17" ht="13.5">
      <c r="B14" s="978" t="s">
        <v>661</v>
      </c>
      <c r="C14" s="978"/>
      <c r="D14" s="978"/>
      <c r="E14" s="978"/>
      <c r="F14" s="978"/>
      <c r="G14" s="978"/>
      <c r="H14" s="978"/>
      <c r="I14" s="978"/>
      <c r="J14" s="978"/>
      <c r="K14" s="978"/>
      <c r="L14" s="978"/>
      <c r="M14" s="978"/>
      <c r="N14" s="978"/>
      <c r="O14" s="978"/>
      <c r="P14" s="978"/>
      <c r="Q14" s="978"/>
    </row>
    <row r="15" spans="2:17" ht="13.15" outlineLevel="1">
      <c r="B15" s="977">
        <v>2024</v>
      </c>
      <c r="C15" s="977"/>
      <c r="D15" s="977"/>
      <c r="E15" s="977"/>
      <c r="F15" s="977"/>
      <c r="G15" s="977"/>
      <c r="H15" s="977"/>
      <c r="I15" s="977"/>
      <c r="J15" s="977"/>
      <c r="K15" s="977"/>
      <c r="L15" s="977"/>
      <c r="M15" s="977"/>
      <c r="N15" s="977"/>
      <c r="O15" s="977"/>
      <c r="P15" s="977"/>
      <c r="Q15" s="977"/>
    </row>
    <row r="16" spans="2:17" outlineLevel="1">
      <c r="B16" s="734"/>
      <c r="C16" s="734"/>
      <c r="D16" s="734" t="s">
        <v>662</v>
      </c>
      <c r="E16" s="734"/>
      <c r="F16" s="734" t="s">
        <v>663</v>
      </c>
      <c r="G16" s="734"/>
      <c r="H16" s="734" t="s">
        <v>664</v>
      </c>
      <c r="I16" s="734"/>
      <c r="J16" s="734" t="s">
        <v>665</v>
      </c>
      <c r="K16" s="734"/>
      <c r="L16" s="734" t="s">
        <v>666</v>
      </c>
      <c r="M16" s="734" t="s">
        <v>667</v>
      </c>
      <c r="N16" s="734"/>
      <c r="O16" s="734" t="s">
        <v>668</v>
      </c>
      <c r="P16" s="734"/>
      <c r="Q16" s="734" t="s">
        <v>568</v>
      </c>
    </row>
    <row r="17" spans="2:17" outlineLevel="1">
      <c r="B17" s="735" t="s">
        <v>127</v>
      </c>
      <c r="C17" s="735"/>
      <c r="D17" s="736">
        <v>655</v>
      </c>
      <c r="E17" s="737"/>
      <c r="F17" s="738">
        <f>AVERAGE(D17,H17)</f>
        <v>661</v>
      </c>
      <c r="G17" s="737"/>
      <c r="H17" s="736">
        <v>667</v>
      </c>
      <c r="I17" s="735"/>
      <c r="J17" s="739">
        <f>F23</f>
        <v>661</v>
      </c>
      <c r="K17" s="735"/>
      <c r="L17" s="740">
        <f>(F17-J17)/J17</f>
        <v>0</v>
      </c>
      <c r="M17" s="741">
        <f>F17-F23</f>
        <v>0</v>
      </c>
      <c r="N17" s="737"/>
      <c r="O17" s="739">
        <f>IS!EP49</f>
        <v>591.64300000000003</v>
      </c>
      <c r="P17" s="739"/>
      <c r="Q17" s="742">
        <f>F17/O17-1</f>
        <v>0.11722778770305742</v>
      </c>
    </row>
    <row r="18" spans="2:17" outlineLevel="1">
      <c r="B18" s="735" t="s">
        <v>554</v>
      </c>
      <c r="C18" s="735"/>
      <c r="D18" s="736">
        <v>37</v>
      </c>
      <c r="E18" s="737"/>
      <c r="F18" s="738">
        <f>AVERAGE(D18,H18)</f>
        <v>38.5</v>
      </c>
      <c r="G18" s="737"/>
      <c r="H18" s="736">
        <v>40</v>
      </c>
      <c r="I18" s="735"/>
      <c r="J18" s="743">
        <f>F24</f>
        <v>35</v>
      </c>
      <c r="K18" s="735"/>
      <c r="L18" s="740">
        <f>(F18-J18)/J18</f>
        <v>0.1</v>
      </c>
      <c r="M18" s="741">
        <f>F18-F24</f>
        <v>3.5</v>
      </c>
      <c r="N18" s="737"/>
      <c r="O18" s="738">
        <f>IS!EP70</f>
        <v>3.4770000000000127</v>
      </c>
      <c r="P18" s="739"/>
      <c r="Q18" s="742">
        <f>F18/O18-1</f>
        <v>10.072763876905338</v>
      </c>
    </row>
    <row r="20" spans="2:17" ht="13.5">
      <c r="B20" s="978" t="s">
        <v>669</v>
      </c>
      <c r="C20" s="978"/>
      <c r="D20" s="978"/>
      <c r="E20" s="978"/>
      <c r="F20" s="978"/>
      <c r="G20" s="978"/>
      <c r="H20" s="978"/>
      <c r="I20" s="978"/>
      <c r="J20" s="978"/>
      <c r="K20" s="978"/>
      <c r="L20" s="978"/>
      <c r="M20" s="978"/>
      <c r="N20" s="978"/>
      <c r="O20" s="978"/>
      <c r="P20" s="978"/>
      <c r="Q20" s="978"/>
    </row>
    <row r="21" spans="2:17" ht="13.15" hidden="1" outlineLevel="1">
      <c r="B21" s="977">
        <v>2024</v>
      </c>
      <c r="C21" s="977"/>
      <c r="D21" s="977"/>
      <c r="E21" s="977"/>
      <c r="F21" s="977"/>
      <c r="G21" s="977"/>
      <c r="H21" s="977"/>
      <c r="I21" s="977"/>
      <c r="J21" s="977"/>
      <c r="K21" s="977"/>
      <c r="L21" s="977"/>
      <c r="M21" s="977"/>
      <c r="N21" s="977"/>
      <c r="O21" s="977"/>
      <c r="P21" s="977"/>
      <c r="Q21" s="977"/>
    </row>
    <row r="22" spans="2:17" s="737" customFormat="1" hidden="1" outlineLevel="1">
      <c r="B22" s="734"/>
      <c r="C22" s="734"/>
      <c r="D22" s="734" t="s">
        <v>662</v>
      </c>
      <c r="E22" s="734"/>
      <c r="F22" s="734" t="s">
        <v>663</v>
      </c>
      <c r="G22" s="734"/>
      <c r="H22" s="734" t="s">
        <v>664</v>
      </c>
      <c r="I22" s="734"/>
      <c r="J22" s="734" t="s">
        <v>665</v>
      </c>
      <c r="K22" s="734"/>
      <c r="L22" s="734" t="s">
        <v>666</v>
      </c>
      <c r="M22" s="734" t="s">
        <v>667</v>
      </c>
      <c r="N22" s="734"/>
      <c r="O22" s="734" t="s">
        <v>668</v>
      </c>
      <c r="P22" s="734"/>
      <c r="Q22" s="734" t="s">
        <v>568</v>
      </c>
    </row>
    <row r="23" spans="2:17" hidden="1" outlineLevel="1">
      <c r="B23" s="735" t="s">
        <v>127</v>
      </c>
      <c r="C23" s="735"/>
      <c r="D23" s="736">
        <v>655</v>
      </c>
      <c r="E23" s="737"/>
      <c r="F23" s="738">
        <f>AVERAGE(D23,H23)</f>
        <v>661</v>
      </c>
      <c r="G23" s="737"/>
      <c r="H23" s="736">
        <v>667</v>
      </c>
      <c r="I23" s="735"/>
      <c r="J23" s="739">
        <f>F29</f>
        <v>655</v>
      </c>
      <c r="K23" s="735"/>
      <c r="L23" s="740">
        <f>(F23-J23)/J23</f>
        <v>9.1603053435114507E-3</v>
      </c>
      <c r="M23" s="741">
        <f>F23-F29</f>
        <v>6</v>
      </c>
      <c r="N23" s="737"/>
      <c r="O23" s="739">
        <f>IS!EP49</f>
        <v>591.64300000000003</v>
      </c>
      <c r="P23" s="739"/>
      <c r="Q23" s="742">
        <f>F23/O23-1</f>
        <v>0.11722778770305742</v>
      </c>
    </row>
    <row r="24" spans="2:17" hidden="1" outlineLevel="1">
      <c r="B24" s="735" t="s">
        <v>554</v>
      </c>
      <c r="C24" s="735"/>
      <c r="D24" s="736">
        <v>33</v>
      </c>
      <c r="E24" s="737"/>
      <c r="F24" s="738">
        <f>AVERAGE(D24,H24)</f>
        <v>35</v>
      </c>
      <c r="G24" s="737"/>
      <c r="H24" s="736">
        <v>37</v>
      </c>
      <c r="I24" s="735"/>
      <c r="J24" s="743">
        <f>F30</f>
        <v>24</v>
      </c>
      <c r="K24" s="735"/>
      <c r="L24" s="740">
        <f>(F24-J24)/J24</f>
        <v>0.45833333333333331</v>
      </c>
      <c r="M24" s="741">
        <f>F24-F30</f>
        <v>11</v>
      </c>
      <c r="N24" s="737"/>
      <c r="O24" s="738">
        <f>IS!EP70</f>
        <v>3.4770000000000127</v>
      </c>
      <c r="P24" s="739"/>
      <c r="Q24" s="742">
        <f>F24/O24-1</f>
        <v>9.0661489790048524</v>
      </c>
    </row>
    <row r="25" spans="2:17" collapsed="1"/>
    <row r="26" spans="2:17" ht="13.5">
      <c r="B26" s="979" t="s">
        <v>670</v>
      </c>
      <c r="C26" s="979"/>
      <c r="D26" s="979"/>
      <c r="E26" s="979"/>
      <c r="F26" s="979"/>
      <c r="G26" s="979"/>
      <c r="H26" s="979"/>
      <c r="I26" s="979"/>
      <c r="J26" s="979"/>
      <c r="K26" s="979"/>
      <c r="L26" s="979"/>
      <c r="M26" s="979"/>
      <c r="N26" s="979"/>
      <c r="O26" s="979"/>
      <c r="P26" s="979"/>
      <c r="Q26" s="979"/>
    </row>
    <row r="27" spans="2:17" ht="13.15" hidden="1" outlineLevel="1">
      <c r="B27" s="977">
        <v>2024</v>
      </c>
      <c r="C27" s="977"/>
      <c r="D27" s="977"/>
      <c r="E27" s="977"/>
      <c r="F27" s="977"/>
      <c r="G27" s="977"/>
      <c r="H27" s="977"/>
      <c r="I27" s="977"/>
      <c r="J27" s="977"/>
      <c r="K27" s="977"/>
      <c r="L27" s="977"/>
      <c r="M27" s="977"/>
      <c r="N27" s="977"/>
      <c r="O27" s="977"/>
      <c r="P27" s="977"/>
      <c r="Q27" s="977"/>
    </row>
    <row r="28" spans="2:17" s="737" customFormat="1" hidden="1" outlineLevel="1">
      <c r="B28" s="734"/>
      <c r="C28" s="734"/>
      <c r="D28" s="734" t="s">
        <v>662</v>
      </c>
      <c r="E28" s="734"/>
      <c r="F28" s="734" t="s">
        <v>663</v>
      </c>
      <c r="G28" s="734"/>
      <c r="H28" s="734" t="s">
        <v>664</v>
      </c>
      <c r="I28" s="734"/>
      <c r="J28" s="734" t="s">
        <v>665</v>
      </c>
      <c r="K28" s="734"/>
      <c r="L28" s="734" t="s">
        <v>666</v>
      </c>
      <c r="M28" s="734" t="s">
        <v>667</v>
      </c>
      <c r="N28" s="734"/>
      <c r="O28" s="734" t="s">
        <v>668</v>
      </c>
      <c r="P28" s="734"/>
      <c r="Q28" s="734" t="s">
        <v>568</v>
      </c>
    </row>
    <row r="29" spans="2:17" hidden="1" outlineLevel="1">
      <c r="B29" s="735" t="s">
        <v>127</v>
      </c>
      <c r="C29" s="735"/>
      <c r="D29" s="736">
        <v>650</v>
      </c>
      <c r="E29" s="737"/>
      <c r="F29" s="738">
        <f>AVERAGE(D29,H29)</f>
        <v>655</v>
      </c>
      <c r="G29" s="737"/>
      <c r="H29" s="736">
        <v>660</v>
      </c>
      <c r="I29" s="735"/>
      <c r="J29" s="739">
        <f>F35</f>
        <v>655</v>
      </c>
      <c r="K29" s="735"/>
      <c r="L29" s="740">
        <f>(F29-J29)/J29</f>
        <v>0</v>
      </c>
      <c r="M29" s="741">
        <f>F29-F35</f>
        <v>0</v>
      </c>
      <c r="N29" s="737"/>
      <c r="O29" s="739">
        <f>IS!EP49</f>
        <v>591.64300000000003</v>
      </c>
      <c r="P29" s="739"/>
      <c r="Q29" s="742">
        <f>F29/O29-1</f>
        <v>0.10708653698260595</v>
      </c>
    </row>
    <row r="30" spans="2:17" hidden="1" outlineLevel="1">
      <c r="B30" s="735" t="s">
        <v>554</v>
      </c>
      <c r="C30" s="735"/>
      <c r="D30" s="736">
        <v>24</v>
      </c>
      <c r="E30" s="737"/>
      <c r="F30" s="738">
        <f>AVERAGE(D30,H30)</f>
        <v>24</v>
      </c>
      <c r="G30" s="737"/>
      <c r="H30" s="736">
        <v>24</v>
      </c>
      <c r="I30" s="735"/>
      <c r="J30" s="743">
        <f>F36</f>
        <v>22.5</v>
      </c>
      <c r="K30" s="735"/>
      <c r="L30" s="740">
        <f>(F30-J30)/J30</f>
        <v>6.6666666666666666E-2</v>
      </c>
      <c r="M30" s="741">
        <f>F30-F36</f>
        <v>1.5</v>
      </c>
      <c r="N30" s="737"/>
      <c r="O30" s="738">
        <f>IS!EP70</f>
        <v>3.4770000000000127</v>
      </c>
      <c r="P30" s="739"/>
      <c r="Q30" s="742">
        <f>F30/O30-1</f>
        <v>5.9025021570318987</v>
      </c>
    </row>
    <row r="31" spans="2:17" collapsed="1"/>
    <row r="32" spans="2:17" ht="13.5">
      <c r="B32" s="979" t="s">
        <v>671</v>
      </c>
      <c r="C32" s="979"/>
      <c r="D32" s="979"/>
      <c r="E32" s="979"/>
      <c r="F32" s="979"/>
      <c r="G32" s="979"/>
      <c r="H32" s="979"/>
      <c r="I32" s="979"/>
      <c r="J32" s="979"/>
      <c r="K32" s="979"/>
      <c r="L32" s="979"/>
      <c r="M32" s="979"/>
      <c r="N32" s="979"/>
      <c r="O32" s="979"/>
      <c r="P32" s="979"/>
      <c r="Q32" s="979"/>
    </row>
    <row r="33" spans="2:17" ht="13.15" hidden="1" outlineLevel="1">
      <c r="B33" s="977">
        <v>2024</v>
      </c>
      <c r="C33" s="977"/>
      <c r="D33" s="977"/>
      <c r="E33" s="977"/>
      <c r="F33" s="977"/>
      <c r="G33" s="977"/>
      <c r="H33" s="977"/>
      <c r="I33" s="977"/>
      <c r="J33" s="977"/>
      <c r="K33" s="977"/>
      <c r="L33" s="977"/>
      <c r="M33" s="977"/>
      <c r="N33" s="977"/>
      <c r="O33" s="977"/>
      <c r="P33" s="977"/>
      <c r="Q33" s="977"/>
    </row>
    <row r="34" spans="2:17" s="737" customFormat="1" hidden="1" outlineLevel="1">
      <c r="B34" s="734"/>
      <c r="C34" s="734"/>
      <c r="D34" s="734" t="s">
        <v>662</v>
      </c>
      <c r="E34" s="734"/>
      <c r="F34" s="734" t="s">
        <v>663</v>
      </c>
      <c r="G34" s="734"/>
      <c r="H34" s="734" t="s">
        <v>664</v>
      </c>
      <c r="I34" s="734"/>
      <c r="J34" s="734" t="s">
        <v>665</v>
      </c>
      <c r="K34" s="734"/>
      <c r="L34" s="734" t="s">
        <v>666</v>
      </c>
      <c r="M34" s="734" t="s">
        <v>667</v>
      </c>
      <c r="N34" s="734"/>
      <c r="O34" s="734" t="s">
        <v>668</v>
      </c>
      <c r="P34" s="734"/>
      <c r="Q34" s="734" t="s">
        <v>568</v>
      </c>
    </row>
    <row r="35" spans="2:17" hidden="1" outlineLevel="1">
      <c r="B35" s="735" t="s">
        <v>127</v>
      </c>
      <c r="C35" s="735"/>
      <c r="D35" s="736">
        <v>650</v>
      </c>
      <c r="E35" s="737"/>
      <c r="F35" s="738">
        <f>AVERAGE(D35,H35)</f>
        <v>655</v>
      </c>
      <c r="G35" s="737"/>
      <c r="H35" s="736">
        <v>660</v>
      </c>
      <c r="I35" s="735"/>
      <c r="J35" s="739"/>
      <c r="K35" s="735"/>
      <c r="L35" s="744"/>
      <c r="M35" s="745"/>
      <c r="N35" s="737"/>
      <c r="O35" s="739">
        <f>IS!EP49</f>
        <v>591.64300000000003</v>
      </c>
      <c r="P35" s="739"/>
      <c r="Q35" s="742">
        <f>F35/O35-1</f>
        <v>0.10708653698260595</v>
      </c>
    </row>
    <row r="36" spans="2:17" hidden="1" outlineLevel="1">
      <c r="B36" s="735" t="s">
        <v>554</v>
      </c>
      <c r="C36" s="735"/>
      <c r="D36" s="736">
        <v>21</v>
      </c>
      <c r="E36" s="737"/>
      <c r="F36" s="738">
        <f>AVERAGE(D36,H36)</f>
        <v>22.5</v>
      </c>
      <c r="G36" s="737"/>
      <c r="H36" s="736">
        <v>24</v>
      </c>
      <c r="I36" s="735"/>
      <c r="J36" s="743"/>
      <c r="K36" s="735"/>
      <c r="L36" s="744"/>
      <c r="M36" s="741"/>
      <c r="N36" s="737"/>
      <c r="O36" s="738">
        <f>IS!EP70</f>
        <v>3.4770000000000127</v>
      </c>
      <c r="P36" s="739"/>
      <c r="Q36" s="742">
        <f>F36/O36-1</f>
        <v>5.4710957722174047</v>
      </c>
    </row>
    <row r="37" spans="2:17" collapsed="1"/>
  </sheetData>
  <mergeCells count="12">
    <mergeCell ref="B2:Q2"/>
    <mergeCell ref="B3:Q3"/>
    <mergeCell ref="B8:Q8"/>
    <mergeCell ref="B9:Q9"/>
    <mergeCell ref="B32:Q32"/>
    <mergeCell ref="B33:Q33"/>
    <mergeCell ref="B14:Q14"/>
    <mergeCell ref="B15:Q15"/>
    <mergeCell ref="B20:Q20"/>
    <mergeCell ref="B21:Q21"/>
    <mergeCell ref="B26:Q26"/>
    <mergeCell ref="B27:Q2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1260-648B-41D6-A121-1DE6D4EE024E}">
  <dimension ref="C10:G16"/>
  <sheetViews>
    <sheetView workbookViewId="0">
      <selection activeCell="G42" sqref="G42"/>
    </sheetView>
  </sheetViews>
  <sheetFormatPr defaultRowHeight="11.65"/>
  <sheetData>
    <row r="10" spans="3:7">
      <c r="D10">
        <v>8</v>
      </c>
    </row>
    <row r="11" spans="3:7">
      <c r="D11">
        <v>5.5</v>
      </c>
    </row>
    <row r="12" spans="3:7">
      <c r="D12">
        <f>D10/D11</f>
        <v>1.4545454545454546</v>
      </c>
      <c r="E12">
        <f>D12^(1/3)</f>
        <v>1.1330326698854094</v>
      </c>
    </row>
    <row r="15" spans="3:7">
      <c r="C15" t="s">
        <v>726</v>
      </c>
      <c r="D15">
        <v>278</v>
      </c>
      <c r="E15">
        <v>312</v>
      </c>
      <c r="F15">
        <v>333</v>
      </c>
      <c r="G15">
        <f>SUM(D15:F15)</f>
        <v>923</v>
      </c>
    </row>
    <row r="16" spans="3:7">
      <c r="C16" t="s">
        <v>727</v>
      </c>
      <c r="G16">
        <v>1000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C243"/>
  <sheetViews>
    <sheetView topLeftCell="A5" zoomScale="75" workbookViewId="0">
      <pane xSplit="6" ySplit="1" topLeftCell="G6" activePane="bottomRight" state="frozen"/>
      <selection activeCell="X50" sqref="X50"/>
      <selection pane="topRight" activeCell="X50" sqref="X50"/>
      <selection pane="bottomLeft" activeCell="X50" sqref="X50"/>
      <selection pane="bottomRight" activeCell="L33" sqref="L33"/>
    </sheetView>
  </sheetViews>
  <sheetFormatPr defaultColWidth="9.15234375" defaultRowHeight="12.75"/>
  <cols>
    <col min="1" max="2" width="1.69140625" style="74" customWidth="1"/>
    <col min="3" max="3" width="32.84375" style="99" bestFit="1" customWidth="1"/>
    <col min="4" max="6" width="8.69140625" style="99" hidden="1" customWidth="1"/>
    <col min="7" max="8" width="8.69140625" style="99" customWidth="1"/>
    <col min="9" max="25" width="8.69140625" style="74" customWidth="1"/>
    <col min="26" max="16384" width="9.15234375" style="74"/>
  </cols>
  <sheetData>
    <row r="1" spans="1:23">
      <c r="B1" s="9" t="str">
        <f>Intro!C5</f>
        <v>NeoGenomics</v>
      </c>
      <c r="C1" s="75"/>
      <c r="D1" s="75"/>
      <c r="E1" s="75"/>
      <c r="F1" s="75"/>
      <c r="G1" s="75"/>
      <c r="H1" s="75"/>
      <c r="I1" s="76"/>
      <c r="J1" s="76"/>
      <c r="K1" s="76"/>
      <c r="L1" s="76"/>
      <c r="M1" s="76"/>
      <c r="N1" s="76"/>
      <c r="O1" s="76"/>
      <c r="P1" s="76"/>
      <c r="Q1" s="76"/>
      <c r="R1" s="76"/>
      <c r="S1" s="76"/>
      <c r="T1" s="76"/>
      <c r="U1" s="76"/>
    </row>
    <row r="2" spans="1:23">
      <c r="B2" s="9" t="s">
        <v>417</v>
      </c>
      <c r="C2" s="75"/>
      <c r="D2" s="75"/>
      <c r="E2" s="75"/>
      <c r="F2" s="75"/>
      <c r="G2" s="75"/>
      <c r="H2" s="75"/>
      <c r="I2" s="76"/>
      <c r="J2" s="76"/>
      <c r="K2" s="76"/>
      <c r="L2" s="76"/>
      <c r="M2" s="76"/>
      <c r="N2" s="76"/>
      <c r="O2" s="76"/>
      <c r="P2" s="76"/>
      <c r="Q2" s="76"/>
      <c r="R2" s="76"/>
      <c r="S2" s="76"/>
      <c r="T2" s="76"/>
      <c r="U2" s="76"/>
    </row>
    <row r="3" spans="1:23">
      <c r="B3" s="10" t="str">
        <f>IS!EY4</f>
        <v>Dollars in millions, except per share amounts</v>
      </c>
      <c r="C3" s="75"/>
      <c r="D3" s="75"/>
      <c r="E3" s="75"/>
      <c r="F3" s="75"/>
      <c r="G3" s="75"/>
      <c r="H3" s="75"/>
      <c r="I3" s="76"/>
      <c r="J3" s="76"/>
      <c r="K3" s="76"/>
      <c r="L3" s="76"/>
      <c r="M3" s="76"/>
      <c r="N3" s="76"/>
      <c r="O3" s="76"/>
      <c r="P3" s="76"/>
      <c r="Q3" s="76"/>
      <c r="R3" s="76"/>
      <c r="S3" s="76"/>
      <c r="T3" s="76"/>
      <c r="U3" s="76"/>
    </row>
    <row r="5" spans="1:23">
      <c r="C5" s="77"/>
      <c r="D5" s="77"/>
      <c r="E5" s="77"/>
      <c r="F5" s="77"/>
      <c r="G5" s="74">
        <v>1993</v>
      </c>
      <c r="H5" s="74">
        <v>1994</v>
      </c>
      <c r="I5" s="74">
        <v>1995</v>
      </c>
      <c r="J5" s="74">
        <v>1996</v>
      </c>
      <c r="K5" s="74">
        <v>1997</v>
      </c>
      <c r="L5" s="74">
        <v>1998</v>
      </c>
      <c r="M5" s="74">
        <v>1999</v>
      </c>
      <c r="N5" s="74">
        <v>2000</v>
      </c>
      <c r="O5" s="74">
        <v>2001</v>
      </c>
      <c r="P5" s="74">
        <v>2002</v>
      </c>
      <c r="Q5" s="74">
        <v>2003</v>
      </c>
      <c r="R5" s="74">
        <v>2004</v>
      </c>
      <c r="S5" s="74">
        <v>2005</v>
      </c>
      <c r="T5" s="74">
        <v>2006</v>
      </c>
      <c r="U5" s="74">
        <v>2007</v>
      </c>
      <c r="V5" s="74">
        <v>2008</v>
      </c>
      <c r="W5" s="74">
        <v>2009</v>
      </c>
    </row>
    <row r="6" spans="1:23">
      <c r="C6" s="77"/>
      <c r="D6" s="77"/>
      <c r="E6" s="77"/>
      <c r="F6" s="77"/>
      <c r="G6" s="77"/>
      <c r="H6" s="77"/>
    </row>
    <row r="7" spans="1:23">
      <c r="A7" s="78" t="s">
        <v>418</v>
      </c>
      <c r="C7" s="77"/>
      <c r="D7" s="77"/>
      <c r="E7" s="77"/>
      <c r="F7" s="74"/>
      <c r="G7" s="74"/>
      <c r="H7" s="74"/>
    </row>
    <row r="8" spans="1:23" s="79" customFormat="1">
      <c r="B8" s="79" t="s">
        <v>419</v>
      </c>
      <c r="C8" s="80"/>
      <c r="D8" s="80"/>
      <c r="E8" s="80"/>
      <c r="F8" s="79" t="e">
        <f>#REF!</f>
        <v>#REF!</v>
      </c>
      <c r="G8" s="79" t="e">
        <f>#REF!</f>
        <v>#REF!</v>
      </c>
      <c r="H8" s="79" t="e">
        <f>#REF!</f>
        <v>#REF!</v>
      </c>
      <c r="I8" s="79" t="e">
        <f>#REF!</f>
        <v>#REF!</v>
      </c>
      <c r="J8" s="79" t="e">
        <f>#REF!</f>
        <v>#REF!</v>
      </c>
      <c r="K8" s="79" t="e">
        <f>#REF!</f>
        <v>#REF!</v>
      </c>
      <c r="L8" s="79" t="e">
        <f>#REF!</f>
        <v>#REF!</v>
      </c>
      <c r="M8" s="79" t="e">
        <f>#REF!</f>
        <v>#REF!</v>
      </c>
      <c r="N8" s="79" t="e">
        <f>#REF!</f>
        <v>#REF!</v>
      </c>
      <c r="O8" s="79" t="e">
        <f>#REF!</f>
        <v>#REF!</v>
      </c>
      <c r="P8" s="79" t="e">
        <f>#REF!</f>
        <v>#REF!</v>
      </c>
      <c r="Q8" s="79" t="e">
        <f>#REF!</f>
        <v>#REF!</v>
      </c>
      <c r="R8" s="79" t="e">
        <f>#REF!</f>
        <v>#REF!</v>
      </c>
      <c r="S8" s="79" t="e">
        <f>#REF!</f>
        <v>#REF!</v>
      </c>
      <c r="T8" s="79" t="e">
        <f>#REF!</f>
        <v>#REF!</v>
      </c>
      <c r="U8" s="79" t="e">
        <f>#REF!</f>
        <v>#REF!</v>
      </c>
      <c r="V8" s="79" t="e">
        <f>#REF!</f>
        <v>#REF!</v>
      </c>
      <c r="W8" s="79" t="e">
        <f>#REF!</f>
        <v>#REF!</v>
      </c>
    </row>
    <row r="9" spans="1:23" s="79" customFormat="1">
      <c r="C9" s="80" t="s">
        <v>420</v>
      </c>
      <c r="D9" s="80"/>
      <c r="E9" s="80"/>
      <c r="F9" s="79" t="e">
        <f t="shared" ref="F9:W9" si="0">F104</f>
        <v>#DIV/0!</v>
      </c>
      <c r="G9" s="79" t="e">
        <f t="shared" si="0"/>
        <v>#DIV/0!</v>
      </c>
      <c r="H9" s="79" t="e">
        <f t="shared" si="0"/>
        <v>#DIV/0!</v>
      </c>
      <c r="I9" s="79" t="e">
        <f t="shared" si="0"/>
        <v>#DIV/0!</v>
      </c>
      <c r="J9" s="79" t="e">
        <f t="shared" si="0"/>
        <v>#DIV/0!</v>
      </c>
      <c r="K9" s="79" t="e">
        <f t="shared" si="0"/>
        <v>#DIV/0!</v>
      </c>
      <c r="L9" s="79" t="e">
        <f t="shared" si="0"/>
        <v>#DIV/0!</v>
      </c>
      <c r="M9" s="79" t="e">
        <f t="shared" si="0"/>
        <v>#DIV/0!</v>
      </c>
      <c r="N9" s="79" t="e">
        <f t="shared" si="0"/>
        <v>#DIV/0!</v>
      </c>
      <c r="O9" s="79" t="e">
        <f t="shared" si="0"/>
        <v>#DIV/0!</v>
      </c>
      <c r="P9" s="79" t="e">
        <f t="shared" si="0"/>
        <v>#DIV/0!</v>
      </c>
      <c r="Q9" s="79" t="e">
        <f t="shared" si="0"/>
        <v>#DIV/0!</v>
      </c>
      <c r="R9" s="79" t="e">
        <f t="shared" si="0"/>
        <v>#DIV/0!</v>
      </c>
      <c r="S9" s="79" t="e">
        <f t="shared" si="0"/>
        <v>#DIV/0!</v>
      </c>
      <c r="T9" s="79" t="e">
        <f t="shared" si="0"/>
        <v>#DIV/0!</v>
      </c>
      <c r="U9" s="79" t="e">
        <f t="shared" si="0"/>
        <v>#DIV/0!</v>
      </c>
      <c r="V9" s="79" t="e">
        <f t="shared" si="0"/>
        <v>#DIV/0!</v>
      </c>
      <c r="W9" s="79">
        <f t="shared" si="0"/>
        <v>0</v>
      </c>
    </row>
    <row r="10" spans="1:23" s="79" customFormat="1">
      <c r="B10" s="79" t="s">
        <v>421</v>
      </c>
      <c r="C10" s="80"/>
      <c r="D10" s="80"/>
      <c r="E10" s="80"/>
      <c r="F10" s="79" t="e">
        <f>F8-F9</f>
        <v>#REF!</v>
      </c>
      <c r="G10" s="79" t="e">
        <f>G8-G9</f>
        <v>#REF!</v>
      </c>
      <c r="H10" s="79" t="e">
        <f>H8-H9</f>
        <v>#REF!</v>
      </c>
      <c r="I10" s="79" t="e">
        <f t="shared" ref="I10:W10" si="1">I8-I9</f>
        <v>#REF!</v>
      </c>
      <c r="J10" s="79" t="e">
        <f t="shared" si="1"/>
        <v>#REF!</v>
      </c>
      <c r="K10" s="79" t="e">
        <f t="shared" si="1"/>
        <v>#REF!</v>
      </c>
      <c r="L10" s="79" t="e">
        <f t="shared" si="1"/>
        <v>#REF!</v>
      </c>
      <c r="M10" s="79" t="e">
        <f t="shared" si="1"/>
        <v>#REF!</v>
      </c>
      <c r="N10" s="79" t="e">
        <f t="shared" si="1"/>
        <v>#REF!</v>
      </c>
      <c r="O10" s="79" t="e">
        <f t="shared" si="1"/>
        <v>#REF!</v>
      </c>
      <c r="P10" s="79" t="e">
        <f t="shared" si="1"/>
        <v>#REF!</v>
      </c>
      <c r="Q10" s="79" t="e">
        <f t="shared" si="1"/>
        <v>#REF!</v>
      </c>
      <c r="R10" s="79" t="e">
        <f t="shared" si="1"/>
        <v>#REF!</v>
      </c>
      <c r="S10" s="79" t="e">
        <f t="shared" si="1"/>
        <v>#REF!</v>
      </c>
      <c r="T10" s="79" t="e">
        <f t="shared" si="1"/>
        <v>#REF!</v>
      </c>
      <c r="U10" s="79" t="e">
        <f t="shared" si="1"/>
        <v>#REF!</v>
      </c>
      <c r="V10" s="79" t="e">
        <f t="shared" si="1"/>
        <v>#REF!</v>
      </c>
      <c r="W10" s="79" t="e">
        <f t="shared" si="1"/>
        <v>#REF!</v>
      </c>
    </row>
    <row r="11" spans="1:23" s="79" customFormat="1">
      <c r="C11" s="79" t="s">
        <v>422</v>
      </c>
      <c r="D11" s="80"/>
      <c r="E11" s="80"/>
      <c r="F11" s="81" t="e">
        <f>#REF!</f>
        <v>#REF!</v>
      </c>
      <c r="G11" s="81" t="e">
        <f>#REF!</f>
        <v>#REF!</v>
      </c>
      <c r="H11" s="81" t="e">
        <f>#REF!</f>
        <v>#REF!</v>
      </c>
      <c r="I11" s="81" t="e">
        <f>#REF!</f>
        <v>#REF!</v>
      </c>
      <c r="J11" s="81" t="e">
        <f>#REF!</f>
        <v>#REF!</v>
      </c>
      <c r="K11" s="81" t="e">
        <f>#REF!</f>
        <v>#REF!</v>
      </c>
      <c r="L11" s="81" t="e">
        <f>#REF!</f>
        <v>#REF!</v>
      </c>
      <c r="M11" s="81" t="e">
        <f>#REF!</f>
        <v>#REF!</v>
      </c>
      <c r="N11" s="81" t="e">
        <f>#REF!</f>
        <v>#REF!</v>
      </c>
      <c r="O11" s="81" t="e">
        <f>#REF!</f>
        <v>#REF!</v>
      </c>
      <c r="P11" s="81" t="e">
        <f>#REF!</f>
        <v>#REF!</v>
      </c>
      <c r="Q11" s="81" t="e">
        <f>#REF!</f>
        <v>#REF!</v>
      </c>
      <c r="R11" s="81" t="e">
        <f>#REF!</f>
        <v>#REF!</v>
      </c>
      <c r="S11" s="81" t="e">
        <f>#REF!</f>
        <v>#REF!</v>
      </c>
      <c r="T11" s="81" t="e">
        <f>#REF!</f>
        <v>#REF!</v>
      </c>
      <c r="U11" s="81" t="e">
        <f>#REF!</f>
        <v>#REF!</v>
      </c>
      <c r="V11" s="81" t="e">
        <f>#REF!</f>
        <v>#REF!</v>
      </c>
      <c r="W11" s="81" t="e">
        <f>#REF!</f>
        <v>#REF!</v>
      </c>
    </row>
    <row r="12" spans="1:23" s="79" customFormat="1">
      <c r="B12" s="79" t="s">
        <v>423</v>
      </c>
      <c r="C12" s="80"/>
      <c r="D12" s="80"/>
      <c r="E12" s="80"/>
      <c r="F12" s="81" t="e">
        <f>(F10/#REF!)-F11</f>
        <v>#REF!</v>
      </c>
      <c r="G12" s="81" t="e">
        <f>(G10/#REF!)-G11</f>
        <v>#REF!</v>
      </c>
      <c r="H12" s="81" t="e">
        <f>(H10/#REF!)-H11</f>
        <v>#REF!</v>
      </c>
      <c r="I12" s="81" t="e">
        <f>(I10/#REF!)-I11</f>
        <v>#REF!</v>
      </c>
      <c r="J12" s="81" t="e">
        <f>(J10/#REF!)-J11</f>
        <v>#REF!</v>
      </c>
      <c r="K12" s="81" t="e">
        <f>(K10/#REF!)-K11</f>
        <v>#REF!</v>
      </c>
      <c r="L12" s="81" t="e">
        <f>(L10/#REF!)-L11</f>
        <v>#REF!</v>
      </c>
      <c r="M12" s="81" t="e">
        <f>(M10/#REF!)-M11</f>
        <v>#REF!</v>
      </c>
      <c r="N12" s="81" t="e">
        <f>(N10/#REF!)-N11</f>
        <v>#REF!</v>
      </c>
      <c r="O12" s="81" t="e">
        <f>(O10/#REF!)-O11</f>
        <v>#REF!</v>
      </c>
      <c r="P12" s="81" t="e">
        <f>(P10/#REF!)-P11</f>
        <v>#REF!</v>
      </c>
      <c r="Q12" s="81" t="e">
        <f>(Q10/#REF!)-Q11</f>
        <v>#REF!</v>
      </c>
      <c r="R12" s="81" t="e">
        <f>(R10/#REF!)-R11</f>
        <v>#REF!</v>
      </c>
      <c r="S12" s="81" t="e">
        <f>(S10/#REF!)-S11</f>
        <v>#REF!</v>
      </c>
      <c r="T12" s="81" t="e">
        <f>(T10/#REF!)-T11</f>
        <v>#REF!</v>
      </c>
      <c r="U12" s="81" t="e">
        <f>(U10/#REF!)-U11</f>
        <v>#REF!</v>
      </c>
      <c r="V12" s="81" t="e">
        <f>(V10/#REF!)-V11</f>
        <v>#REF!</v>
      </c>
      <c r="W12" s="81" t="e">
        <f>(W10/#REF!)-W11</f>
        <v>#REF!</v>
      </c>
    </row>
    <row r="13" spans="1:23">
      <c r="C13" s="77"/>
      <c r="D13" s="77"/>
      <c r="E13" s="77"/>
      <c r="F13" s="74"/>
      <c r="G13" s="74"/>
      <c r="H13" s="74"/>
    </row>
    <row r="14" spans="1:23" s="79" customFormat="1">
      <c r="B14" s="79" t="s">
        <v>127</v>
      </c>
      <c r="C14" s="80"/>
      <c r="D14" s="80"/>
      <c r="E14" s="80"/>
      <c r="F14" s="79" t="e">
        <f>#REF!</f>
        <v>#REF!</v>
      </c>
      <c r="G14" s="79" t="e">
        <f>#REF!</f>
        <v>#REF!</v>
      </c>
      <c r="H14" s="79" t="e">
        <f>#REF!</f>
        <v>#REF!</v>
      </c>
      <c r="I14" s="79" t="e">
        <f>#REF!</f>
        <v>#REF!</v>
      </c>
      <c r="J14" s="79" t="e">
        <f>#REF!</f>
        <v>#REF!</v>
      </c>
      <c r="K14" s="79" t="e">
        <f>#REF!</f>
        <v>#REF!</v>
      </c>
      <c r="L14" s="79" t="e">
        <f>#REF!</f>
        <v>#REF!</v>
      </c>
      <c r="M14" s="79" t="e">
        <f>#REF!</f>
        <v>#REF!</v>
      </c>
      <c r="N14" s="79" t="e">
        <f>#REF!</f>
        <v>#REF!</v>
      </c>
      <c r="O14" s="79" t="e">
        <f>#REF!</f>
        <v>#REF!</v>
      </c>
      <c r="P14" s="79" t="e">
        <f>#REF!</f>
        <v>#REF!</v>
      </c>
      <c r="Q14" s="79" t="e">
        <f>#REF!</f>
        <v>#REF!</v>
      </c>
      <c r="R14" s="79" t="e">
        <f>#REF!</f>
        <v>#REF!</v>
      </c>
      <c r="S14" s="79" t="e">
        <f>#REF!</f>
        <v>#REF!</v>
      </c>
      <c r="T14" s="79" t="e">
        <f>#REF!</f>
        <v>#REF!</v>
      </c>
      <c r="U14" s="79" t="e">
        <f>#REF!</f>
        <v>#REF!</v>
      </c>
      <c r="V14" s="79" t="e">
        <f>#REF!</f>
        <v>#REF!</v>
      </c>
      <c r="W14" s="79" t="e">
        <f>#REF!</f>
        <v>#REF!</v>
      </c>
    </row>
    <row r="15" spans="1:23" s="79" customFormat="1">
      <c r="C15" s="80" t="s">
        <v>420</v>
      </c>
      <c r="D15" s="80"/>
      <c r="E15" s="80"/>
      <c r="F15" s="79" t="e">
        <f t="shared" ref="F15:W15" si="2">F104</f>
        <v>#DIV/0!</v>
      </c>
      <c r="G15" s="79" t="e">
        <f t="shared" si="2"/>
        <v>#DIV/0!</v>
      </c>
      <c r="H15" s="79" t="e">
        <f t="shared" si="2"/>
        <v>#DIV/0!</v>
      </c>
      <c r="I15" s="79" t="e">
        <f t="shared" si="2"/>
        <v>#DIV/0!</v>
      </c>
      <c r="J15" s="79" t="e">
        <f t="shared" si="2"/>
        <v>#DIV/0!</v>
      </c>
      <c r="K15" s="79" t="e">
        <f t="shared" si="2"/>
        <v>#DIV/0!</v>
      </c>
      <c r="L15" s="79" t="e">
        <f t="shared" si="2"/>
        <v>#DIV/0!</v>
      </c>
      <c r="M15" s="79" t="e">
        <f t="shared" si="2"/>
        <v>#DIV/0!</v>
      </c>
      <c r="N15" s="79" t="e">
        <f t="shared" si="2"/>
        <v>#DIV/0!</v>
      </c>
      <c r="O15" s="79" t="e">
        <f t="shared" si="2"/>
        <v>#DIV/0!</v>
      </c>
      <c r="P15" s="79" t="e">
        <f t="shared" si="2"/>
        <v>#DIV/0!</v>
      </c>
      <c r="Q15" s="79" t="e">
        <f t="shared" si="2"/>
        <v>#DIV/0!</v>
      </c>
      <c r="R15" s="79" t="e">
        <f t="shared" si="2"/>
        <v>#DIV/0!</v>
      </c>
      <c r="S15" s="79" t="e">
        <f t="shared" si="2"/>
        <v>#DIV/0!</v>
      </c>
      <c r="T15" s="79" t="e">
        <f t="shared" si="2"/>
        <v>#DIV/0!</v>
      </c>
      <c r="U15" s="79" t="e">
        <f t="shared" si="2"/>
        <v>#DIV/0!</v>
      </c>
      <c r="V15" s="79" t="e">
        <f t="shared" si="2"/>
        <v>#DIV/0!</v>
      </c>
      <c r="W15" s="79">
        <f t="shared" si="2"/>
        <v>0</v>
      </c>
    </row>
    <row r="16" spans="1:23" s="79" customFormat="1">
      <c r="B16" s="79" t="s">
        <v>424</v>
      </c>
      <c r="C16" s="80"/>
      <c r="D16" s="80"/>
      <c r="E16" s="80"/>
      <c r="F16" s="60" t="e">
        <f>F15/F14</f>
        <v>#DIV/0!</v>
      </c>
      <c r="G16" s="60" t="e">
        <f>G15/G14</f>
        <v>#DIV/0!</v>
      </c>
      <c r="H16" s="60" t="e">
        <f>H15/H14</f>
        <v>#DIV/0!</v>
      </c>
      <c r="I16" s="60" t="e">
        <f t="shared" ref="I16:W16" si="3">I15/I14</f>
        <v>#DIV/0!</v>
      </c>
      <c r="J16" s="60" t="e">
        <f t="shared" si="3"/>
        <v>#DIV/0!</v>
      </c>
      <c r="K16" s="60" t="e">
        <f t="shared" si="3"/>
        <v>#DIV/0!</v>
      </c>
      <c r="L16" s="60" t="e">
        <f t="shared" si="3"/>
        <v>#DIV/0!</v>
      </c>
      <c r="M16" s="60" t="e">
        <f t="shared" si="3"/>
        <v>#DIV/0!</v>
      </c>
      <c r="N16" s="60" t="e">
        <f t="shared" si="3"/>
        <v>#DIV/0!</v>
      </c>
      <c r="O16" s="60" t="e">
        <f t="shared" si="3"/>
        <v>#DIV/0!</v>
      </c>
      <c r="P16" s="60" t="e">
        <f t="shared" si="3"/>
        <v>#DIV/0!</v>
      </c>
      <c r="Q16" s="60" t="e">
        <f t="shared" si="3"/>
        <v>#DIV/0!</v>
      </c>
      <c r="R16" s="60" t="e">
        <f t="shared" si="3"/>
        <v>#DIV/0!</v>
      </c>
      <c r="S16" s="60" t="e">
        <f t="shared" si="3"/>
        <v>#DIV/0!</v>
      </c>
      <c r="T16" s="60" t="e">
        <f t="shared" si="3"/>
        <v>#DIV/0!</v>
      </c>
      <c r="U16" s="60" t="e">
        <f t="shared" si="3"/>
        <v>#DIV/0!</v>
      </c>
      <c r="V16" s="60" t="e">
        <f t="shared" si="3"/>
        <v>#DIV/0!</v>
      </c>
      <c r="W16" s="60" t="e">
        <f t="shared" si="3"/>
        <v>#REF!</v>
      </c>
    </row>
    <row r="17" spans="1:29">
      <c r="C17" s="77"/>
      <c r="D17" s="77"/>
      <c r="E17" s="77"/>
      <c r="F17" s="74"/>
      <c r="G17" s="74"/>
      <c r="H17" s="74"/>
    </row>
    <row r="18" spans="1:29">
      <c r="B18" s="74" t="s">
        <v>425</v>
      </c>
      <c r="C18" s="77"/>
      <c r="D18" s="77"/>
      <c r="E18" s="77"/>
      <c r="F18" s="82">
        <f t="shared" ref="F18:W18" si="4">F89</f>
        <v>0</v>
      </c>
      <c r="G18" s="82">
        <f t="shared" si="4"/>
        <v>0</v>
      </c>
      <c r="H18" s="82">
        <f t="shared" si="4"/>
        <v>0</v>
      </c>
      <c r="I18" s="82">
        <f t="shared" si="4"/>
        <v>0</v>
      </c>
      <c r="J18" s="82">
        <f t="shared" si="4"/>
        <v>0</v>
      </c>
      <c r="K18" s="82">
        <f t="shared" si="4"/>
        <v>0</v>
      </c>
      <c r="L18" s="82">
        <f t="shared" si="4"/>
        <v>0</v>
      </c>
      <c r="M18" s="82">
        <f t="shared" si="4"/>
        <v>0</v>
      </c>
      <c r="N18" s="82">
        <f t="shared" si="4"/>
        <v>0</v>
      </c>
      <c r="O18" s="82">
        <f t="shared" si="4"/>
        <v>0</v>
      </c>
      <c r="P18" s="82">
        <f t="shared" si="4"/>
        <v>0</v>
      </c>
      <c r="Q18" s="82">
        <f t="shared" si="4"/>
        <v>0</v>
      </c>
      <c r="R18" s="82">
        <f t="shared" si="4"/>
        <v>0</v>
      </c>
      <c r="S18" s="82">
        <f t="shared" si="4"/>
        <v>0</v>
      </c>
      <c r="T18" s="82">
        <f t="shared" si="4"/>
        <v>0</v>
      </c>
      <c r="U18" s="82">
        <f t="shared" si="4"/>
        <v>0</v>
      </c>
      <c r="V18" s="82">
        <f t="shared" si="4"/>
        <v>0</v>
      </c>
      <c r="W18" s="82">
        <f t="shared" si="4"/>
        <v>0</v>
      </c>
    </row>
    <row r="19" spans="1:29">
      <c r="C19" s="77" t="s">
        <v>156</v>
      </c>
      <c r="D19" s="77"/>
      <c r="E19" s="77"/>
      <c r="F19" s="82" t="e">
        <f t="shared" ref="F19:W19" si="5">F43</f>
        <v>#REF!</v>
      </c>
      <c r="G19" s="82" t="e">
        <f t="shared" si="5"/>
        <v>#REF!</v>
      </c>
      <c r="H19" s="82" t="e">
        <f t="shared" si="5"/>
        <v>#REF!</v>
      </c>
      <c r="I19" s="82" t="e">
        <f t="shared" si="5"/>
        <v>#REF!</v>
      </c>
      <c r="J19" s="82" t="e">
        <f t="shared" si="5"/>
        <v>#REF!</v>
      </c>
      <c r="K19" s="82" t="e">
        <f t="shared" si="5"/>
        <v>#REF!</v>
      </c>
      <c r="L19" s="82" t="e">
        <f t="shared" si="5"/>
        <v>#REF!</v>
      </c>
      <c r="M19" s="82" t="e">
        <f t="shared" si="5"/>
        <v>#REF!</v>
      </c>
      <c r="N19" s="82" t="e">
        <f t="shared" si="5"/>
        <v>#REF!</v>
      </c>
      <c r="O19" s="82" t="e">
        <f t="shared" si="5"/>
        <v>#REF!</v>
      </c>
      <c r="P19" s="82" t="e">
        <f t="shared" si="5"/>
        <v>#REF!</v>
      </c>
      <c r="Q19" s="82" t="e">
        <f t="shared" si="5"/>
        <v>#REF!</v>
      </c>
      <c r="R19" s="82" t="e">
        <f t="shared" si="5"/>
        <v>#REF!</v>
      </c>
      <c r="S19" s="82" t="e">
        <f t="shared" si="5"/>
        <v>#REF!</v>
      </c>
      <c r="T19" s="82" t="e">
        <f t="shared" si="5"/>
        <v>#REF!</v>
      </c>
      <c r="U19" s="82" t="e">
        <f t="shared" si="5"/>
        <v>#REF!</v>
      </c>
      <c r="V19" s="82" t="e">
        <f t="shared" si="5"/>
        <v>#REF!</v>
      </c>
      <c r="W19" s="82" t="e">
        <f t="shared" si="5"/>
        <v>#REF!</v>
      </c>
    </row>
    <row r="20" spans="1:29">
      <c r="B20" s="74" t="s">
        <v>426</v>
      </c>
      <c r="C20" s="77"/>
      <c r="D20" s="77"/>
      <c r="E20" s="77"/>
      <c r="F20" s="60" t="e">
        <f>F18/F19</f>
        <v>#REF!</v>
      </c>
      <c r="G20" s="60" t="e">
        <f>G18/G19</f>
        <v>#REF!</v>
      </c>
      <c r="H20" s="60" t="e">
        <f>H18/H19</f>
        <v>#REF!</v>
      </c>
      <c r="I20" s="60" t="e">
        <f t="shared" ref="I20:W20" si="6">I18/I19</f>
        <v>#REF!</v>
      </c>
      <c r="J20" s="60" t="e">
        <f t="shared" si="6"/>
        <v>#REF!</v>
      </c>
      <c r="K20" s="60" t="e">
        <f t="shared" si="6"/>
        <v>#REF!</v>
      </c>
      <c r="L20" s="60" t="e">
        <f t="shared" si="6"/>
        <v>#REF!</v>
      </c>
      <c r="M20" s="60" t="e">
        <f t="shared" si="6"/>
        <v>#REF!</v>
      </c>
      <c r="N20" s="60" t="e">
        <f t="shared" si="6"/>
        <v>#REF!</v>
      </c>
      <c r="O20" s="60" t="e">
        <f t="shared" si="6"/>
        <v>#REF!</v>
      </c>
      <c r="P20" s="60" t="e">
        <f t="shared" si="6"/>
        <v>#REF!</v>
      </c>
      <c r="Q20" s="60" t="e">
        <f t="shared" si="6"/>
        <v>#REF!</v>
      </c>
      <c r="R20" s="60" t="e">
        <f t="shared" si="6"/>
        <v>#REF!</v>
      </c>
      <c r="S20" s="60" t="e">
        <f t="shared" si="6"/>
        <v>#REF!</v>
      </c>
      <c r="T20" s="60" t="e">
        <f t="shared" si="6"/>
        <v>#REF!</v>
      </c>
      <c r="U20" s="60" t="e">
        <f t="shared" si="6"/>
        <v>#REF!</v>
      </c>
      <c r="V20" s="60" t="e">
        <f t="shared" si="6"/>
        <v>#REF!</v>
      </c>
      <c r="W20" s="60" t="e">
        <f t="shared" si="6"/>
        <v>#REF!</v>
      </c>
    </row>
    <row r="21" spans="1:29">
      <c r="C21" s="77"/>
      <c r="D21" s="77"/>
      <c r="E21" s="77"/>
      <c r="F21" s="74"/>
      <c r="G21" s="74"/>
      <c r="H21" s="74"/>
    </row>
    <row r="22" spans="1:29">
      <c r="B22" s="74" t="s">
        <v>408</v>
      </c>
      <c r="C22" s="77"/>
      <c r="D22" s="77"/>
      <c r="E22" s="77"/>
      <c r="F22" s="83" t="e">
        <f>#REF!</f>
        <v>#REF!</v>
      </c>
      <c r="G22" s="83" t="e">
        <f>#REF!</f>
        <v>#REF!</v>
      </c>
      <c r="H22" s="83" t="e">
        <f>#REF!</f>
        <v>#REF!</v>
      </c>
      <c r="I22" s="83" t="e">
        <f>#REF!</f>
        <v>#REF!</v>
      </c>
      <c r="J22" s="83" t="e">
        <f>#REF!</f>
        <v>#REF!</v>
      </c>
      <c r="K22" s="83" t="e">
        <f>#REF!</f>
        <v>#REF!</v>
      </c>
      <c r="L22" s="83" t="e">
        <f>#REF!</f>
        <v>#REF!</v>
      </c>
      <c r="M22" s="83" t="e">
        <f>#REF!</f>
        <v>#REF!</v>
      </c>
      <c r="N22" s="83" t="e">
        <f>#REF!</f>
        <v>#REF!</v>
      </c>
      <c r="O22" s="83" t="e">
        <f>#REF!</f>
        <v>#REF!</v>
      </c>
      <c r="P22" s="83" t="e">
        <f>#REF!</f>
        <v>#REF!</v>
      </c>
      <c r="Q22" s="83" t="e">
        <f>#REF!</f>
        <v>#REF!</v>
      </c>
      <c r="R22" s="83" t="e">
        <f>#REF!</f>
        <v>#REF!</v>
      </c>
      <c r="S22" s="83" t="e">
        <f>#REF!</f>
        <v>#REF!</v>
      </c>
      <c r="T22" s="83" t="e">
        <f>#REF!</f>
        <v>#REF!</v>
      </c>
      <c r="U22" s="83" t="e">
        <f>#REF!</f>
        <v>#REF!</v>
      </c>
      <c r="V22" s="83" t="e">
        <f>#REF!</f>
        <v>#REF!</v>
      </c>
      <c r="W22" s="83" t="e">
        <f>#REF!</f>
        <v>#REF!</v>
      </c>
    </row>
    <row r="23" spans="1:29" s="79" customFormat="1">
      <c r="C23" s="79" t="s">
        <v>427</v>
      </c>
      <c r="D23" s="80"/>
      <c r="E23" s="80"/>
      <c r="F23" s="84" t="e">
        <f t="shared" ref="F23:W23" si="7">F112</f>
        <v>#DIV/0!</v>
      </c>
      <c r="G23" s="84" t="e">
        <f t="shared" si="7"/>
        <v>#DIV/0!</v>
      </c>
      <c r="H23" s="84" t="e">
        <f t="shared" si="7"/>
        <v>#DIV/0!</v>
      </c>
      <c r="I23" s="84" t="e">
        <f t="shared" si="7"/>
        <v>#DIV/0!</v>
      </c>
      <c r="J23" s="84" t="e">
        <f t="shared" si="7"/>
        <v>#DIV/0!</v>
      </c>
      <c r="K23" s="84" t="e">
        <f t="shared" si="7"/>
        <v>#DIV/0!</v>
      </c>
      <c r="L23" s="84" t="e">
        <f t="shared" si="7"/>
        <v>#DIV/0!</v>
      </c>
      <c r="M23" s="84" t="e">
        <f t="shared" si="7"/>
        <v>#DIV/0!</v>
      </c>
      <c r="N23" s="84" t="e">
        <f t="shared" si="7"/>
        <v>#DIV/0!</v>
      </c>
      <c r="O23" s="84" t="e">
        <f t="shared" si="7"/>
        <v>#DIV/0!</v>
      </c>
      <c r="P23" s="84" t="e">
        <f t="shared" si="7"/>
        <v>#DIV/0!</v>
      </c>
      <c r="Q23" s="84" t="e">
        <f t="shared" si="7"/>
        <v>#DIV/0!</v>
      </c>
      <c r="R23" s="84" t="e">
        <f t="shared" si="7"/>
        <v>#DIV/0!</v>
      </c>
      <c r="S23" s="84" t="e">
        <f t="shared" si="7"/>
        <v>#DIV/0!</v>
      </c>
      <c r="T23" s="84" t="e">
        <f t="shared" si="7"/>
        <v>#DIV/0!</v>
      </c>
      <c r="U23" s="84" t="e">
        <f t="shared" si="7"/>
        <v>#DIV/0!</v>
      </c>
      <c r="V23" s="84" t="e">
        <f t="shared" si="7"/>
        <v>#DIV/0!</v>
      </c>
      <c r="W23" s="84">
        <f t="shared" si="7"/>
        <v>0</v>
      </c>
    </row>
    <row r="24" spans="1:29" s="79" customFormat="1">
      <c r="B24" s="79" t="s">
        <v>428</v>
      </c>
      <c r="D24" s="80"/>
      <c r="E24" s="80"/>
      <c r="F24" s="60" t="e">
        <f>F23/F22</f>
        <v>#DIV/0!</v>
      </c>
      <c r="G24" s="60" t="e">
        <f>G23/G22</f>
        <v>#DIV/0!</v>
      </c>
      <c r="H24" s="60" t="e">
        <f>H23/H22</f>
        <v>#DIV/0!</v>
      </c>
      <c r="I24" s="60" t="e">
        <f t="shared" ref="I24:W24" si="8">I23/I22</f>
        <v>#DIV/0!</v>
      </c>
      <c r="J24" s="60" t="e">
        <f t="shared" si="8"/>
        <v>#DIV/0!</v>
      </c>
      <c r="K24" s="60" t="e">
        <f t="shared" si="8"/>
        <v>#DIV/0!</v>
      </c>
      <c r="L24" s="60" t="e">
        <f t="shared" si="8"/>
        <v>#DIV/0!</v>
      </c>
      <c r="M24" s="60" t="e">
        <f t="shared" si="8"/>
        <v>#DIV/0!</v>
      </c>
      <c r="N24" s="60" t="e">
        <f t="shared" si="8"/>
        <v>#DIV/0!</v>
      </c>
      <c r="O24" s="60" t="e">
        <f t="shared" si="8"/>
        <v>#DIV/0!</v>
      </c>
      <c r="P24" s="60" t="e">
        <f t="shared" si="8"/>
        <v>#DIV/0!</v>
      </c>
      <c r="Q24" s="60" t="e">
        <f t="shared" si="8"/>
        <v>#DIV/0!</v>
      </c>
      <c r="R24" s="60" t="e">
        <f t="shared" si="8"/>
        <v>#DIV/0!</v>
      </c>
      <c r="S24" s="60" t="e">
        <f t="shared" si="8"/>
        <v>#DIV/0!</v>
      </c>
      <c r="T24" s="60" t="e">
        <f t="shared" si="8"/>
        <v>#DIV/0!</v>
      </c>
      <c r="U24" s="60" t="e">
        <f t="shared" si="8"/>
        <v>#DIV/0!</v>
      </c>
      <c r="V24" s="60" t="e">
        <f t="shared" si="8"/>
        <v>#DIV/0!</v>
      </c>
      <c r="W24" s="60" t="e">
        <f t="shared" si="8"/>
        <v>#REF!</v>
      </c>
    </row>
    <row r="25" spans="1:29">
      <c r="C25" s="77"/>
      <c r="D25" s="77"/>
      <c r="E25" s="77"/>
      <c r="F25" s="74"/>
      <c r="G25" s="74"/>
      <c r="H25" s="74"/>
    </row>
    <row r="26" spans="1:29">
      <c r="C26" s="77"/>
      <c r="D26" s="77"/>
      <c r="E26" s="77"/>
      <c r="F26" s="74"/>
      <c r="G26" s="74"/>
      <c r="H26" s="74"/>
    </row>
    <row r="27" spans="1:29">
      <c r="A27" s="77" t="s">
        <v>429</v>
      </c>
      <c r="C27" s="74"/>
      <c r="D27" s="74"/>
      <c r="E27" s="74"/>
      <c r="F27" s="74"/>
      <c r="G27" s="74"/>
      <c r="H27" s="74"/>
    </row>
    <row r="28" spans="1:29">
      <c r="B28" s="74" t="s">
        <v>430</v>
      </c>
      <c r="C28" s="77"/>
      <c r="D28" s="85"/>
      <c r="E28" s="85"/>
      <c r="F28" s="85"/>
      <c r="G28" s="85"/>
      <c r="H28" s="85"/>
      <c r="I28" s="85"/>
      <c r="J28" s="85"/>
      <c r="K28" s="85"/>
      <c r="L28" s="85"/>
      <c r="M28" s="85"/>
      <c r="N28" s="85"/>
      <c r="O28" s="85"/>
      <c r="P28" s="85"/>
      <c r="Q28" s="85"/>
      <c r="R28" s="85"/>
      <c r="S28" s="85"/>
      <c r="T28" s="85"/>
      <c r="U28" s="85"/>
      <c r="V28" s="85"/>
      <c r="W28" s="85"/>
    </row>
    <row r="29" spans="1:29">
      <c r="C29" s="74" t="s">
        <v>431</v>
      </c>
      <c r="D29" s="86"/>
      <c r="E29" s="86"/>
      <c r="F29" s="86"/>
      <c r="G29" s="86"/>
      <c r="H29" s="86"/>
      <c r="I29" s="86"/>
      <c r="J29" s="86"/>
      <c r="K29" s="86"/>
      <c r="L29" s="86"/>
      <c r="M29" s="86"/>
      <c r="N29" s="86"/>
      <c r="O29" s="86"/>
      <c r="P29" s="86"/>
      <c r="Q29" s="86"/>
      <c r="R29" s="86"/>
      <c r="S29" s="86"/>
      <c r="T29" s="86"/>
      <c r="U29" s="86"/>
      <c r="V29" s="86"/>
      <c r="W29" s="86"/>
      <c r="Y29" s="87"/>
      <c r="Z29" s="87"/>
      <c r="AA29" s="87"/>
      <c r="AB29" s="87"/>
      <c r="AC29" s="87"/>
    </row>
    <row r="30" spans="1:29">
      <c r="C30" s="74" t="s">
        <v>432</v>
      </c>
      <c r="D30" s="86"/>
      <c r="E30" s="86"/>
      <c r="F30" s="86"/>
      <c r="G30" s="86"/>
      <c r="H30" s="86"/>
      <c r="I30" s="86"/>
      <c r="J30" s="86"/>
      <c r="K30" s="86"/>
      <c r="L30" s="86"/>
      <c r="M30" s="86"/>
      <c r="N30" s="86"/>
      <c r="O30" s="86"/>
      <c r="P30" s="86"/>
      <c r="Q30" s="86"/>
      <c r="R30" s="86"/>
      <c r="S30" s="86"/>
      <c r="T30" s="86"/>
      <c r="U30" s="86"/>
      <c r="V30" s="86"/>
      <c r="W30" s="86"/>
      <c r="Y30" s="87"/>
      <c r="Z30" s="87"/>
      <c r="AA30" s="87"/>
      <c r="AB30" s="87"/>
      <c r="AC30" s="87"/>
    </row>
    <row r="31" spans="1:29">
      <c r="C31" s="74" t="s">
        <v>433</v>
      </c>
      <c r="D31" s="86"/>
      <c r="E31" s="86"/>
      <c r="F31" s="86"/>
      <c r="G31" s="86"/>
      <c r="H31" s="86"/>
      <c r="I31" s="86"/>
      <c r="J31" s="86"/>
      <c r="K31" s="86"/>
      <c r="L31" s="86"/>
      <c r="M31" s="86"/>
      <c r="N31" s="86"/>
      <c r="O31" s="86"/>
      <c r="P31" s="86"/>
      <c r="Q31" s="86"/>
      <c r="R31" s="86"/>
      <c r="S31" s="86"/>
      <c r="T31" s="86"/>
      <c r="U31" s="86"/>
      <c r="V31" s="86"/>
      <c r="W31" s="86"/>
      <c r="Y31" s="87"/>
      <c r="Z31" s="87"/>
      <c r="AA31" s="87"/>
      <c r="AB31" s="87"/>
      <c r="AC31" s="87"/>
    </row>
    <row r="32" spans="1:29">
      <c r="B32" s="74" t="s">
        <v>434</v>
      </c>
      <c r="C32" s="77"/>
      <c r="D32" s="86"/>
      <c r="E32" s="86"/>
      <c r="F32" s="86"/>
      <c r="G32" s="86"/>
      <c r="H32" s="86"/>
      <c r="I32" s="86"/>
      <c r="J32" s="86"/>
      <c r="K32" s="86"/>
      <c r="L32" s="86"/>
      <c r="M32" s="86"/>
      <c r="N32" s="86"/>
      <c r="O32" s="86"/>
      <c r="P32" s="86"/>
      <c r="Q32" s="86"/>
      <c r="R32" s="86"/>
      <c r="S32" s="86"/>
      <c r="T32" s="86"/>
      <c r="U32" s="86"/>
      <c r="V32" s="86"/>
      <c r="W32" s="86"/>
      <c r="Y32" s="87"/>
      <c r="Z32" s="87"/>
      <c r="AA32" s="87"/>
      <c r="AB32" s="87"/>
      <c r="AC32" s="87"/>
    </row>
    <row r="33" spans="1:29">
      <c r="C33" s="77"/>
      <c r="D33" s="77"/>
      <c r="E33" s="77"/>
      <c r="F33" s="83"/>
      <c r="G33" s="83"/>
      <c r="H33" s="83"/>
      <c r="I33" s="83"/>
      <c r="J33" s="83"/>
      <c r="K33" s="83"/>
      <c r="L33" s="83"/>
      <c r="M33" s="83"/>
      <c r="N33" s="83"/>
      <c r="O33" s="83"/>
      <c r="P33" s="83"/>
      <c r="Q33" s="83"/>
      <c r="R33" s="83"/>
      <c r="S33" s="83"/>
      <c r="T33" s="83"/>
      <c r="U33" s="83"/>
      <c r="V33" s="83"/>
      <c r="W33" s="83"/>
      <c r="Y33" s="87"/>
      <c r="Z33" s="87"/>
      <c r="AA33" s="87"/>
      <c r="AB33" s="87"/>
      <c r="AC33" s="87"/>
    </row>
    <row r="34" spans="1:29">
      <c r="B34" s="74" t="s">
        <v>435</v>
      </c>
      <c r="C34" s="77"/>
      <c r="D34" s="88"/>
      <c r="E34" s="88"/>
      <c r="F34" s="88"/>
      <c r="G34" s="88"/>
      <c r="H34" s="88"/>
      <c r="I34" s="88"/>
      <c r="J34" s="88"/>
      <c r="K34" s="88"/>
      <c r="L34" s="88"/>
      <c r="M34" s="88"/>
      <c r="N34" s="88"/>
      <c r="O34" s="88"/>
      <c r="P34" s="88"/>
      <c r="Q34" s="88"/>
      <c r="R34" s="88"/>
      <c r="S34" s="88"/>
      <c r="T34" s="88"/>
      <c r="U34" s="88"/>
      <c r="V34" s="88"/>
      <c r="W34" s="88"/>
      <c r="Y34" s="87"/>
      <c r="Z34" s="87"/>
      <c r="AA34" s="87"/>
      <c r="AB34" s="87"/>
      <c r="AC34" s="87"/>
    </row>
    <row r="35" spans="1:29">
      <c r="B35" s="74" t="s">
        <v>436</v>
      </c>
      <c r="C35" s="77"/>
      <c r="D35" s="88"/>
      <c r="E35" s="88"/>
      <c r="F35" s="88"/>
      <c r="G35" s="88"/>
      <c r="H35" s="88"/>
      <c r="I35" s="88"/>
      <c r="J35" s="88"/>
      <c r="K35" s="88"/>
      <c r="L35" s="88"/>
      <c r="M35" s="88"/>
      <c r="N35" s="88"/>
      <c r="O35" s="88"/>
      <c r="P35" s="88"/>
      <c r="Q35" s="88"/>
      <c r="R35" s="88"/>
      <c r="S35" s="88"/>
      <c r="T35" s="88"/>
      <c r="U35" s="88"/>
      <c r="V35" s="88"/>
      <c r="W35" s="88"/>
      <c r="Y35" s="87"/>
      <c r="Z35" s="87"/>
      <c r="AA35" s="87"/>
      <c r="AB35" s="87"/>
      <c r="AC35" s="87"/>
    </row>
    <row r="36" spans="1:29">
      <c r="B36" s="74" t="s">
        <v>437</v>
      </c>
      <c r="C36" s="77"/>
      <c r="D36" s="86"/>
      <c r="E36" s="86"/>
      <c r="F36" s="86"/>
      <c r="G36" s="86"/>
      <c r="H36" s="86"/>
      <c r="I36" s="86"/>
      <c r="J36" s="86"/>
      <c r="K36" s="86"/>
      <c r="L36" s="86"/>
      <c r="M36" s="86"/>
      <c r="N36" s="86"/>
      <c r="O36" s="86"/>
      <c r="P36" s="86"/>
      <c r="Q36" s="86"/>
      <c r="R36" s="86"/>
      <c r="S36" s="86"/>
      <c r="T36" s="86"/>
      <c r="U36" s="86"/>
      <c r="V36" s="86"/>
      <c r="W36" s="86"/>
      <c r="Y36" s="87"/>
      <c r="Z36" s="87"/>
      <c r="AA36" s="87"/>
      <c r="AB36" s="87"/>
      <c r="AC36" s="87"/>
    </row>
    <row r="37" spans="1:29">
      <c r="B37" s="74" t="s">
        <v>438</v>
      </c>
      <c r="C37" s="77"/>
      <c r="D37" s="86"/>
      <c r="E37" s="86"/>
      <c r="F37" s="86"/>
      <c r="G37" s="86"/>
      <c r="H37" s="86"/>
      <c r="I37" s="86"/>
      <c r="J37" s="86"/>
      <c r="K37" s="86"/>
      <c r="L37" s="86"/>
      <c r="M37" s="86"/>
      <c r="N37" s="86"/>
      <c r="O37" s="86"/>
      <c r="P37" s="86"/>
      <c r="Q37" s="86"/>
      <c r="R37" s="86"/>
      <c r="S37" s="86"/>
      <c r="T37" s="86"/>
      <c r="U37" s="86"/>
      <c r="V37" s="86"/>
      <c r="W37" s="86"/>
      <c r="Y37" s="87"/>
      <c r="Z37" s="87"/>
      <c r="AA37" s="87"/>
      <c r="AB37" s="87"/>
      <c r="AC37" s="87"/>
    </row>
    <row r="38" spans="1:29">
      <c r="C38" s="77"/>
      <c r="D38" s="77"/>
      <c r="E38" s="77"/>
      <c r="F38" s="83"/>
      <c r="G38" s="83"/>
      <c r="H38" s="83"/>
      <c r="I38" s="83"/>
      <c r="J38" s="83"/>
      <c r="K38" s="83"/>
      <c r="L38" s="83"/>
      <c r="M38" s="83"/>
      <c r="N38" s="83"/>
      <c r="O38" s="83"/>
      <c r="P38" s="83"/>
      <c r="Q38" s="83"/>
      <c r="R38" s="83"/>
      <c r="S38" s="83"/>
      <c r="T38" s="83"/>
      <c r="U38" s="83"/>
      <c r="V38" s="83"/>
      <c r="W38" s="83"/>
      <c r="Y38" s="87"/>
      <c r="Z38" s="87"/>
      <c r="AA38" s="87"/>
      <c r="AB38" s="87"/>
      <c r="AC38" s="87"/>
    </row>
    <row r="39" spans="1:29" s="81" customFormat="1">
      <c r="B39" s="81" t="s">
        <v>439</v>
      </c>
      <c r="C39" s="89"/>
      <c r="D39" s="88"/>
      <c r="E39" s="88"/>
      <c r="F39" s="88"/>
      <c r="G39" s="88"/>
      <c r="H39" s="88"/>
      <c r="I39" s="88"/>
      <c r="J39" s="88"/>
      <c r="K39" s="88"/>
      <c r="L39" s="88"/>
      <c r="M39" s="88"/>
      <c r="N39" s="88"/>
      <c r="O39" s="88"/>
      <c r="P39" s="88"/>
      <c r="Q39" s="88"/>
      <c r="R39" s="88"/>
      <c r="S39" s="88"/>
      <c r="T39" s="88"/>
      <c r="U39" s="88"/>
      <c r="V39" s="88"/>
      <c r="W39" s="88"/>
    </row>
    <row r="40" spans="1:29">
      <c r="C40" s="77" t="s">
        <v>440</v>
      </c>
      <c r="D40" s="90"/>
      <c r="E40" s="90"/>
      <c r="F40" s="90"/>
      <c r="G40" s="90"/>
      <c r="H40" s="90"/>
      <c r="I40" s="90"/>
      <c r="J40" s="90"/>
      <c r="K40" s="90"/>
      <c r="L40" s="90"/>
      <c r="M40" s="90"/>
      <c r="N40" s="90"/>
      <c r="O40" s="90"/>
      <c r="P40" s="90"/>
      <c r="Q40" s="90"/>
      <c r="R40" s="90"/>
      <c r="S40" s="90"/>
      <c r="T40" s="90"/>
      <c r="U40" s="90"/>
      <c r="V40" s="90"/>
      <c r="W40" s="90"/>
    </row>
    <row r="41" spans="1:29">
      <c r="C41" s="77" t="s">
        <v>441</v>
      </c>
      <c r="D41" s="91"/>
      <c r="E41" s="91"/>
      <c r="F41" s="91"/>
      <c r="G41" s="91"/>
      <c r="H41" s="91"/>
      <c r="I41" s="91"/>
      <c r="J41" s="91"/>
      <c r="K41" s="91"/>
      <c r="L41" s="91"/>
      <c r="M41" s="91"/>
      <c r="N41" s="91"/>
      <c r="O41" s="91"/>
      <c r="P41" s="91"/>
      <c r="Q41" s="91"/>
      <c r="R41" s="91"/>
      <c r="S41" s="91"/>
      <c r="T41" s="91"/>
      <c r="U41" s="91"/>
      <c r="V41" s="91"/>
      <c r="W41" s="91"/>
    </row>
    <row r="42" spans="1:29">
      <c r="C42" s="77" t="s">
        <v>442</v>
      </c>
      <c r="D42" s="90"/>
      <c r="E42" s="90"/>
      <c r="F42" s="90"/>
      <c r="G42" s="90"/>
      <c r="H42" s="90"/>
      <c r="I42" s="90"/>
      <c r="J42" s="90"/>
      <c r="K42" s="90"/>
      <c r="L42" s="90"/>
      <c r="M42" s="90"/>
      <c r="N42" s="90"/>
      <c r="O42" s="90"/>
      <c r="P42" s="90"/>
      <c r="Q42" s="90"/>
      <c r="R42" s="90"/>
      <c r="S42" s="90"/>
      <c r="T42" s="90"/>
      <c r="U42" s="90"/>
      <c r="V42" s="90"/>
      <c r="W42" s="90"/>
    </row>
    <row r="43" spans="1:29">
      <c r="C43" s="77" t="s">
        <v>443</v>
      </c>
      <c r="D43" s="92"/>
      <c r="E43" s="92"/>
      <c r="F43" s="92" t="e">
        <f>#REF!</f>
        <v>#REF!</v>
      </c>
      <c r="G43" s="92" t="e">
        <f>#REF!</f>
        <v>#REF!</v>
      </c>
      <c r="H43" s="92" t="e">
        <f>#REF!</f>
        <v>#REF!</v>
      </c>
      <c r="I43" s="92" t="e">
        <f>#REF!</f>
        <v>#REF!</v>
      </c>
      <c r="J43" s="92" t="e">
        <f>#REF!</f>
        <v>#REF!</v>
      </c>
      <c r="K43" s="92" t="e">
        <f>#REF!</f>
        <v>#REF!</v>
      </c>
      <c r="L43" s="92" t="e">
        <f>#REF!</f>
        <v>#REF!</v>
      </c>
      <c r="M43" s="92" t="e">
        <f>#REF!</f>
        <v>#REF!</v>
      </c>
      <c r="N43" s="92" t="e">
        <f>#REF!</f>
        <v>#REF!</v>
      </c>
      <c r="O43" s="92" t="e">
        <f>#REF!</f>
        <v>#REF!</v>
      </c>
      <c r="P43" s="92" t="e">
        <f>#REF!</f>
        <v>#REF!</v>
      </c>
      <c r="Q43" s="92" t="e">
        <f>#REF!</f>
        <v>#REF!</v>
      </c>
      <c r="R43" s="92" t="e">
        <f>#REF!</f>
        <v>#REF!</v>
      </c>
      <c r="S43" s="92" t="e">
        <f>#REF!</f>
        <v>#REF!</v>
      </c>
      <c r="T43" s="92" t="e">
        <f>#REF!</f>
        <v>#REF!</v>
      </c>
      <c r="U43" s="92" t="e">
        <f>#REF!</f>
        <v>#REF!</v>
      </c>
      <c r="V43" s="92" t="e">
        <f>#REF!</f>
        <v>#REF!</v>
      </c>
      <c r="W43" s="92" t="e">
        <f>#REF!</f>
        <v>#REF!</v>
      </c>
    </row>
    <row r="44" spans="1:29">
      <c r="C44" s="77"/>
      <c r="D44" s="77"/>
      <c r="E44" s="77"/>
      <c r="F44" s="83"/>
      <c r="G44" s="83"/>
      <c r="H44" s="83"/>
      <c r="I44" s="83"/>
      <c r="J44" s="83"/>
      <c r="K44" s="83"/>
      <c r="L44" s="83"/>
      <c r="M44" s="83"/>
      <c r="N44" s="83"/>
      <c r="O44" s="83"/>
      <c r="P44" s="83"/>
      <c r="Q44" s="83"/>
      <c r="R44" s="83"/>
      <c r="S44" s="83"/>
      <c r="T44" s="83"/>
      <c r="U44" s="83"/>
      <c r="V44" s="83"/>
      <c r="W44" s="83"/>
    </row>
    <row r="45" spans="1:29">
      <c r="A45" s="74" t="s">
        <v>444</v>
      </c>
      <c r="C45" s="77"/>
      <c r="D45" s="77"/>
      <c r="E45" s="77"/>
      <c r="F45" s="83"/>
      <c r="G45" s="83"/>
      <c r="H45" s="83"/>
      <c r="I45" s="83"/>
      <c r="J45" s="83"/>
      <c r="K45" s="83"/>
      <c r="L45" s="83"/>
      <c r="M45" s="83"/>
      <c r="N45" s="83"/>
      <c r="O45" s="83"/>
      <c r="P45" s="83"/>
      <c r="Q45" s="83"/>
      <c r="R45" s="83"/>
      <c r="S45" s="83"/>
      <c r="T45" s="83"/>
      <c r="U45" s="83"/>
      <c r="V45" s="83"/>
      <c r="W45" s="83"/>
    </row>
    <row r="46" spans="1:29">
      <c r="B46" s="74" t="s">
        <v>445</v>
      </c>
      <c r="C46" s="77"/>
      <c r="D46" s="77"/>
      <c r="E46" s="77"/>
      <c r="F46" s="83"/>
      <c r="G46" s="83"/>
      <c r="H46" s="83"/>
      <c r="I46" s="83"/>
      <c r="J46" s="83"/>
      <c r="K46" s="83"/>
      <c r="L46" s="83"/>
      <c r="M46" s="83"/>
      <c r="N46" s="83"/>
      <c r="O46" s="83"/>
      <c r="P46" s="83"/>
      <c r="Q46" s="83"/>
      <c r="R46" s="83"/>
      <c r="S46" s="83"/>
      <c r="T46" s="83"/>
      <c r="U46" s="83"/>
      <c r="V46" s="83"/>
      <c r="W46" s="83"/>
    </row>
    <row r="47" spans="1:29">
      <c r="B47" s="81"/>
      <c r="C47" s="89" t="s">
        <v>446</v>
      </c>
      <c r="D47" s="88"/>
      <c r="E47" s="88"/>
      <c r="F47" s="88">
        <v>1</v>
      </c>
      <c r="G47" s="88">
        <v>1</v>
      </c>
      <c r="H47" s="88">
        <v>1</v>
      </c>
      <c r="I47" s="88">
        <v>1</v>
      </c>
      <c r="J47" s="88">
        <v>1</v>
      </c>
      <c r="K47" s="88">
        <v>1</v>
      </c>
      <c r="L47" s="88">
        <v>1</v>
      </c>
      <c r="M47" s="88">
        <v>1</v>
      </c>
      <c r="N47" s="88">
        <v>1</v>
      </c>
      <c r="O47" s="88">
        <v>1</v>
      </c>
      <c r="P47" s="88">
        <v>1</v>
      </c>
      <c r="Q47" s="88">
        <v>1</v>
      </c>
      <c r="R47" s="88">
        <v>1</v>
      </c>
      <c r="S47" s="88">
        <v>1</v>
      </c>
      <c r="T47" s="88">
        <v>1</v>
      </c>
      <c r="U47" s="88">
        <v>1</v>
      </c>
      <c r="V47" s="88">
        <v>1</v>
      </c>
      <c r="W47" s="88">
        <v>1</v>
      </c>
    </row>
    <row r="48" spans="1:29">
      <c r="C48" s="77" t="s">
        <v>437</v>
      </c>
      <c r="D48" s="93"/>
      <c r="E48" s="93"/>
      <c r="F48" s="93">
        <v>1</v>
      </c>
      <c r="G48" s="93">
        <v>1</v>
      </c>
      <c r="H48" s="93">
        <v>1</v>
      </c>
      <c r="I48" s="93">
        <v>1</v>
      </c>
      <c r="J48" s="93">
        <v>1</v>
      </c>
      <c r="K48" s="93">
        <v>1</v>
      </c>
      <c r="L48" s="93">
        <v>1</v>
      </c>
      <c r="M48" s="93">
        <v>1</v>
      </c>
      <c r="N48" s="93">
        <v>1</v>
      </c>
      <c r="O48" s="93">
        <v>1</v>
      </c>
      <c r="P48" s="93">
        <v>1</v>
      </c>
      <c r="Q48" s="93">
        <v>1</v>
      </c>
      <c r="R48" s="93">
        <v>1</v>
      </c>
      <c r="S48" s="93">
        <v>1</v>
      </c>
      <c r="T48" s="93">
        <v>1</v>
      </c>
      <c r="U48" s="93">
        <v>1</v>
      </c>
      <c r="V48" s="93">
        <v>1</v>
      </c>
      <c r="W48" s="93">
        <v>1</v>
      </c>
    </row>
    <row r="49" spans="2:23">
      <c r="C49" s="77" t="s">
        <v>447</v>
      </c>
      <c r="D49" s="93"/>
      <c r="E49" s="93"/>
      <c r="F49" s="93">
        <v>0</v>
      </c>
      <c r="G49" s="93">
        <v>0</v>
      </c>
      <c r="H49" s="93">
        <v>0</v>
      </c>
      <c r="I49" s="93">
        <v>0</v>
      </c>
      <c r="J49" s="93">
        <v>0</v>
      </c>
      <c r="K49" s="93">
        <v>0</v>
      </c>
      <c r="L49" s="93">
        <v>0</v>
      </c>
      <c r="M49" s="93">
        <v>0</v>
      </c>
      <c r="N49" s="93">
        <v>0</v>
      </c>
      <c r="O49" s="93">
        <v>0</v>
      </c>
      <c r="P49" s="93">
        <v>0</v>
      </c>
      <c r="Q49" s="93">
        <v>0</v>
      </c>
      <c r="R49" s="93">
        <v>0</v>
      </c>
      <c r="S49" s="93">
        <v>0</v>
      </c>
      <c r="T49" s="93">
        <v>0</v>
      </c>
      <c r="U49" s="93">
        <v>0</v>
      </c>
      <c r="V49" s="93">
        <v>0</v>
      </c>
      <c r="W49" s="93">
        <v>0</v>
      </c>
    </row>
    <row r="50" spans="2:23">
      <c r="B50" s="74" t="s">
        <v>448</v>
      </c>
      <c r="C50" s="77"/>
      <c r="D50" s="83"/>
      <c r="E50" s="83"/>
      <c r="F50" s="83"/>
      <c r="G50" s="83"/>
      <c r="H50" s="83"/>
      <c r="I50" s="83"/>
      <c r="J50" s="83"/>
      <c r="K50" s="83"/>
      <c r="L50" s="83"/>
      <c r="M50" s="83"/>
      <c r="N50" s="83"/>
      <c r="O50" s="83"/>
      <c r="P50" s="83"/>
      <c r="Q50" s="83"/>
      <c r="R50" s="83"/>
      <c r="S50" s="83"/>
      <c r="T50" s="83"/>
      <c r="U50" s="83"/>
      <c r="V50" s="83"/>
      <c r="W50" s="83"/>
    </row>
    <row r="51" spans="2:23">
      <c r="B51" s="81"/>
      <c r="C51" s="89" t="s">
        <v>446</v>
      </c>
      <c r="D51" s="88"/>
      <c r="E51" s="88"/>
      <c r="F51" s="88">
        <v>1</v>
      </c>
      <c r="G51" s="88">
        <v>1</v>
      </c>
      <c r="H51" s="88">
        <v>1</v>
      </c>
      <c r="I51" s="88">
        <v>1</v>
      </c>
      <c r="J51" s="88">
        <v>1</v>
      </c>
      <c r="K51" s="88">
        <v>1</v>
      </c>
      <c r="L51" s="88">
        <v>1</v>
      </c>
      <c r="M51" s="88">
        <v>1</v>
      </c>
      <c r="N51" s="88">
        <v>1</v>
      </c>
      <c r="O51" s="88">
        <v>1</v>
      </c>
      <c r="P51" s="88">
        <v>1</v>
      </c>
      <c r="Q51" s="88">
        <v>1</v>
      </c>
      <c r="R51" s="88">
        <v>1</v>
      </c>
      <c r="S51" s="88">
        <v>1</v>
      </c>
      <c r="T51" s="88">
        <v>1</v>
      </c>
      <c r="U51" s="88">
        <v>1</v>
      </c>
      <c r="V51" s="88">
        <v>1</v>
      </c>
      <c r="W51" s="88">
        <v>1</v>
      </c>
    </row>
    <row r="52" spans="2:23">
      <c r="C52" s="77" t="s">
        <v>437</v>
      </c>
      <c r="D52" s="93"/>
      <c r="E52" s="93"/>
      <c r="F52" s="93">
        <v>1</v>
      </c>
      <c r="G52" s="93">
        <v>1</v>
      </c>
      <c r="H52" s="93">
        <v>1</v>
      </c>
      <c r="I52" s="93">
        <v>1</v>
      </c>
      <c r="J52" s="93">
        <v>1</v>
      </c>
      <c r="K52" s="93">
        <v>1</v>
      </c>
      <c r="L52" s="93">
        <v>1</v>
      </c>
      <c r="M52" s="93">
        <v>1</v>
      </c>
      <c r="N52" s="93">
        <v>1</v>
      </c>
      <c r="O52" s="93">
        <v>1</v>
      </c>
      <c r="P52" s="93">
        <v>1</v>
      </c>
      <c r="Q52" s="93">
        <v>1</v>
      </c>
      <c r="R52" s="93">
        <v>1</v>
      </c>
      <c r="S52" s="93">
        <v>1</v>
      </c>
      <c r="T52" s="93">
        <v>1</v>
      </c>
      <c r="U52" s="93">
        <v>1</v>
      </c>
      <c r="V52" s="93">
        <v>1</v>
      </c>
      <c r="W52" s="93">
        <v>1</v>
      </c>
    </row>
    <row r="53" spans="2:23">
      <c r="C53" s="77" t="s">
        <v>447</v>
      </c>
      <c r="D53" s="93"/>
      <c r="E53" s="93"/>
      <c r="F53" s="93">
        <v>0</v>
      </c>
      <c r="G53" s="93">
        <v>0</v>
      </c>
      <c r="H53" s="93">
        <v>0</v>
      </c>
      <c r="I53" s="93">
        <v>0</v>
      </c>
      <c r="J53" s="93">
        <v>0</v>
      </c>
      <c r="K53" s="93">
        <v>0</v>
      </c>
      <c r="L53" s="93">
        <v>0</v>
      </c>
      <c r="M53" s="93">
        <v>0</v>
      </c>
      <c r="N53" s="93">
        <v>0</v>
      </c>
      <c r="O53" s="93">
        <v>0</v>
      </c>
      <c r="P53" s="93">
        <v>0</v>
      </c>
      <c r="Q53" s="93">
        <v>0</v>
      </c>
      <c r="R53" s="93">
        <v>0</v>
      </c>
      <c r="S53" s="93">
        <v>0</v>
      </c>
      <c r="T53" s="93">
        <v>0</v>
      </c>
      <c r="U53" s="93">
        <v>0</v>
      </c>
      <c r="V53" s="93">
        <v>0</v>
      </c>
      <c r="W53" s="93">
        <v>0</v>
      </c>
    </row>
    <row r="54" spans="2:23">
      <c r="B54" s="74" t="s">
        <v>449</v>
      </c>
      <c r="C54" s="77"/>
      <c r="D54" s="83"/>
      <c r="E54" s="83"/>
      <c r="F54" s="83"/>
      <c r="G54" s="83"/>
      <c r="H54" s="83"/>
      <c r="I54" s="83"/>
      <c r="J54" s="83"/>
      <c r="K54" s="83"/>
      <c r="L54" s="83"/>
      <c r="M54" s="83"/>
      <c r="N54" s="83"/>
      <c r="O54" s="83"/>
      <c r="P54" s="83"/>
      <c r="Q54" s="83"/>
      <c r="R54" s="83"/>
      <c r="S54" s="83"/>
      <c r="T54" s="83"/>
      <c r="U54" s="83"/>
      <c r="V54" s="83"/>
      <c r="W54" s="83"/>
    </row>
    <row r="55" spans="2:23">
      <c r="B55" s="81"/>
      <c r="C55" s="89" t="s">
        <v>446</v>
      </c>
      <c r="D55" s="88"/>
      <c r="E55" s="88"/>
      <c r="F55" s="88">
        <v>1</v>
      </c>
      <c r="G55" s="88">
        <v>1</v>
      </c>
      <c r="H55" s="88">
        <v>1</v>
      </c>
      <c r="I55" s="88">
        <v>1</v>
      </c>
      <c r="J55" s="88">
        <v>1</v>
      </c>
      <c r="K55" s="88">
        <v>1</v>
      </c>
      <c r="L55" s="88">
        <v>1</v>
      </c>
      <c r="M55" s="88">
        <v>1</v>
      </c>
      <c r="N55" s="88">
        <v>1</v>
      </c>
      <c r="O55" s="88">
        <v>1</v>
      </c>
      <c r="P55" s="88">
        <v>1</v>
      </c>
      <c r="Q55" s="88">
        <v>1</v>
      </c>
      <c r="R55" s="88">
        <v>1</v>
      </c>
      <c r="S55" s="88">
        <v>1</v>
      </c>
      <c r="T55" s="88">
        <v>1</v>
      </c>
      <c r="U55" s="88">
        <v>1</v>
      </c>
      <c r="V55" s="88">
        <v>1</v>
      </c>
      <c r="W55" s="88">
        <v>1</v>
      </c>
    </row>
    <row r="56" spans="2:23">
      <c r="C56" s="77" t="s">
        <v>437</v>
      </c>
      <c r="D56" s="93"/>
      <c r="E56" s="93"/>
      <c r="F56" s="93">
        <v>1</v>
      </c>
      <c r="G56" s="93">
        <v>1</v>
      </c>
      <c r="H56" s="93">
        <v>1</v>
      </c>
      <c r="I56" s="93">
        <v>1</v>
      </c>
      <c r="J56" s="93">
        <v>1</v>
      </c>
      <c r="K56" s="93">
        <v>1</v>
      </c>
      <c r="L56" s="93">
        <v>1</v>
      </c>
      <c r="M56" s="93">
        <v>1</v>
      </c>
      <c r="N56" s="93">
        <v>1</v>
      </c>
      <c r="O56" s="93">
        <v>1</v>
      </c>
      <c r="P56" s="93">
        <v>1</v>
      </c>
      <c r="Q56" s="93">
        <v>1</v>
      </c>
      <c r="R56" s="93">
        <v>1</v>
      </c>
      <c r="S56" s="93">
        <v>1</v>
      </c>
      <c r="T56" s="93">
        <v>1</v>
      </c>
      <c r="U56" s="93">
        <v>1</v>
      </c>
      <c r="V56" s="93">
        <v>1</v>
      </c>
      <c r="W56" s="93">
        <v>1</v>
      </c>
    </row>
    <row r="57" spans="2:23">
      <c r="C57" s="77" t="s">
        <v>447</v>
      </c>
      <c r="D57" s="93"/>
      <c r="E57" s="93"/>
      <c r="F57" s="93">
        <v>0</v>
      </c>
      <c r="G57" s="93">
        <v>0</v>
      </c>
      <c r="H57" s="93">
        <v>0</v>
      </c>
      <c r="I57" s="93">
        <v>0</v>
      </c>
      <c r="J57" s="93">
        <v>0</v>
      </c>
      <c r="K57" s="93">
        <v>0</v>
      </c>
      <c r="L57" s="93">
        <v>0</v>
      </c>
      <c r="M57" s="93">
        <v>0</v>
      </c>
      <c r="N57" s="93">
        <v>0</v>
      </c>
      <c r="O57" s="93">
        <v>0</v>
      </c>
      <c r="P57" s="93">
        <v>0</v>
      </c>
      <c r="Q57" s="93">
        <v>0</v>
      </c>
      <c r="R57" s="93">
        <v>0</v>
      </c>
      <c r="S57" s="93">
        <v>0</v>
      </c>
      <c r="T57" s="93">
        <v>0</v>
      </c>
      <c r="U57" s="93">
        <v>0</v>
      </c>
      <c r="V57" s="93">
        <v>0</v>
      </c>
      <c r="W57" s="93">
        <v>0</v>
      </c>
    </row>
    <row r="58" spans="2:23">
      <c r="B58" s="74" t="s">
        <v>450</v>
      </c>
      <c r="C58" s="77"/>
      <c r="D58" s="83"/>
      <c r="E58" s="83"/>
      <c r="F58" s="83"/>
      <c r="G58" s="83"/>
      <c r="H58" s="83"/>
      <c r="I58" s="83"/>
      <c r="J58" s="83"/>
      <c r="K58" s="83"/>
      <c r="L58" s="83"/>
      <c r="M58" s="83"/>
      <c r="N58" s="83"/>
      <c r="O58" s="83"/>
      <c r="P58" s="83"/>
      <c r="Q58" s="83"/>
      <c r="R58" s="83"/>
      <c r="S58" s="83"/>
      <c r="T58" s="83"/>
      <c r="U58" s="83"/>
      <c r="V58" s="83"/>
      <c r="W58" s="83"/>
    </row>
    <row r="59" spans="2:23">
      <c r="B59" s="81"/>
      <c r="C59" s="89" t="s">
        <v>446</v>
      </c>
      <c r="D59" s="88"/>
      <c r="E59" s="88"/>
      <c r="F59" s="88">
        <v>1</v>
      </c>
      <c r="G59" s="88">
        <v>1</v>
      </c>
      <c r="H59" s="88">
        <v>1</v>
      </c>
      <c r="I59" s="88">
        <v>1</v>
      </c>
      <c r="J59" s="88">
        <v>1</v>
      </c>
      <c r="K59" s="88">
        <v>1</v>
      </c>
      <c r="L59" s="88">
        <v>1</v>
      </c>
      <c r="M59" s="88">
        <v>1</v>
      </c>
      <c r="N59" s="88">
        <v>1</v>
      </c>
      <c r="O59" s="88">
        <v>1</v>
      </c>
      <c r="P59" s="88">
        <v>1</v>
      </c>
      <c r="Q59" s="88">
        <v>1</v>
      </c>
      <c r="R59" s="88">
        <v>1</v>
      </c>
      <c r="S59" s="88">
        <v>1</v>
      </c>
      <c r="T59" s="88">
        <v>1</v>
      </c>
      <c r="U59" s="88">
        <v>1</v>
      </c>
      <c r="V59" s="88">
        <v>1</v>
      </c>
      <c r="W59" s="88">
        <v>1</v>
      </c>
    </row>
    <row r="60" spans="2:23">
      <c r="C60" s="77" t="s">
        <v>437</v>
      </c>
      <c r="D60" s="93"/>
      <c r="E60" s="93"/>
      <c r="F60" s="93">
        <v>1</v>
      </c>
      <c r="G60" s="93">
        <v>1</v>
      </c>
      <c r="H60" s="93">
        <v>1</v>
      </c>
      <c r="I60" s="93">
        <v>1</v>
      </c>
      <c r="J60" s="93">
        <v>1</v>
      </c>
      <c r="K60" s="93">
        <v>1</v>
      </c>
      <c r="L60" s="93">
        <v>1</v>
      </c>
      <c r="M60" s="93">
        <v>1</v>
      </c>
      <c r="N60" s="93">
        <v>1</v>
      </c>
      <c r="O60" s="93">
        <v>1</v>
      </c>
      <c r="P60" s="93">
        <v>1</v>
      </c>
      <c r="Q60" s="93">
        <v>1</v>
      </c>
      <c r="R60" s="93">
        <v>1</v>
      </c>
      <c r="S60" s="93">
        <v>1</v>
      </c>
      <c r="T60" s="93">
        <v>1</v>
      </c>
      <c r="U60" s="93">
        <v>1</v>
      </c>
      <c r="V60" s="93">
        <v>1</v>
      </c>
      <c r="W60" s="93">
        <v>1</v>
      </c>
    </row>
    <row r="61" spans="2:23">
      <c r="C61" s="77" t="s">
        <v>447</v>
      </c>
      <c r="D61" s="93"/>
      <c r="E61" s="93"/>
      <c r="F61" s="93">
        <v>0</v>
      </c>
      <c r="G61" s="93">
        <v>0</v>
      </c>
      <c r="H61" s="93">
        <v>0</v>
      </c>
      <c r="I61" s="93">
        <v>0</v>
      </c>
      <c r="J61" s="93">
        <v>0</v>
      </c>
      <c r="K61" s="93">
        <v>0</v>
      </c>
      <c r="L61" s="93">
        <v>0</v>
      </c>
      <c r="M61" s="93">
        <v>0</v>
      </c>
      <c r="N61" s="93">
        <v>0</v>
      </c>
      <c r="O61" s="93">
        <v>0</v>
      </c>
      <c r="P61" s="93">
        <v>0</v>
      </c>
      <c r="Q61" s="93">
        <v>0</v>
      </c>
      <c r="R61" s="93">
        <v>0</v>
      </c>
      <c r="S61" s="93">
        <v>0</v>
      </c>
      <c r="T61" s="93">
        <v>0</v>
      </c>
      <c r="U61" s="93">
        <v>0</v>
      </c>
      <c r="V61" s="93">
        <v>0</v>
      </c>
      <c r="W61" s="93">
        <v>0</v>
      </c>
    </row>
    <row r="62" spans="2:23">
      <c r="B62" s="74" t="s">
        <v>451</v>
      </c>
      <c r="C62" s="77"/>
      <c r="D62" s="83"/>
      <c r="E62" s="83"/>
      <c r="F62" s="83"/>
      <c r="G62" s="83"/>
      <c r="H62" s="83"/>
      <c r="I62" s="83"/>
      <c r="J62" s="83"/>
      <c r="K62" s="83"/>
      <c r="L62" s="83"/>
      <c r="M62" s="83"/>
      <c r="N62" s="83"/>
      <c r="O62" s="83"/>
      <c r="P62" s="83"/>
      <c r="Q62" s="83"/>
      <c r="R62" s="83"/>
      <c r="S62" s="83"/>
      <c r="T62" s="83"/>
      <c r="U62" s="83"/>
      <c r="V62" s="83"/>
      <c r="W62" s="83"/>
    </row>
    <row r="63" spans="2:23">
      <c r="B63" s="81"/>
      <c r="C63" s="89" t="s">
        <v>446</v>
      </c>
      <c r="D63" s="88"/>
      <c r="E63" s="88"/>
      <c r="F63" s="88">
        <v>1</v>
      </c>
      <c r="G63" s="88">
        <v>1</v>
      </c>
      <c r="H63" s="88">
        <v>1</v>
      </c>
      <c r="I63" s="88">
        <v>1</v>
      </c>
      <c r="J63" s="88">
        <v>1</v>
      </c>
      <c r="K63" s="88">
        <v>1</v>
      </c>
      <c r="L63" s="88">
        <v>1</v>
      </c>
      <c r="M63" s="88">
        <v>1</v>
      </c>
      <c r="N63" s="88">
        <v>1</v>
      </c>
      <c r="O63" s="88">
        <v>1</v>
      </c>
      <c r="P63" s="88">
        <v>1</v>
      </c>
      <c r="Q63" s="88">
        <v>1</v>
      </c>
      <c r="R63" s="88">
        <v>1</v>
      </c>
      <c r="S63" s="88">
        <v>1</v>
      </c>
      <c r="T63" s="88">
        <v>1</v>
      </c>
      <c r="U63" s="88">
        <v>1</v>
      </c>
      <c r="V63" s="88">
        <v>1</v>
      </c>
      <c r="W63" s="88">
        <v>1</v>
      </c>
    </row>
    <row r="64" spans="2:23">
      <c r="C64" s="77" t="s">
        <v>437</v>
      </c>
      <c r="D64" s="93"/>
      <c r="E64" s="93"/>
      <c r="F64" s="93">
        <v>1</v>
      </c>
      <c r="G64" s="93">
        <v>1</v>
      </c>
      <c r="H64" s="93">
        <v>1</v>
      </c>
      <c r="I64" s="93">
        <v>1</v>
      </c>
      <c r="J64" s="93">
        <v>1</v>
      </c>
      <c r="K64" s="93">
        <v>1</v>
      </c>
      <c r="L64" s="93">
        <v>1</v>
      </c>
      <c r="M64" s="93">
        <v>1</v>
      </c>
      <c r="N64" s="93">
        <v>1</v>
      </c>
      <c r="O64" s="93">
        <v>1</v>
      </c>
      <c r="P64" s="93">
        <v>1</v>
      </c>
      <c r="Q64" s="93">
        <v>1</v>
      </c>
      <c r="R64" s="93">
        <v>1</v>
      </c>
      <c r="S64" s="93">
        <v>1</v>
      </c>
      <c r="T64" s="93">
        <v>1</v>
      </c>
      <c r="U64" s="93">
        <v>1</v>
      </c>
      <c r="V64" s="93">
        <v>1</v>
      </c>
      <c r="W64" s="93">
        <v>1</v>
      </c>
    </row>
    <row r="65" spans="2:23">
      <c r="C65" s="77" t="s">
        <v>447</v>
      </c>
      <c r="D65" s="93"/>
      <c r="E65" s="93"/>
      <c r="F65" s="93">
        <v>0</v>
      </c>
      <c r="G65" s="93">
        <v>0</v>
      </c>
      <c r="H65" s="93">
        <v>0</v>
      </c>
      <c r="I65" s="93">
        <v>0</v>
      </c>
      <c r="J65" s="93">
        <v>0</v>
      </c>
      <c r="K65" s="93">
        <v>0</v>
      </c>
      <c r="L65" s="93">
        <v>0</v>
      </c>
      <c r="M65" s="93">
        <v>0</v>
      </c>
      <c r="N65" s="93">
        <v>0</v>
      </c>
      <c r="O65" s="93">
        <v>0</v>
      </c>
      <c r="P65" s="93">
        <v>0</v>
      </c>
      <c r="Q65" s="93">
        <v>0</v>
      </c>
      <c r="R65" s="93">
        <v>0</v>
      </c>
      <c r="S65" s="93">
        <v>0</v>
      </c>
      <c r="T65" s="93">
        <v>0</v>
      </c>
      <c r="U65" s="93">
        <v>0</v>
      </c>
      <c r="V65" s="93">
        <v>0</v>
      </c>
      <c r="W65" s="93">
        <v>0</v>
      </c>
    </row>
    <row r="66" spans="2:23">
      <c r="B66" s="74" t="s">
        <v>452</v>
      </c>
      <c r="C66" s="77"/>
      <c r="D66" s="83"/>
      <c r="E66" s="83"/>
      <c r="F66" s="83"/>
      <c r="G66" s="83"/>
      <c r="H66" s="83"/>
      <c r="I66" s="83"/>
      <c r="J66" s="83"/>
      <c r="K66" s="83"/>
      <c r="L66" s="83"/>
      <c r="M66" s="83"/>
      <c r="N66" s="83"/>
      <c r="O66" s="83"/>
      <c r="P66" s="83"/>
      <c r="Q66" s="83"/>
      <c r="R66" s="83"/>
      <c r="S66" s="83"/>
      <c r="T66" s="83"/>
      <c r="U66" s="83"/>
      <c r="V66" s="83"/>
      <c r="W66" s="83"/>
    </row>
    <row r="67" spans="2:23">
      <c r="B67" s="81"/>
      <c r="C67" s="89" t="s">
        <v>446</v>
      </c>
      <c r="D67" s="88"/>
      <c r="E67" s="88"/>
      <c r="F67" s="88">
        <v>1</v>
      </c>
      <c r="G67" s="88">
        <v>1</v>
      </c>
      <c r="H67" s="88">
        <v>1</v>
      </c>
      <c r="I67" s="88">
        <v>1</v>
      </c>
      <c r="J67" s="88">
        <v>1</v>
      </c>
      <c r="K67" s="88">
        <v>1</v>
      </c>
      <c r="L67" s="88">
        <v>1</v>
      </c>
      <c r="M67" s="88">
        <v>1</v>
      </c>
      <c r="N67" s="88">
        <v>1</v>
      </c>
      <c r="O67" s="88">
        <v>1</v>
      </c>
      <c r="P67" s="88">
        <v>1</v>
      </c>
      <c r="Q67" s="88">
        <v>1</v>
      </c>
      <c r="R67" s="88">
        <v>1</v>
      </c>
      <c r="S67" s="88">
        <v>1</v>
      </c>
      <c r="T67" s="88">
        <v>1</v>
      </c>
      <c r="U67" s="88">
        <v>1</v>
      </c>
      <c r="V67" s="88">
        <v>1</v>
      </c>
      <c r="W67" s="88">
        <v>1</v>
      </c>
    </row>
    <row r="68" spans="2:23">
      <c r="C68" s="77" t="s">
        <v>437</v>
      </c>
      <c r="D68" s="93"/>
      <c r="E68" s="93"/>
      <c r="F68" s="93">
        <v>1</v>
      </c>
      <c r="G68" s="93">
        <v>1</v>
      </c>
      <c r="H68" s="93">
        <v>1</v>
      </c>
      <c r="I68" s="93">
        <v>1</v>
      </c>
      <c r="J68" s="93">
        <v>1</v>
      </c>
      <c r="K68" s="93">
        <v>1</v>
      </c>
      <c r="L68" s="93">
        <v>1</v>
      </c>
      <c r="M68" s="93">
        <v>1</v>
      </c>
      <c r="N68" s="93">
        <v>1</v>
      </c>
      <c r="O68" s="93">
        <v>1</v>
      </c>
      <c r="P68" s="93">
        <v>1</v>
      </c>
      <c r="Q68" s="93">
        <v>1</v>
      </c>
      <c r="R68" s="93">
        <v>1</v>
      </c>
      <c r="S68" s="93">
        <v>1</v>
      </c>
      <c r="T68" s="93">
        <v>1</v>
      </c>
      <c r="U68" s="93">
        <v>1</v>
      </c>
      <c r="V68" s="93">
        <v>1</v>
      </c>
      <c r="W68" s="93">
        <v>1</v>
      </c>
    </row>
    <row r="69" spans="2:23">
      <c r="C69" s="77" t="s">
        <v>447</v>
      </c>
      <c r="D69" s="93"/>
      <c r="E69" s="93"/>
      <c r="F69" s="93">
        <v>0</v>
      </c>
      <c r="G69" s="93">
        <v>0</v>
      </c>
      <c r="H69" s="93">
        <v>0</v>
      </c>
      <c r="I69" s="93">
        <v>0</v>
      </c>
      <c r="J69" s="93">
        <v>0</v>
      </c>
      <c r="K69" s="93">
        <v>0</v>
      </c>
      <c r="L69" s="93">
        <v>0</v>
      </c>
      <c r="M69" s="93">
        <v>0</v>
      </c>
      <c r="N69" s="93">
        <v>0</v>
      </c>
      <c r="O69" s="93">
        <v>0</v>
      </c>
      <c r="P69" s="93">
        <v>0</v>
      </c>
      <c r="Q69" s="93">
        <v>0</v>
      </c>
      <c r="R69" s="93">
        <v>0</v>
      </c>
      <c r="S69" s="93">
        <v>0</v>
      </c>
      <c r="T69" s="93">
        <v>0</v>
      </c>
      <c r="U69" s="93">
        <v>0</v>
      </c>
      <c r="V69" s="93">
        <v>0</v>
      </c>
      <c r="W69" s="93">
        <v>0</v>
      </c>
    </row>
    <row r="70" spans="2:23">
      <c r="B70" s="74" t="s">
        <v>453</v>
      </c>
      <c r="C70" s="77"/>
      <c r="D70" s="83"/>
      <c r="E70" s="83"/>
      <c r="F70" s="83"/>
      <c r="G70" s="83"/>
      <c r="H70" s="83"/>
      <c r="I70" s="83"/>
      <c r="J70" s="83"/>
      <c r="K70" s="83"/>
      <c r="L70" s="83"/>
      <c r="M70" s="83"/>
      <c r="N70" s="83"/>
      <c r="O70" s="83"/>
      <c r="P70" s="83"/>
      <c r="Q70" s="83"/>
      <c r="R70" s="83"/>
      <c r="S70" s="83"/>
      <c r="T70" s="83"/>
      <c r="U70" s="83"/>
      <c r="V70" s="83"/>
      <c r="W70" s="83"/>
    </row>
    <row r="71" spans="2:23">
      <c r="B71" s="81"/>
      <c r="C71" s="89" t="s">
        <v>446</v>
      </c>
      <c r="D71" s="88"/>
      <c r="E71" s="88"/>
      <c r="F71" s="88">
        <v>1</v>
      </c>
      <c r="G71" s="88">
        <v>1</v>
      </c>
      <c r="H71" s="88">
        <v>1</v>
      </c>
      <c r="I71" s="88">
        <v>1</v>
      </c>
      <c r="J71" s="88">
        <v>1</v>
      </c>
      <c r="K71" s="88">
        <v>1</v>
      </c>
      <c r="L71" s="88">
        <v>1</v>
      </c>
      <c r="M71" s="88">
        <v>1</v>
      </c>
      <c r="N71" s="88">
        <v>1</v>
      </c>
      <c r="O71" s="88">
        <v>1</v>
      </c>
      <c r="P71" s="88">
        <v>1</v>
      </c>
      <c r="Q71" s="88">
        <v>1</v>
      </c>
      <c r="R71" s="88">
        <v>1</v>
      </c>
      <c r="S71" s="88">
        <v>1</v>
      </c>
      <c r="T71" s="88">
        <v>1</v>
      </c>
      <c r="U71" s="88">
        <v>1</v>
      </c>
      <c r="V71" s="88">
        <v>1</v>
      </c>
      <c r="W71" s="88">
        <v>1</v>
      </c>
    </row>
    <row r="72" spans="2:23">
      <c r="C72" s="77" t="s">
        <v>437</v>
      </c>
      <c r="D72" s="93"/>
      <c r="E72" s="93"/>
      <c r="F72" s="93">
        <v>1</v>
      </c>
      <c r="G72" s="93">
        <v>1</v>
      </c>
      <c r="H72" s="93">
        <v>1</v>
      </c>
      <c r="I72" s="93">
        <v>1</v>
      </c>
      <c r="J72" s="93">
        <v>1</v>
      </c>
      <c r="K72" s="93">
        <v>1</v>
      </c>
      <c r="L72" s="93">
        <v>1</v>
      </c>
      <c r="M72" s="93">
        <v>1</v>
      </c>
      <c r="N72" s="93">
        <v>1</v>
      </c>
      <c r="O72" s="93">
        <v>1</v>
      </c>
      <c r="P72" s="93">
        <v>1</v>
      </c>
      <c r="Q72" s="93">
        <v>1</v>
      </c>
      <c r="R72" s="93">
        <v>1</v>
      </c>
      <c r="S72" s="93">
        <v>1</v>
      </c>
      <c r="T72" s="93">
        <v>1</v>
      </c>
      <c r="U72" s="93">
        <v>1</v>
      </c>
      <c r="V72" s="93">
        <v>1</v>
      </c>
      <c r="W72" s="93">
        <v>1</v>
      </c>
    </row>
    <row r="73" spans="2:23">
      <c r="C73" s="77" t="s">
        <v>447</v>
      </c>
      <c r="D73" s="93"/>
      <c r="E73" s="93"/>
      <c r="F73" s="93">
        <v>0</v>
      </c>
      <c r="G73" s="93">
        <v>0</v>
      </c>
      <c r="H73" s="93">
        <v>0</v>
      </c>
      <c r="I73" s="93">
        <v>0</v>
      </c>
      <c r="J73" s="93">
        <v>0</v>
      </c>
      <c r="K73" s="93">
        <v>0</v>
      </c>
      <c r="L73" s="93">
        <v>0</v>
      </c>
      <c r="M73" s="93">
        <v>0</v>
      </c>
      <c r="N73" s="93">
        <v>0</v>
      </c>
      <c r="O73" s="93">
        <v>0</v>
      </c>
      <c r="P73" s="93">
        <v>0</v>
      </c>
      <c r="Q73" s="93">
        <v>0</v>
      </c>
      <c r="R73" s="93">
        <v>0</v>
      </c>
      <c r="S73" s="93">
        <v>0</v>
      </c>
      <c r="T73" s="93">
        <v>0</v>
      </c>
      <c r="U73" s="93">
        <v>0</v>
      </c>
      <c r="V73" s="93">
        <v>0</v>
      </c>
      <c r="W73" s="93">
        <v>0</v>
      </c>
    </row>
    <row r="74" spans="2:23">
      <c r="B74" s="74" t="s">
        <v>454</v>
      </c>
      <c r="C74" s="77"/>
      <c r="D74" s="83"/>
      <c r="E74" s="83"/>
      <c r="F74" s="83"/>
      <c r="G74" s="83"/>
      <c r="H74" s="83"/>
      <c r="I74" s="83"/>
      <c r="J74" s="83"/>
      <c r="K74" s="83"/>
      <c r="L74" s="83"/>
      <c r="M74" s="83"/>
      <c r="N74" s="83"/>
      <c r="O74" s="83"/>
      <c r="P74" s="83"/>
      <c r="Q74" s="83"/>
      <c r="R74" s="83"/>
      <c r="S74" s="83"/>
      <c r="T74" s="83"/>
      <c r="U74" s="83"/>
      <c r="V74" s="83"/>
      <c r="W74" s="83"/>
    </row>
    <row r="75" spans="2:23">
      <c r="B75" s="81"/>
      <c r="C75" s="89" t="s">
        <v>446</v>
      </c>
      <c r="D75" s="88"/>
      <c r="E75" s="88"/>
      <c r="F75" s="88">
        <v>1</v>
      </c>
      <c r="G75" s="88">
        <v>1</v>
      </c>
      <c r="H75" s="88">
        <v>1</v>
      </c>
      <c r="I75" s="88">
        <v>1</v>
      </c>
      <c r="J75" s="88">
        <v>1</v>
      </c>
      <c r="K75" s="88">
        <v>1</v>
      </c>
      <c r="L75" s="88">
        <v>1</v>
      </c>
      <c r="M75" s="88">
        <v>1</v>
      </c>
      <c r="N75" s="88">
        <v>1</v>
      </c>
      <c r="O75" s="88">
        <v>1</v>
      </c>
      <c r="P75" s="88">
        <v>1</v>
      </c>
      <c r="Q75" s="88">
        <v>1</v>
      </c>
      <c r="R75" s="88">
        <v>1</v>
      </c>
      <c r="S75" s="88">
        <v>1</v>
      </c>
      <c r="T75" s="88">
        <v>1</v>
      </c>
      <c r="U75" s="88">
        <v>1</v>
      </c>
      <c r="V75" s="88">
        <v>1</v>
      </c>
      <c r="W75" s="88">
        <v>1</v>
      </c>
    </row>
    <row r="76" spans="2:23">
      <c r="C76" s="77" t="s">
        <v>437</v>
      </c>
      <c r="D76" s="93"/>
      <c r="E76" s="93"/>
      <c r="F76" s="93">
        <v>1</v>
      </c>
      <c r="G76" s="93">
        <v>1</v>
      </c>
      <c r="H76" s="93">
        <v>1</v>
      </c>
      <c r="I76" s="93">
        <v>1</v>
      </c>
      <c r="J76" s="93">
        <v>1</v>
      </c>
      <c r="K76" s="93">
        <v>1</v>
      </c>
      <c r="L76" s="93">
        <v>1</v>
      </c>
      <c r="M76" s="93">
        <v>1</v>
      </c>
      <c r="N76" s="93">
        <v>1</v>
      </c>
      <c r="O76" s="93">
        <v>1</v>
      </c>
      <c r="P76" s="93">
        <v>1</v>
      </c>
      <c r="Q76" s="93">
        <v>1</v>
      </c>
      <c r="R76" s="93">
        <v>1</v>
      </c>
      <c r="S76" s="93">
        <v>1</v>
      </c>
      <c r="T76" s="93">
        <v>1</v>
      </c>
      <c r="U76" s="93">
        <v>1</v>
      </c>
      <c r="V76" s="93">
        <v>1</v>
      </c>
      <c r="W76" s="93">
        <v>1</v>
      </c>
    </row>
    <row r="77" spans="2:23">
      <c r="C77" s="77" t="s">
        <v>447</v>
      </c>
      <c r="D77" s="93"/>
      <c r="E77" s="93"/>
      <c r="F77" s="93">
        <v>0</v>
      </c>
      <c r="G77" s="93">
        <v>0</v>
      </c>
      <c r="H77" s="93">
        <v>0</v>
      </c>
      <c r="I77" s="93">
        <v>0</v>
      </c>
      <c r="J77" s="93">
        <v>0</v>
      </c>
      <c r="K77" s="93">
        <v>0</v>
      </c>
      <c r="L77" s="93">
        <v>0</v>
      </c>
      <c r="M77" s="93">
        <v>0</v>
      </c>
      <c r="N77" s="93">
        <v>0</v>
      </c>
      <c r="O77" s="93">
        <v>0</v>
      </c>
      <c r="P77" s="93">
        <v>0</v>
      </c>
      <c r="Q77" s="93">
        <v>0</v>
      </c>
      <c r="R77" s="93">
        <v>0</v>
      </c>
      <c r="S77" s="93">
        <v>0</v>
      </c>
      <c r="T77" s="93">
        <v>0</v>
      </c>
      <c r="U77" s="93">
        <v>0</v>
      </c>
      <c r="V77" s="93">
        <v>0</v>
      </c>
      <c r="W77" s="93">
        <v>0</v>
      </c>
    </row>
    <row r="78" spans="2:23">
      <c r="B78" s="74" t="s">
        <v>455</v>
      </c>
      <c r="C78" s="77"/>
      <c r="D78" s="83"/>
      <c r="E78" s="83"/>
      <c r="F78" s="83"/>
      <c r="G78" s="83"/>
      <c r="H78" s="83"/>
      <c r="I78" s="83"/>
      <c r="J78" s="83"/>
      <c r="K78" s="83"/>
      <c r="L78" s="83"/>
      <c r="M78" s="83"/>
      <c r="N78" s="83"/>
      <c r="O78" s="83"/>
      <c r="P78" s="83"/>
      <c r="Q78" s="83"/>
      <c r="R78" s="83"/>
      <c r="S78" s="83"/>
      <c r="T78" s="83"/>
      <c r="U78" s="83"/>
      <c r="V78" s="83"/>
      <c r="W78" s="83"/>
    </row>
    <row r="79" spans="2:23">
      <c r="B79" s="81"/>
      <c r="C79" s="89" t="s">
        <v>446</v>
      </c>
      <c r="D79" s="88"/>
      <c r="E79" s="88"/>
      <c r="F79" s="88">
        <v>1</v>
      </c>
      <c r="G79" s="88">
        <v>1</v>
      </c>
      <c r="H79" s="88">
        <v>1</v>
      </c>
      <c r="I79" s="88">
        <v>1</v>
      </c>
      <c r="J79" s="88">
        <v>1</v>
      </c>
      <c r="K79" s="88">
        <v>1</v>
      </c>
      <c r="L79" s="88">
        <v>1</v>
      </c>
      <c r="M79" s="88">
        <v>1</v>
      </c>
      <c r="N79" s="88">
        <v>1</v>
      </c>
      <c r="O79" s="88">
        <v>1</v>
      </c>
      <c r="P79" s="88">
        <v>1</v>
      </c>
      <c r="Q79" s="88">
        <v>1</v>
      </c>
      <c r="R79" s="88">
        <v>1</v>
      </c>
      <c r="S79" s="88">
        <v>1</v>
      </c>
      <c r="T79" s="88">
        <v>1</v>
      </c>
      <c r="U79" s="88">
        <v>1</v>
      </c>
      <c r="V79" s="88">
        <v>1</v>
      </c>
      <c r="W79" s="88">
        <v>1</v>
      </c>
    </row>
    <row r="80" spans="2:23">
      <c r="C80" s="77" t="s">
        <v>437</v>
      </c>
      <c r="D80" s="93"/>
      <c r="E80" s="93"/>
      <c r="F80" s="93">
        <v>1</v>
      </c>
      <c r="G80" s="93">
        <v>1</v>
      </c>
      <c r="H80" s="93">
        <v>1</v>
      </c>
      <c r="I80" s="93">
        <v>1</v>
      </c>
      <c r="J80" s="93">
        <v>1</v>
      </c>
      <c r="K80" s="93">
        <v>1</v>
      </c>
      <c r="L80" s="93">
        <v>1</v>
      </c>
      <c r="M80" s="93">
        <v>1</v>
      </c>
      <c r="N80" s="93">
        <v>1</v>
      </c>
      <c r="O80" s="93">
        <v>1</v>
      </c>
      <c r="P80" s="93">
        <v>1</v>
      </c>
      <c r="Q80" s="93">
        <v>1</v>
      </c>
      <c r="R80" s="93">
        <v>1</v>
      </c>
      <c r="S80" s="93">
        <v>1</v>
      </c>
      <c r="T80" s="93">
        <v>1</v>
      </c>
      <c r="U80" s="93">
        <v>1</v>
      </c>
      <c r="V80" s="93">
        <v>1</v>
      </c>
      <c r="W80" s="93">
        <v>1</v>
      </c>
    </row>
    <row r="81" spans="1:29">
      <c r="C81" s="77" t="s">
        <v>447</v>
      </c>
      <c r="D81" s="93"/>
      <c r="E81" s="93"/>
      <c r="F81" s="93">
        <v>0</v>
      </c>
      <c r="G81" s="93">
        <v>0</v>
      </c>
      <c r="H81" s="93">
        <v>0</v>
      </c>
      <c r="I81" s="93">
        <v>0</v>
      </c>
      <c r="J81" s="93">
        <v>0</v>
      </c>
      <c r="K81" s="93">
        <v>0</v>
      </c>
      <c r="L81" s="93">
        <v>0</v>
      </c>
      <c r="M81" s="93">
        <v>0</v>
      </c>
      <c r="N81" s="93">
        <v>0</v>
      </c>
      <c r="O81" s="93">
        <v>0</v>
      </c>
      <c r="P81" s="93">
        <v>0</v>
      </c>
      <c r="Q81" s="93">
        <v>0</v>
      </c>
      <c r="R81" s="93">
        <v>0</v>
      </c>
      <c r="S81" s="93">
        <v>0</v>
      </c>
      <c r="T81" s="93">
        <v>0</v>
      </c>
      <c r="U81" s="93">
        <v>0</v>
      </c>
      <c r="V81" s="93">
        <v>0</v>
      </c>
      <c r="W81" s="93">
        <v>0</v>
      </c>
    </row>
    <row r="82" spans="1:29">
      <c r="B82" s="74" t="s">
        <v>456</v>
      </c>
      <c r="C82" s="77"/>
      <c r="D82" s="83"/>
      <c r="E82" s="83"/>
      <c r="F82" s="83"/>
      <c r="G82" s="83"/>
      <c r="H82" s="83"/>
      <c r="I82" s="83"/>
      <c r="J82" s="83"/>
      <c r="K82" s="83"/>
      <c r="L82" s="83"/>
      <c r="M82" s="83"/>
      <c r="N82" s="83"/>
      <c r="O82" s="83"/>
      <c r="P82" s="83"/>
      <c r="Q82" s="83"/>
      <c r="R82" s="83"/>
      <c r="S82" s="83"/>
      <c r="T82" s="83"/>
      <c r="U82" s="83"/>
      <c r="V82" s="83"/>
      <c r="W82" s="83"/>
    </row>
    <row r="83" spans="1:29">
      <c r="B83" s="81"/>
      <c r="C83" s="89" t="s">
        <v>446</v>
      </c>
      <c r="D83" s="88"/>
      <c r="E83" s="88"/>
      <c r="F83" s="88">
        <v>1</v>
      </c>
      <c r="G83" s="88">
        <v>1</v>
      </c>
      <c r="H83" s="88">
        <v>1</v>
      </c>
      <c r="I83" s="88">
        <v>1</v>
      </c>
      <c r="J83" s="88">
        <v>1</v>
      </c>
      <c r="K83" s="88">
        <v>1</v>
      </c>
      <c r="L83" s="88">
        <v>1</v>
      </c>
      <c r="M83" s="88">
        <v>1</v>
      </c>
      <c r="N83" s="88">
        <v>1</v>
      </c>
      <c r="O83" s="88">
        <v>1</v>
      </c>
      <c r="P83" s="88">
        <v>1</v>
      </c>
      <c r="Q83" s="88">
        <v>1</v>
      </c>
      <c r="R83" s="88">
        <v>1</v>
      </c>
      <c r="S83" s="88">
        <v>1</v>
      </c>
      <c r="T83" s="88">
        <v>1</v>
      </c>
      <c r="U83" s="88">
        <v>1</v>
      </c>
      <c r="V83" s="88">
        <v>1</v>
      </c>
      <c r="W83" s="88">
        <v>1</v>
      </c>
    </row>
    <row r="84" spans="1:29">
      <c r="C84" s="77" t="s">
        <v>437</v>
      </c>
      <c r="D84" s="93"/>
      <c r="E84" s="93"/>
      <c r="F84" s="93">
        <v>1</v>
      </c>
      <c r="G84" s="93">
        <v>1</v>
      </c>
      <c r="H84" s="93">
        <v>1</v>
      </c>
      <c r="I84" s="93">
        <v>1</v>
      </c>
      <c r="J84" s="93">
        <v>1</v>
      </c>
      <c r="K84" s="93">
        <v>1</v>
      </c>
      <c r="L84" s="93">
        <v>1</v>
      </c>
      <c r="M84" s="93">
        <v>1</v>
      </c>
      <c r="N84" s="93">
        <v>1</v>
      </c>
      <c r="O84" s="93">
        <v>1</v>
      </c>
      <c r="P84" s="93">
        <v>1</v>
      </c>
      <c r="Q84" s="93">
        <v>1</v>
      </c>
      <c r="R84" s="93">
        <v>1</v>
      </c>
      <c r="S84" s="93">
        <v>1</v>
      </c>
      <c r="T84" s="93">
        <v>1</v>
      </c>
      <c r="U84" s="93">
        <v>1</v>
      </c>
      <c r="V84" s="93">
        <v>1</v>
      </c>
      <c r="W84" s="93">
        <v>1</v>
      </c>
    </row>
    <row r="85" spans="1:29">
      <c r="C85" s="77" t="s">
        <v>447</v>
      </c>
      <c r="D85" s="93"/>
      <c r="E85" s="93"/>
      <c r="F85" s="93">
        <v>0</v>
      </c>
      <c r="G85" s="93">
        <v>0</v>
      </c>
      <c r="H85" s="93">
        <v>0</v>
      </c>
      <c r="I85" s="93">
        <v>0</v>
      </c>
      <c r="J85" s="93">
        <v>0</v>
      </c>
      <c r="K85" s="93">
        <v>0</v>
      </c>
      <c r="L85" s="93">
        <v>0</v>
      </c>
      <c r="M85" s="93">
        <v>0</v>
      </c>
      <c r="N85" s="93">
        <v>0</v>
      </c>
      <c r="O85" s="93">
        <v>0</v>
      </c>
      <c r="P85" s="93">
        <v>0</v>
      </c>
      <c r="Q85" s="93">
        <v>0</v>
      </c>
      <c r="R85" s="93">
        <v>0</v>
      </c>
      <c r="S85" s="93">
        <v>0</v>
      </c>
      <c r="T85" s="93">
        <v>0</v>
      </c>
      <c r="U85" s="93">
        <v>0</v>
      </c>
      <c r="V85" s="93">
        <v>0</v>
      </c>
      <c r="W85" s="93">
        <v>0</v>
      </c>
    </row>
    <row r="86" spans="1:29">
      <c r="C86" s="77"/>
      <c r="D86" s="77"/>
      <c r="E86" s="77"/>
      <c r="F86" s="83"/>
      <c r="G86" s="83"/>
      <c r="H86" s="83"/>
      <c r="I86" s="83"/>
      <c r="J86" s="83"/>
      <c r="K86" s="83"/>
      <c r="L86" s="83"/>
      <c r="M86" s="83"/>
      <c r="N86" s="83"/>
      <c r="O86" s="83"/>
      <c r="P86" s="83"/>
      <c r="Q86" s="83"/>
      <c r="R86" s="83"/>
      <c r="S86" s="83"/>
      <c r="T86" s="83"/>
      <c r="U86" s="83"/>
      <c r="V86" s="83"/>
      <c r="W86" s="83"/>
    </row>
    <row r="87" spans="1:29">
      <c r="A87" s="77" t="s">
        <v>429</v>
      </c>
      <c r="C87" s="74"/>
      <c r="D87" s="74"/>
      <c r="E87" s="74"/>
      <c r="F87" s="74"/>
      <c r="G87" s="74"/>
      <c r="H87" s="74"/>
    </row>
    <row r="88" spans="1:29">
      <c r="B88" s="74" t="s">
        <v>430</v>
      </c>
      <c r="C88" s="77"/>
      <c r="D88" s="77"/>
      <c r="E88" s="77"/>
      <c r="F88" s="82">
        <f t="shared" ref="F88:U92" si="9">F28*F$107</f>
        <v>0</v>
      </c>
      <c r="G88" s="82">
        <f t="shared" si="9"/>
        <v>0</v>
      </c>
      <c r="H88" s="82">
        <f t="shared" si="9"/>
        <v>0</v>
      </c>
      <c r="I88" s="82">
        <f t="shared" si="9"/>
        <v>0</v>
      </c>
      <c r="J88" s="82">
        <f t="shared" si="9"/>
        <v>0</v>
      </c>
      <c r="K88" s="82">
        <f t="shared" si="9"/>
        <v>0</v>
      </c>
      <c r="L88" s="82">
        <f t="shared" si="9"/>
        <v>0</v>
      </c>
      <c r="M88" s="82">
        <f t="shared" si="9"/>
        <v>0</v>
      </c>
      <c r="N88" s="82">
        <f t="shared" si="9"/>
        <v>0</v>
      </c>
      <c r="O88" s="82">
        <f t="shared" si="9"/>
        <v>0</v>
      </c>
      <c r="P88" s="82">
        <f t="shared" si="9"/>
        <v>0</v>
      </c>
      <c r="Q88" s="82">
        <f t="shared" si="9"/>
        <v>0</v>
      </c>
      <c r="R88" s="82">
        <f t="shared" si="9"/>
        <v>0</v>
      </c>
      <c r="S88" s="82">
        <f t="shared" si="9"/>
        <v>0</v>
      </c>
      <c r="T88" s="82">
        <f t="shared" si="9"/>
        <v>0</v>
      </c>
      <c r="U88" s="82">
        <f t="shared" si="9"/>
        <v>0</v>
      </c>
      <c r="V88" s="82">
        <f>V28*V$107</f>
        <v>0</v>
      </c>
    </row>
    <row r="89" spans="1:29">
      <c r="C89" s="74" t="s">
        <v>431</v>
      </c>
      <c r="D89" s="74"/>
      <c r="E89" s="74"/>
      <c r="F89" s="82">
        <f t="shared" si="9"/>
        <v>0</v>
      </c>
      <c r="G89" s="82">
        <f t="shared" si="9"/>
        <v>0</v>
      </c>
      <c r="H89" s="82">
        <f t="shared" si="9"/>
        <v>0</v>
      </c>
      <c r="I89" s="82">
        <f t="shared" si="9"/>
        <v>0</v>
      </c>
      <c r="J89" s="82">
        <f t="shared" si="9"/>
        <v>0</v>
      </c>
      <c r="K89" s="82">
        <f t="shared" si="9"/>
        <v>0</v>
      </c>
      <c r="L89" s="82">
        <f t="shared" si="9"/>
        <v>0</v>
      </c>
      <c r="M89" s="82">
        <f t="shared" si="9"/>
        <v>0</v>
      </c>
      <c r="N89" s="82">
        <f t="shared" si="9"/>
        <v>0</v>
      </c>
      <c r="O89" s="82">
        <f t="shared" si="9"/>
        <v>0</v>
      </c>
      <c r="P89" s="82">
        <f t="shared" si="9"/>
        <v>0</v>
      </c>
      <c r="Q89" s="82">
        <f t="shared" si="9"/>
        <v>0</v>
      </c>
      <c r="R89" s="82">
        <f t="shared" si="9"/>
        <v>0</v>
      </c>
      <c r="S89" s="82">
        <f t="shared" si="9"/>
        <v>0</v>
      </c>
      <c r="T89" s="82">
        <f t="shared" si="9"/>
        <v>0</v>
      </c>
      <c r="U89" s="82">
        <f>U29*U$107</f>
        <v>0</v>
      </c>
      <c r="V89" s="82">
        <f>V29*V$107</f>
        <v>0</v>
      </c>
      <c r="W89" s="83"/>
      <c r="Y89" s="87"/>
      <c r="Z89" s="87"/>
      <c r="AA89" s="87"/>
      <c r="AB89" s="87"/>
      <c r="AC89" s="87"/>
    </row>
    <row r="90" spans="1:29">
      <c r="C90" s="74" t="s">
        <v>432</v>
      </c>
      <c r="D90" s="74"/>
      <c r="E90" s="74"/>
      <c r="F90" s="82">
        <f t="shared" si="9"/>
        <v>0</v>
      </c>
      <c r="G90" s="82">
        <f t="shared" si="9"/>
        <v>0</v>
      </c>
      <c r="H90" s="82">
        <f t="shared" si="9"/>
        <v>0</v>
      </c>
      <c r="I90" s="82">
        <f t="shared" si="9"/>
        <v>0</v>
      </c>
      <c r="J90" s="82">
        <f t="shared" si="9"/>
        <v>0</v>
      </c>
      <c r="K90" s="82">
        <f t="shared" si="9"/>
        <v>0</v>
      </c>
      <c r="L90" s="82">
        <f t="shared" si="9"/>
        <v>0</v>
      </c>
      <c r="M90" s="82">
        <f t="shared" si="9"/>
        <v>0</v>
      </c>
      <c r="N90" s="82">
        <f t="shared" si="9"/>
        <v>0</v>
      </c>
      <c r="O90" s="82">
        <f t="shared" si="9"/>
        <v>0</v>
      </c>
      <c r="P90" s="82">
        <f t="shared" si="9"/>
        <v>0</v>
      </c>
      <c r="Q90" s="82">
        <f t="shared" si="9"/>
        <v>0</v>
      </c>
      <c r="R90" s="82">
        <f t="shared" si="9"/>
        <v>0</v>
      </c>
      <c r="S90" s="82">
        <f t="shared" si="9"/>
        <v>0</v>
      </c>
      <c r="T90" s="82">
        <f t="shared" si="9"/>
        <v>0</v>
      </c>
      <c r="U90" s="82">
        <f>U30*U$107</f>
        <v>0</v>
      </c>
      <c r="V90" s="82">
        <f>V30*V$107</f>
        <v>0</v>
      </c>
      <c r="W90" s="83"/>
      <c r="Y90" s="87"/>
      <c r="Z90" s="87"/>
      <c r="AA90" s="87"/>
      <c r="AB90" s="87"/>
      <c r="AC90" s="87"/>
    </row>
    <row r="91" spans="1:29">
      <c r="C91" s="74" t="s">
        <v>433</v>
      </c>
      <c r="D91" s="74"/>
      <c r="E91" s="74"/>
      <c r="F91" s="82">
        <f t="shared" si="9"/>
        <v>0</v>
      </c>
      <c r="G91" s="82">
        <f t="shared" si="9"/>
        <v>0</v>
      </c>
      <c r="H91" s="82">
        <f t="shared" si="9"/>
        <v>0</v>
      </c>
      <c r="I91" s="82">
        <f t="shared" si="9"/>
        <v>0</v>
      </c>
      <c r="J91" s="82">
        <f t="shared" si="9"/>
        <v>0</v>
      </c>
      <c r="K91" s="82">
        <f t="shared" si="9"/>
        <v>0</v>
      </c>
      <c r="L91" s="82">
        <f t="shared" si="9"/>
        <v>0</v>
      </c>
      <c r="M91" s="82">
        <f t="shared" si="9"/>
        <v>0</v>
      </c>
      <c r="N91" s="82">
        <f t="shared" si="9"/>
        <v>0</v>
      </c>
      <c r="O91" s="82">
        <f t="shared" si="9"/>
        <v>0</v>
      </c>
      <c r="P91" s="82">
        <f t="shared" si="9"/>
        <v>0</v>
      </c>
      <c r="Q91" s="82">
        <f t="shared" si="9"/>
        <v>0</v>
      </c>
      <c r="R91" s="82">
        <f t="shared" si="9"/>
        <v>0</v>
      </c>
      <c r="S91" s="82">
        <f t="shared" si="9"/>
        <v>0</v>
      </c>
      <c r="T91" s="82">
        <f t="shared" si="9"/>
        <v>0</v>
      </c>
      <c r="U91" s="82">
        <f>U31*U$107</f>
        <v>0</v>
      </c>
      <c r="V91" s="82">
        <f>V31*V$107</f>
        <v>0</v>
      </c>
      <c r="W91" s="83"/>
      <c r="Y91" s="87"/>
      <c r="Z91" s="87"/>
      <c r="AA91" s="87"/>
      <c r="AB91" s="87"/>
      <c r="AC91" s="87"/>
    </row>
    <row r="92" spans="1:29">
      <c r="B92" s="74" t="s">
        <v>434</v>
      </c>
      <c r="C92" s="77"/>
      <c r="D92" s="77"/>
      <c r="E92" s="77"/>
      <c r="F92" s="82">
        <f t="shared" si="9"/>
        <v>0</v>
      </c>
      <c r="G92" s="82">
        <f t="shared" si="9"/>
        <v>0</v>
      </c>
      <c r="H92" s="82">
        <f t="shared" si="9"/>
        <v>0</v>
      </c>
      <c r="I92" s="82">
        <f t="shared" si="9"/>
        <v>0</v>
      </c>
      <c r="J92" s="82">
        <f t="shared" si="9"/>
        <v>0</v>
      </c>
      <c r="K92" s="82">
        <f t="shared" si="9"/>
        <v>0</v>
      </c>
      <c r="L92" s="82">
        <f t="shared" si="9"/>
        <v>0</v>
      </c>
      <c r="M92" s="82">
        <f t="shared" si="9"/>
        <v>0</v>
      </c>
      <c r="N92" s="82">
        <f t="shared" si="9"/>
        <v>0</v>
      </c>
      <c r="O92" s="82">
        <f t="shared" si="9"/>
        <v>0</v>
      </c>
      <c r="P92" s="82">
        <f t="shared" si="9"/>
        <v>0</v>
      </c>
      <c r="Q92" s="82">
        <f t="shared" si="9"/>
        <v>0</v>
      </c>
      <c r="R92" s="82">
        <f t="shared" si="9"/>
        <v>0</v>
      </c>
      <c r="S92" s="82">
        <f t="shared" si="9"/>
        <v>0</v>
      </c>
      <c r="T92" s="82">
        <f t="shared" si="9"/>
        <v>0</v>
      </c>
      <c r="U92" s="82">
        <f>U32*U$107</f>
        <v>0</v>
      </c>
      <c r="V92" s="82">
        <f>V32*V$107</f>
        <v>0</v>
      </c>
      <c r="W92" s="83"/>
      <c r="Y92" s="87"/>
      <c r="Z92" s="87"/>
      <c r="AA92" s="87"/>
      <c r="AB92" s="87"/>
      <c r="AC92" s="87"/>
    </row>
    <row r="93" spans="1:29">
      <c r="C93" s="77"/>
      <c r="D93" s="77"/>
      <c r="E93" s="77"/>
      <c r="F93" s="74"/>
      <c r="G93" s="74"/>
      <c r="H93" s="74"/>
      <c r="N93" s="94"/>
    </row>
    <row r="94" spans="1:29">
      <c r="A94" s="74" t="s">
        <v>457</v>
      </c>
      <c r="C94" s="77"/>
      <c r="D94" s="77"/>
      <c r="E94" s="77"/>
      <c r="F94" s="74"/>
      <c r="G94" s="74"/>
      <c r="H94" s="74"/>
    </row>
    <row r="95" spans="1:29">
      <c r="B95" s="74" t="s">
        <v>458</v>
      </c>
      <c r="C95" s="77"/>
      <c r="D95" s="77"/>
      <c r="E95" s="77"/>
      <c r="F95" s="82">
        <f>F89</f>
        <v>0</v>
      </c>
      <c r="G95" s="82">
        <f>G89</f>
        <v>0</v>
      </c>
      <c r="H95" s="82">
        <f>H89</f>
        <v>0</v>
      </c>
      <c r="I95" s="82">
        <f>I89</f>
        <v>0</v>
      </c>
      <c r="J95" s="82">
        <f t="shared" ref="J95:U95" si="10">J89</f>
        <v>0</v>
      </c>
      <c r="K95" s="82">
        <f t="shared" si="10"/>
        <v>0</v>
      </c>
      <c r="L95" s="82">
        <f t="shared" si="10"/>
        <v>0</v>
      </c>
      <c r="M95" s="82">
        <f t="shared" si="10"/>
        <v>0</v>
      </c>
      <c r="N95" s="82">
        <f t="shared" si="10"/>
        <v>0</v>
      </c>
      <c r="O95" s="82">
        <f t="shared" si="10"/>
        <v>0</v>
      </c>
      <c r="P95" s="82">
        <f t="shared" si="10"/>
        <v>0</v>
      </c>
      <c r="Q95" s="82">
        <f t="shared" si="10"/>
        <v>0</v>
      </c>
      <c r="R95" s="82">
        <f t="shared" si="10"/>
        <v>0</v>
      </c>
      <c r="S95" s="82">
        <f t="shared" si="10"/>
        <v>0</v>
      </c>
      <c r="T95" s="82">
        <f t="shared" si="10"/>
        <v>0</v>
      </c>
      <c r="U95" s="82">
        <f t="shared" si="10"/>
        <v>0</v>
      </c>
      <c r="V95" s="82">
        <f>V89</f>
        <v>0</v>
      </c>
    </row>
    <row r="96" spans="1:29">
      <c r="C96" s="77" t="s">
        <v>459</v>
      </c>
      <c r="D96" s="77"/>
      <c r="E96" s="77"/>
      <c r="F96" s="81">
        <f>F35/F$107</f>
        <v>0</v>
      </c>
      <c r="G96" s="81">
        <f>G35/G$107</f>
        <v>0</v>
      </c>
      <c r="H96" s="81">
        <f>H35/H$107</f>
        <v>0</v>
      </c>
      <c r="I96" s="81">
        <f>I35/I$107</f>
        <v>0</v>
      </c>
      <c r="J96" s="81">
        <f t="shared" ref="J96:U96" si="11">J35/J$107</f>
        <v>0</v>
      </c>
      <c r="K96" s="81">
        <f t="shared" si="11"/>
        <v>0</v>
      </c>
      <c r="L96" s="81">
        <f t="shared" si="11"/>
        <v>0</v>
      </c>
      <c r="M96" s="81">
        <f t="shared" si="11"/>
        <v>0</v>
      </c>
      <c r="N96" s="81">
        <f t="shared" si="11"/>
        <v>0</v>
      </c>
      <c r="O96" s="81">
        <f t="shared" si="11"/>
        <v>0</v>
      </c>
      <c r="P96" s="81">
        <f t="shared" si="11"/>
        <v>0</v>
      </c>
      <c r="Q96" s="81">
        <f t="shared" si="11"/>
        <v>0</v>
      </c>
      <c r="R96" s="81">
        <f t="shared" si="11"/>
        <v>0</v>
      </c>
      <c r="S96" s="81">
        <f t="shared" si="11"/>
        <v>0</v>
      </c>
      <c r="T96" s="81">
        <f t="shared" si="11"/>
        <v>0</v>
      </c>
      <c r="U96" s="81">
        <f t="shared" si="11"/>
        <v>0</v>
      </c>
      <c r="V96" s="81">
        <f>V35/V$107</f>
        <v>0</v>
      </c>
    </row>
    <row r="97" spans="1:22">
      <c r="C97" s="77" t="s">
        <v>437</v>
      </c>
      <c r="D97" s="77"/>
      <c r="E97" s="77"/>
      <c r="F97" s="82">
        <f>F36</f>
        <v>0</v>
      </c>
      <c r="G97" s="82">
        <f>G36</f>
        <v>0</v>
      </c>
      <c r="H97" s="82">
        <f>H36</f>
        <v>0</v>
      </c>
      <c r="I97" s="82">
        <f>I36</f>
        <v>0</v>
      </c>
      <c r="J97" s="82">
        <f t="shared" ref="J97:U97" si="12">J36</f>
        <v>0</v>
      </c>
      <c r="K97" s="82">
        <f t="shared" si="12"/>
        <v>0</v>
      </c>
      <c r="L97" s="82">
        <f t="shared" si="12"/>
        <v>0</v>
      </c>
      <c r="M97" s="82">
        <f t="shared" si="12"/>
        <v>0</v>
      </c>
      <c r="N97" s="82">
        <f t="shared" si="12"/>
        <v>0</v>
      </c>
      <c r="O97" s="82">
        <f t="shared" si="12"/>
        <v>0</v>
      </c>
      <c r="P97" s="82">
        <f t="shared" si="12"/>
        <v>0</v>
      </c>
      <c r="Q97" s="82">
        <f t="shared" si="12"/>
        <v>0</v>
      </c>
      <c r="R97" s="82">
        <f t="shared" si="12"/>
        <v>0</v>
      </c>
      <c r="S97" s="82">
        <f t="shared" si="12"/>
        <v>0</v>
      </c>
      <c r="T97" s="82">
        <f t="shared" si="12"/>
        <v>0</v>
      </c>
      <c r="U97" s="82">
        <f t="shared" si="12"/>
        <v>0</v>
      </c>
      <c r="V97" s="82">
        <f>V36</f>
        <v>0</v>
      </c>
    </row>
    <row r="98" spans="1:22" s="81" customFormat="1">
      <c r="C98" s="89" t="s">
        <v>460</v>
      </c>
      <c r="D98" s="89"/>
      <c r="E98" s="89"/>
      <c r="F98" s="95" t="e">
        <f t="shared" ref="F98:V98" si="13">F$39*EXP((F$40-F$42-F$40)*F97)*NORMDIST((LN(F$39/F96)+(F$40-F$42+F$41^2/2)*F97)/(F$41*SQRT(F97)),0,1,TRUE)-F96*EXP(-F$40*F97)*NORMDIST((LN(F$39/F96)+(F$40-F$42-(F$41)^2/2)*F97)/(F$41*SQRT(F97)),0,1,TRUE)</f>
        <v>#DIV/0!</v>
      </c>
      <c r="G98" s="95" t="e">
        <f t="shared" si="13"/>
        <v>#DIV/0!</v>
      </c>
      <c r="H98" s="95" t="e">
        <f t="shared" si="13"/>
        <v>#DIV/0!</v>
      </c>
      <c r="I98" s="95" t="e">
        <f t="shared" si="13"/>
        <v>#DIV/0!</v>
      </c>
      <c r="J98" s="95" t="e">
        <f t="shared" si="13"/>
        <v>#DIV/0!</v>
      </c>
      <c r="K98" s="95" t="e">
        <f t="shared" si="13"/>
        <v>#DIV/0!</v>
      </c>
      <c r="L98" s="95" t="e">
        <f t="shared" si="13"/>
        <v>#DIV/0!</v>
      </c>
      <c r="M98" s="95" t="e">
        <f t="shared" si="13"/>
        <v>#DIV/0!</v>
      </c>
      <c r="N98" s="95" t="e">
        <f t="shared" si="13"/>
        <v>#DIV/0!</v>
      </c>
      <c r="O98" s="95" t="e">
        <f t="shared" si="13"/>
        <v>#DIV/0!</v>
      </c>
      <c r="P98" s="95" t="e">
        <f t="shared" si="13"/>
        <v>#DIV/0!</v>
      </c>
      <c r="Q98" s="95" t="e">
        <f t="shared" si="13"/>
        <v>#DIV/0!</v>
      </c>
      <c r="R98" s="95" t="e">
        <f t="shared" si="13"/>
        <v>#DIV/0!</v>
      </c>
      <c r="S98" s="95" t="e">
        <f t="shared" si="13"/>
        <v>#DIV/0!</v>
      </c>
      <c r="T98" s="95" t="e">
        <f t="shared" si="13"/>
        <v>#DIV/0!</v>
      </c>
      <c r="U98" s="95" t="e">
        <f t="shared" si="13"/>
        <v>#DIV/0!</v>
      </c>
      <c r="V98" s="95" t="e">
        <f t="shared" si="13"/>
        <v>#DIV/0!</v>
      </c>
    </row>
    <row r="99" spans="1:22">
      <c r="C99" s="77" t="s">
        <v>461</v>
      </c>
      <c r="D99" s="77"/>
      <c r="E99" s="77"/>
      <c r="F99" s="74">
        <v>3</v>
      </c>
      <c r="G99" s="74">
        <v>3</v>
      </c>
      <c r="H99" s="74">
        <v>3</v>
      </c>
      <c r="I99" s="74">
        <v>3</v>
      </c>
      <c r="J99" s="74">
        <v>3</v>
      </c>
      <c r="K99" s="74">
        <v>3</v>
      </c>
      <c r="L99" s="74">
        <v>3</v>
      </c>
      <c r="M99" s="74">
        <v>3</v>
      </c>
      <c r="N99" s="74">
        <v>3</v>
      </c>
      <c r="O99" s="74">
        <v>3</v>
      </c>
      <c r="P99" s="82">
        <f t="shared" ref="P99:U99" si="14">P37</f>
        <v>0</v>
      </c>
      <c r="Q99" s="82">
        <f t="shared" si="14"/>
        <v>0</v>
      </c>
      <c r="R99" s="82">
        <f t="shared" si="14"/>
        <v>0</v>
      </c>
      <c r="S99" s="82">
        <f t="shared" si="14"/>
        <v>0</v>
      </c>
      <c r="T99" s="82">
        <f t="shared" si="14"/>
        <v>0</v>
      </c>
      <c r="U99" s="82">
        <f t="shared" si="14"/>
        <v>0</v>
      </c>
      <c r="V99" s="82">
        <f>V37</f>
        <v>0</v>
      </c>
    </row>
    <row r="100" spans="1:22">
      <c r="C100" s="77" t="s">
        <v>462</v>
      </c>
      <c r="D100" s="77"/>
      <c r="E100" s="77"/>
      <c r="F100" s="33" t="e">
        <f t="shared" ref="F100:V100" si="15">((F91/F88)+(E91/E88)+(D91/D88))/3</f>
        <v>#DIV/0!</v>
      </c>
      <c r="G100" s="33" t="e">
        <f t="shared" si="15"/>
        <v>#DIV/0!</v>
      </c>
      <c r="H100" s="33" t="e">
        <f t="shared" si="15"/>
        <v>#DIV/0!</v>
      </c>
      <c r="I100" s="33" t="e">
        <f t="shared" si="15"/>
        <v>#DIV/0!</v>
      </c>
      <c r="J100" s="33" t="e">
        <f t="shared" si="15"/>
        <v>#DIV/0!</v>
      </c>
      <c r="K100" s="33" t="e">
        <f t="shared" si="15"/>
        <v>#DIV/0!</v>
      </c>
      <c r="L100" s="33" t="e">
        <f t="shared" si="15"/>
        <v>#DIV/0!</v>
      </c>
      <c r="M100" s="33" t="e">
        <f t="shared" si="15"/>
        <v>#DIV/0!</v>
      </c>
      <c r="N100" s="33" t="e">
        <f t="shared" si="15"/>
        <v>#DIV/0!</v>
      </c>
      <c r="O100" s="33" t="e">
        <f t="shared" si="15"/>
        <v>#DIV/0!</v>
      </c>
      <c r="P100" s="33" t="e">
        <f t="shared" si="15"/>
        <v>#DIV/0!</v>
      </c>
      <c r="Q100" s="33" t="e">
        <f t="shared" si="15"/>
        <v>#DIV/0!</v>
      </c>
      <c r="R100" s="33" t="e">
        <f t="shared" si="15"/>
        <v>#DIV/0!</v>
      </c>
      <c r="S100" s="33" t="e">
        <f t="shared" si="15"/>
        <v>#DIV/0!</v>
      </c>
      <c r="T100" s="33" t="e">
        <f t="shared" si="15"/>
        <v>#DIV/0!</v>
      </c>
      <c r="U100" s="33" t="e">
        <f t="shared" si="15"/>
        <v>#DIV/0!</v>
      </c>
      <c r="V100" s="33" t="e">
        <f t="shared" si="15"/>
        <v>#DIV/0!</v>
      </c>
    </row>
    <row r="101" spans="1:22">
      <c r="C101" s="77" t="s">
        <v>463</v>
      </c>
      <c r="D101" s="77"/>
      <c r="E101" s="77"/>
      <c r="F101" s="87" t="e">
        <f>IF(F95*(1-F100)^F99&gt;0,F95*(1-F100)^F99,0)</f>
        <v>#DIV/0!</v>
      </c>
      <c r="G101" s="87" t="e">
        <f>IF(G95*(1-G100)^G99&gt;0,G95*(1-G100)^G99,0)</f>
        <v>#DIV/0!</v>
      </c>
      <c r="H101" s="87" t="e">
        <f>IF(H95*(1-H100)^H99&gt;0,H95*(1-H100)^H99,0)</f>
        <v>#DIV/0!</v>
      </c>
      <c r="I101" s="87" t="e">
        <f>IF(I95*(1-I100)^I99&gt;0,I95*(1-I100)^I99,0)</f>
        <v>#DIV/0!</v>
      </c>
      <c r="J101" s="87" t="e">
        <f>IF(J95*(1-J100)^J99&gt;0,J95*(1-J100)^J99,0)</f>
        <v>#DIV/0!</v>
      </c>
      <c r="K101" s="87" t="e">
        <f t="shared" ref="K101:S101" si="16">IF(K95*(1-K100)^K99&gt;0,K95*(1-K100)^K99,0)</f>
        <v>#DIV/0!</v>
      </c>
      <c r="L101" s="87" t="e">
        <f t="shared" si="16"/>
        <v>#DIV/0!</v>
      </c>
      <c r="M101" s="87" t="e">
        <f t="shared" si="16"/>
        <v>#DIV/0!</v>
      </c>
      <c r="N101" s="87" t="e">
        <f t="shared" si="16"/>
        <v>#DIV/0!</v>
      </c>
      <c r="O101" s="87" t="e">
        <f t="shared" si="16"/>
        <v>#DIV/0!</v>
      </c>
      <c r="P101" s="87" t="e">
        <f t="shared" si="16"/>
        <v>#DIV/0!</v>
      </c>
      <c r="Q101" s="87" t="e">
        <f t="shared" si="16"/>
        <v>#DIV/0!</v>
      </c>
      <c r="R101" s="87" t="e">
        <f t="shared" si="16"/>
        <v>#DIV/0!</v>
      </c>
      <c r="S101" s="87" t="e">
        <f t="shared" si="16"/>
        <v>#DIV/0!</v>
      </c>
      <c r="T101" s="87" t="e">
        <f>IF(T95*(1-T100)^T99&gt;0,T95*(1-T100)^T99,0)</f>
        <v>#DIV/0!</v>
      </c>
      <c r="U101" s="87" t="e">
        <f>IF(U95*(1-U100)^U99&gt;0,U95*(1-U100)^U99,0)</f>
        <v>#DIV/0!</v>
      </c>
      <c r="V101" s="87" t="e">
        <f>IF(V95*(1-V100)^V99&gt;0,V95*(1-V100)^V99,0)</f>
        <v>#DIV/0!</v>
      </c>
    </row>
    <row r="102" spans="1:22">
      <c r="C102" s="77" t="s">
        <v>464</v>
      </c>
      <c r="D102" s="77"/>
      <c r="E102" s="77"/>
      <c r="F102" s="33" t="e">
        <f t="shared" ref="F102:S102" si="17">(1/(1+F101/F43))</f>
        <v>#DIV/0!</v>
      </c>
      <c r="G102" s="33" t="e">
        <f t="shared" si="17"/>
        <v>#DIV/0!</v>
      </c>
      <c r="H102" s="33" t="e">
        <f t="shared" si="17"/>
        <v>#DIV/0!</v>
      </c>
      <c r="I102" s="33" t="e">
        <f t="shared" si="17"/>
        <v>#DIV/0!</v>
      </c>
      <c r="J102" s="33" t="e">
        <f t="shared" si="17"/>
        <v>#DIV/0!</v>
      </c>
      <c r="K102" s="33" t="e">
        <f t="shared" si="17"/>
        <v>#DIV/0!</v>
      </c>
      <c r="L102" s="33" t="e">
        <f t="shared" si="17"/>
        <v>#DIV/0!</v>
      </c>
      <c r="M102" s="33" t="e">
        <f t="shared" si="17"/>
        <v>#DIV/0!</v>
      </c>
      <c r="N102" s="33" t="e">
        <f t="shared" si="17"/>
        <v>#DIV/0!</v>
      </c>
      <c r="O102" s="33" t="e">
        <f t="shared" si="17"/>
        <v>#DIV/0!</v>
      </c>
      <c r="P102" s="33" t="e">
        <f t="shared" si="17"/>
        <v>#DIV/0!</v>
      </c>
      <c r="Q102" s="33" t="e">
        <f t="shared" si="17"/>
        <v>#DIV/0!</v>
      </c>
      <c r="R102" s="33" t="e">
        <f t="shared" si="17"/>
        <v>#DIV/0!</v>
      </c>
      <c r="S102" s="33" t="e">
        <f t="shared" si="17"/>
        <v>#DIV/0!</v>
      </c>
      <c r="T102" s="33" t="e">
        <f>(1/(1+T101/T43))</f>
        <v>#DIV/0!</v>
      </c>
      <c r="U102" s="33" t="e">
        <f>(1/(1+U101/U43))</f>
        <v>#DIV/0!</v>
      </c>
      <c r="V102" s="33" t="e">
        <f>(1/(1+V101/V43))</f>
        <v>#DIV/0!</v>
      </c>
    </row>
    <row r="103" spans="1:22">
      <c r="C103" s="77" t="s">
        <v>465</v>
      </c>
      <c r="D103" s="77"/>
      <c r="E103" s="77"/>
      <c r="F103" s="96">
        <v>0.4</v>
      </c>
      <c r="G103" s="96">
        <v>0.4</v>
      </c>
      <c r="H103" s="96">
        <v>0.4</v>
      </c>
      <c r="I103" s="96">
        <v>0.4</v>
      </c>
      <c r="J103" s="96">
        <v>0.4</v>
      </c>
      <c r="K103" s="96">
        <v>0.4</v>
      </c>
      <c r="L103" s="96">
        <v>0.4</v>
      </c>
      <c r="M103" s="96">
        <v>0.4</v>
      </c>
      <c r="N103" s="96">
        <v>0.4</v>
      </c>
      <c r="O103" s="96">
        <v>0.4</v>
      </c>
      <c r="P103" s="96">
        <v>0.4</v>
      </c>
      <c r="Q103" s="96">
        <v>0.4</v>
      </c>
      <c r="R103" s="96">
        <v>0.4</v>
      </c>
      <c r="S103" s="96">
        <v>0.4</v>
      </c>
      <c r="T103" s="96">
        <v>0.4</v>
      </c>
      <c r="U103" s="96">
        <v>0.4</v>
      </c>
      <c r="V103" s="96">
        <v>0.4</v>
      </c>
    </row>
    <row r="104" spans="1:22">
      <c r="B104" s="74" t="s">
        <v>466</v>
      </c>
      <c r="C104" s="77"/>
      <c r="D104" s="77"/>
      <c r="E104" s="77"/>
      <c r="F104" s="79" t="e">
        <f>F98*F101*F102*(1-F103)</f>
        <v>#DIV/0!</v>
      </c>
      <c r="G104" s="79" t="e">
        <f>G98*G101*G102*(1-G103)</f>
        <v>#DIV/0!</v>
      </c>
      <c r="H104" s="79" t="e">
        <f>H98*H101*H102*(1-H103)</f>
        <v>#DIV/0!</v>
      </c>
      <c r="I104" s="79" t="e">
        <f>I98*I101*I102*(1-I103)</f>
        <v>#DIV/0!</v>
      </c>
      <c r="J104" s="79" t="e">
        <f>J98*J101*J102*(1-J103)</f>
        <v>#DIV/0!</v>
      </c>
      <c r="K104" s="79" t="e">
        <f t="shared" ref="K104:S104" si="18">K98*K101*K102*(1-K103)</f>
        <v>#DIV/0!</v>
      </c>
      <c r="L104" s="79" t="e">
        <f t="shared" si="18"/>
        <v>#DIV/0!</v>
      </c>
      <c r="M104" s="79" t="e">
        <f t="shared" si="18"/>
        <v>#DIV/0!</v>
      </c>
      <c r="N104" s="79" t="e">
        <f t="shared" si="18"/>
        <v>#DIV/0!</v>
      </c>
      <c r="O104" s="79" t="e">
        <f t="shared" si="18"/>
        <v>#DIV/0!</v>
      </c>
      <c r="P104" s="79" t="e">
        <f t="shared" si="18"/>
        <v>#DIV/0!</v>
      </c>
      <c r="Q104" s="79" t="e">
        <f t="shared" si="18"/>
        <v>#DIV/0!</v>
      </c>
      <c r="R104" s="79" t="e">
        <f t="shared" si="18"/>
        <v>#DIV/0!</v>
      </c>
      <c r="S104" s="79" t="e">
        <f t="shared" si="18"/>
        <v>#DIV/0!</v>
      </c>
      <c r="T104" s="79" t="e">
        <f>T98*T101*T102*(1-T103)</f>
        <v>#DIV/0!</v>
      </c>
      <c r="U104" s="79" t="e">
        <f>U98*U101*U102*(1-U103)</f>
        <v>#DIV/0!</v>
      </c>
      <c r="V104" s="79" t="e">
        <f>V98*V101*V102*(1-V103)</f>
        <v>#DIV/0!</v>
      </c>
    </row>
    <row r="105" spans="1:22" s="97" customFormat="1">
      <c r="B105" s="97" t="s">
        <v>467</v>
      </c>
      <c r="C105" s="98"/>
      <c r="D105" s="98"/>
      <c r="E105" s="98"/>
    </row>
    <row r="106" spans="1:22" s="97" customFormat="1">
      <c r="C106" s="98" t="s">
        <v>468</v>
      </c>
      <c r="D106" s="98"/>
      <c r="E106" s="98"/>
      <c r="F106" s="97">
        <f t="shared" ref="F106:K106" si="19">PRODUCT(G105:IQ105)</f>
        <v>0</v>
      </c>
      <c r="G106" s="97">
        <f t="shared" si="19"/>
        <v>0</v>
      </c>
      <c r="H106" s="97">
        <f t="shared" si="19"/>
        <v>0</v>
      </c>
      <c r="I106" s="97">
        <f t="shared" si="19"/>
        <v>0</v>
      </c>
      <c r="J106" s="97">
        <f t="shared" si="19"/>
        <v>0</v>
      </c>
      <c r="K106" s="97">
        <f t="shared" si="19"/>
        <v>0</v>
      </c>
      <c r="L106" s="97">
        <f>PRODUCT(M105:IV105)</f>
        <v>0</v>
      </c>
      <c r="M106" s="97">
        <f>PRODUCT(N105:IV105)</f>
        <v>0</v>
      </c>
      <c r="N106" s="97">
        <f>PRODUCT(O105:IV105)</f>
        <v>0</v>
      </c>
      <c r="O106" s="97">
        <f>PRODUCT(P105:IV105)</f>
        <v>0</v>
      </c>
      <c r="P106" s="97">
        <f>PRODUCT(Q105:IV105)</f>
        <v>0</v>
      </c>
      <c r="Q106" s="97">
        <f>PRODUCT(R105:IV105)</f>
        <v>0</v>
      </c>
      <c r="R106" s="97">
        <f>PRODUCT(S105:IV105)</f>
        <v>0</v>
      </c>
      <c r="S106" s="97">
        <f>PRODUCT(T105:IV105)</f>
        <v>0</v>
      </c>
      <c r="T106" s="97">
        <f>PRODUCT(U105:IV105)</f>
        <v>0</v>
      </c>
      <c r="U106" s="97">
        <f>PRODUCT(V105:IV105)</f>
        <v>0</v>
      </c>
      <c r="V106" s="97">
        <f>PRODUCT(W105:IV105)</f>
        <v>0</v>
      </c>
    </row>
    <row r="107" spans="1:22" s="97" customFormat="1">
      <c r="C107" s="98" t="s">
        <v>469</v>
      </c>
      <c r="D107" s="98"/>
      <c r="E107" s="98"/>
      <c r="F107" s="97">
        <f t="shared" ref="F107:V107" si="20">IF(F106=0,1, F106)</f>
        <v>1</v>
      </c>
      <c r="G107" s="97">
        <f t="shared" si="20"/>
        <v>1</v>
      </c>
      <c r="H107" s="97">
        <f t="shared" si="20"/>
        <v>1</v>
      </c>
      <c r="I107" s="97">
        <f t="shared" si="20"/>
        <v>1</v>
      </c>
      <c r="J107" s="97">
        <f t="shared" si="20"/>
        <v>1</v>
      </c>
      <c r="K107" s="97">
        <f t="shared" si="20"/>
        <v>1</v>
      </c>
      <c r="L107" s="97">
        <f t="shared" si="20"/>
        <v>1</v>
      </c>
      <c r="M107" s="97">
        <f t="shared" si="20"/>
        <v>1</v>
      </c>
      <c r="N107" s="97">
        <f t="shared" si="20"/>
        <v>1</v>
      </c>
      <c r="O107" s="97">
        <f t="shared" si="20"/>
        <v>1</v>
      </c>
      <c r="P107" s="97">
        <f t="shared" si="20"/>
        <v>1</v>
      </c>
      <c r="Q107" s="97">
        <f t="shared" si="20"/>
        <v>1</v>
      </c>
      <c r="R107" s="97">
        <f t="shared" si="20"/>
        <v>1</v>
      </c>
      <c r="S107" s="97">
        <f t="shared" si="20"/>
        <v>1</v>
      </c>
      <c r="T107" s="97">
        <f t="shared" si="20"/>
        <v>1</v>
      </c>
      <c r="U107" s="97">
        <f t="shared" si="20"/>
        <v>1</v>
      </c>
      <c r="V107" s="97">
        <f t="shared" si="20"/>
        <v>1</v>
      </c>
    </row>
    <row r="108" spans="1:22">
      <c r="C108" s="77"/>
      <c r="D108" s="77"/>
      <c r="E108" s="77"/>
      <c r="F108" s="74"/>
      <c r="G108" s="74"/>
      <c r="H108" s="74"/>
    </row>
    <row r="109" spans="1:22">
      <c r="A109" s="74" t="s">
        <v>470</v>
      </c>
      <c r="C109" s="77"/>
      <c r="D109" s="77"/>
      <c r="E109" s="77"/>
      <c r="F109" s="74"/>
      <c r="G109" s="74"/>
      <c r="H109" s="74"/>
    </row>
    <row r="110" spans="1:22">
      <c r="C110" s="77"/>
      <c r="D110" s="77"/>
      <c r="E110" s="77"/>
      <c r="F110" s="74"/>
      <c r="G110" s="74"/>
      <c r="H110" s="74"/>
    </row>
    <row r="111" spans="1:22" s="79" customFormat="1">
      <c r="B111" s="79" t="s">
        <v>471</v>
      </c>
      <c r="C111" s="80"/>
      <c r="D111" s="80"/>
      <c r="E111" s="80"/>
      <c r="F111" s="84" t="e">
        <f t="shared" ref="F111:V112" si="21">F124+F135+F146+F157+F168+F179+F190+F201+F212+F223</f>
        <v>#DIV/0!</v>
      </c>
      <c r="G111" s="84" t="e">
        <f t="shared" si="21"/>
        <v>#DIV/0!</v>
      </c>
      <c r="H111" s="84" t="e">
        <f t="shared" si="21"/>
        <v>#DIV/0!</v>
      </c>
      <c r="I111" s="84" t="e">
        <f t="shared" si="21"/>
        <v>#DIV/0!</v>
      </c>
      <c r="J111" s="84" t="e">
        <f t="shared" si="21"/>
        <v>#DIV/0!</v>
      </c>
      <c r="K111" s="84" t="e">
        <f t="shared" si="21"/>
        <v>#DIV/0!</v>
      </c>
      <c r="L111" s="84" t="e">
        <f t="shared" si="21"/>
        <v>#DIV/0!</v>
      </c>
      <c r="M111" s="84" t="e">
        <f t="shared" si="21"/>
        <v>#DIV/0!</v>
      </c>
      <c r="N111" s="84" t="e">
        <f t="shared" si="21"/>
        <v>#DIV/0!</v>
      </c>
      <c r="O111" s="84" t="e">
        <f t="shared" si="21"/>
        <v>#DIV/0!</v>
      </c>
      <c r="P111" s="84" t="e">
        <f t="shared" si="21"/>
        <v>#DIV/0!</v>
      </c>
      <c r="Q111" s="84" t="e">
        <f t="shared" si="21"/>
        <v>#DIV/0!</v>
      </c>
      <c r="R111" s="84" t="e">
        <f t="shared" si="21"/>
        <v>#DIV/0!</v>
      </c>
      <c r="S111" s="84" t="e">
        <f t="shared" si="21"/>
        <v>#DIV/0!</v>
      </c>
      <c r="T111" s="84" t="e">
        <f t="shared" si="21"/>
        <v>#DIV/0!</v>
      </c>
      <c r="U111" s="84" t="e">
        <f t="shared" si="21"/>
        <v>#DIV/0!</v>
      </c>
      <c r="V111" s="84" t="e">
        <f t="shared" si="21"/>
        <v>#DIV/0!</v>
      </c>
    </row>
    <row r="112" spans="1:22" s="79" customFormat="1">
      <c r="B112" s="79" t="s">
        <v>472</v>
      </c>
      <c r="C112" s="80"/>
      <c r="D112" s="80"/>
      <c r="E112" s="80"/>
      <c r="F112" s="84" t="e">
        <f t="shared" si="21"/>
        <v>#DIV/0!</v>
      </c>
      <c r="G112" s="84" t="e">
        <f t="shared" si="21"/>
        <v>#DIV/0!</v>
      </c>
      <c r="H112" s="84" t="e">
        <f t="shared" si="21"/>
        <v>#DIV/0!</v>
      </c>
      <c r="I112" s="84" t="e">
        <f t="shared" si="21"/>
        <v>#DIV/0!</v>
      </c>
      <c r="J112" s="84" t="e">
        <f t="shared" si="21"/>
        <v>#DIV/0!</v>
      </c>
      <c r="K112" s="84" t="e">
        <f t="shared" si="21"/>
        <v>#DIV/0!</v>
      </c>
      <c r="L112" s="84" t="e">
        <f t="shared" si="21"/>
        <v>#DIV/0!</v>
      </c>
      <c r="M112" s="84" t="e">
        <f t="shared" si="21"/>
        <v>#DIV/0!</v>
      </c>
      <c r="N112" s="84" t="e">
        <f t="shared" si="21"/>
        <v>#DIV/0!</v>
      </c>
      <c r="O112" s="84" t="e">
        <f t="shared" si="21"/>
        <v>#DIV/0!</v>
      </c>
      <c r="P112" s="84" t="e">
        <f t="shared" si="21"/>
        <v>#DIV/0!</v>
      </c>
      <c r="Q112" s="84" t="e">
        <f t="shared" si="21"/>
        <v>#DIV/0!</v>
      </c>
      <c r="R112" s="84" t="e">
        <f t="shared" si="21"/>
        <v>#DIV/0!</v>
      </c>
      <c r="S112" s="84" t="e">
        <f t="shared" si="21"/>
        <v>#DIV/0!</v>
      </c>
      <c r="T112" s="84" t="e">
        <f t="shared" si="21"/>
        <v>#DIV/0!</v>
      </c>
      <c r="U112" s="84" t="e">
        <f t="shared" si="21"/>
        <v>#DIV/0!</v>
      </c>
      <c r="V112" s="84" t="e">
        <f t="shared" si="21"/>
        <v>#DIV/0!</v>
      </c>
    </row>
    <row r="113" spans="2:22">
      <c r="C113" s="77"/>
      <c r="D113" s="77"/>
      <c r="E113" s="77"/>
      <c r="F113" s="83"/>
      <c r="G113" s="83"/>
      <c r="H113" s="83"/>
      <c r="I113" s="83"/>
      <c r="J113" s="83"/>
      <c r="K113" s="83"/>
      <c r="L113" s="83"/>
      <c r="M113" s="83"/>
      <c r="N113" s="83"/>
      <c r="O113" s="83"/>
      <c r="P113" s="83"/>
      <c r="Q113" s="83"/>
      <c r="R113" s="83"/>
      <c r="S113" s="83"/>
      <c r="T113" s="83"/>
      <c r="U113" s="83"/>
      <c r="V113" s="83"/>
    </row>
    <row r="114" spans="2:22">
      <c r="C114" s="77"/>
      <c r="D114" s="77"/>
      <c r="E114" s="77"/>
      <c r="F114" s="74"/>
      <c r="G114" s="74"/>
      <c r="H114" s="74"/>
    </row>
    <row r="115" spans="2:22">
      <c r="B115" s="74" t="s">
        <v>445</v>
      </c>
      <c r="C115" s="77"/>
      <c r="D115" s="77"/>
      <c r="E115" s="77"/>
      <c r="F115" s="74"/>
      <c r="G115" s="74"/>
      <c r="H115" s="74"/>
    </row>
    <row r="116" spans="2:22" s="81" customFormat="1">
      <c r="C116" s="89" t="s">
        <v>446</v>
      </c>
      <c r="D116" s="89"/>
      <c r="E116" s="89"/>
      <c r="F116" s="81">
        <f>F47/F$107</f>
        <v>1</v>
      </c>
      <c r="G116" s="81">
        <f>G47/G$107</f>
        <v>1</v>
      </c>
      <c r="H116" s="81">
        <f>H47/H$107</f>
        <v>1</v>
      </c>
      <c r="I116" s="81">
        <f>I47/I$107</f>
        <v>1</v>
      </c>
      <c r="J116" s="81">
        <f t="shared" ref="J116:U116" si="22">J47/J$107</f>
        <v>1</v>
      </c>
      <c r="K116" s="81">
        <f t="shared" si="22"/>
        <v>1</v>
      </c>
      <c r="L116" s="81">
        <f t="shared" si="22"/>
        <v>1</v>
      </c>
      <c r="M116" s="81">
        <f t="shared" si="22"/>
        <v>1</v>
      </c>
      <c r="N116" s="81">
        <f t="shared" si="22"/>
        <v>1</v>
      </c>
      <c r="O116" s="81">
        <f t="shared" si="22"/>
        <v>1</v>
      </c>
      <c r="P116" s="81">
        <f t="shared" si="22"/>
        <v>1</v>
      </c>
      <c r="Q116" s="81">
        <f t="shared" si="22"/>
        <v>1</v>
      </c>
      <c r="R116" s="81">
        <f t="shared" si="22"/>
        <v>1</v>
      </c>
      <c r="S116" s="81">
        <f t="shared" si="22"/>
        <v>1</v>
      </c>
      <c r="T116" s="81">
        <f t="shared" si="22"/>
        <v>1</v>
      </c>
      <c r="U116" s="81">
        <f t="shared" si="22"/>
        <v>1</v>
      </c>
      <c r="V116" s="81">
        <f>V47/V$107</f>
        <v>1</v>
      </c>
    </row>
    <row r="117" spans="2:22">
      <c r="C117" s="77" t="s">
        <v>437</v>
      </c>
      <c r="D117" s="77"/>
      <c r="E117" s="77"/>
      <c r="F117" s="97">
        <f>F48</f>
        <v>1</v>
      </c>
      <c r="G117" s="97">
        <f>G48</f>
        <v>1</v>
      </c>
      <c r="H117" s="97">
        <f>H48</f>
        <v>1</v>
      </c>
      <c r="I117" s="97">
        <f>I48</f>
        <v>1</v>
      </c>
      <c r="J117" s="97">
        <f t="shared" ref="J117:U117" si="23">J48</f>
        <v>1</v>
      </c>
      <c r="K117" s="97">
        <f t="shared" si="23"/>
        <v>1</v>
      </c>
      <c r="L117" s="97">
        <f t="shared" si="23"/>
        <v>1</v>
      </c>
      <c r="M117" s="97">
        <f t="shared" si="23"/>
        <v>1</v>
      </c>
      <c r="N117" s="97">
        <f t="shared" si="23"/>
        <v>1</v>
      </c>
      <c r="O117" s="97">
        <f t="shared" si="23"/>
        <v>1</v>
      </c>
      <c r="P117" s="97">
        <f t="shared" si="23"/>
        <v>1</v>
      </c>
      <c r="Q117" s="97">
        <f t="shared" si="23"/>
        <v>1</v>
      </c>
      <c r="R117" s="97">
        <f t="shared" si="23"/>
        <v>1</v>
      </c>
      <c r="S117" s="97">
        <f t="shared" si="23"/>
        <v>1</v>
      </c>
      <c r="T117" s="97">
        <f t="shared" si="23"/>
        <v>1</v>
      </c>
      <c r="U117" s="97">
        <f t="shared" si="23"/>
        <v>1</v>
      </c>
      <c r="V117" s="97">
        <f>V48</f>
        <v>1</v>
      </c>
    </row>
    <row r="118" spans="2:22">
      <c r="C118" s="77" t="s">
        <v>473</v>
      </c>
      <c r="D118" s="77"/>
      <c r="E118" s="77"/>
      <c r="F118" s="95" t="e">
        <f t="shared" ref="F118:V118" si="24">F$39*EXP((F$40-F$42-F$40)*F117)*NORMDIST((LN(F$39/F116)+(F$40-F$42+F$41^2/2)*F117)/(F$41*SQRT(F117)),0,1,TRUE)-F116*EXP(-F$40*F117)*NORMDIST((LN(F$39/F116)+(F$40-F$42-(F$41)^2/2)*F117)/(F$41*SQRT(F117)),0,1,TRUE)</f>
        <v>#NUM!</v>
      </c>
      <c r="G118" s="95" t="e">
        <f t="shared" si="24"/>
        <v>#NUM!</v>
      </c>
      <c r="H118" s="95" t="e">
        <f t="shared" si="24"/>
        <v>#NUM!</v>
      </c>
      <c r="I118" s="95" t="e">
        <f t="shared" si="24"/>
        <v>#NUM!</v>
      </c>
      <c r="J118" s="95" t="e">
        <f t="shared" si="24"/>
        <v>#NUM!</v>
      </c>
      <c r="K118" s="95" t="e">
        <f t="shared" si="24"/>
        <v>#NUM!</v>
      </c>
      <c r="L118" s="95" t="e">
        <f t="shared" si="24"/>
        <v>#NUM!</v>
      </c>
      <c r="M118" s="95" t="e">
        <f t="shared" si="24"/>
        <v>#NUM!</v>
      </c>
      <c r="N118" s="95" t="e">
        <f t="shared" si="24"/>
        <v>#NUM!</v>
      </c>
      <c r="O118" s="95" t="e">
        <f t="shared" si="24"/>
        <v>#NUM!</v>
      </c>
      <c r="P118" s="95" t="e">
        <f t="shared" si="24"/>
        <v>#NUM!</v>
      </c>
      <c r="Q118" s="95" t="e">
        <f t="shared" si="24"/>
        <v>#NUM!</v>
      </c>
      <c r="R118" s="95" t="e">
        <f t="shared" si="24"/>
        <v>#NUM!</v>
      </c>
      <c r="S118" s="95" t="e">
        <f t="shared" si="24"/>
        <v>#NUM!</v>
      </c>
      <c r="T118" s="95" t="e">
        <f t="shared" si="24"/>
        <v>#NUM!</v>
      </c>
      <c r="U118" s="95" t="e">
        <f t="shared" si="24"/>
        <v>#NUM!</v>
      </c>
      <c r="V118" s="95" t="e">
        <f t="shared" si="24"/>
        <v>#NUM!</v>
      </c>
    </row>
    <row r="119" spans="2:22">
      <c r="C119" s="77" t="s">
        <v>447</v>
      </c>
      <c r="D119" s="77"/>
      <c r="E119" s="77"/>
      <c r="F119" s="97">
        <f>F49/F$107</f>
        <v>0</v>
      </c>
      <c r="G119" s="97">
        <f>G49/G$107</f>
        <v>0</v>
      </c>
      <c r="H119" s="97">
        <f>H49/H$107</f>
        <v>0</v>
      </c>
      <c r="I119" s="97">
        <f>I49/I$107</f>
        <v>0</v>
      </c>
      <c r="J119" s="97">
        <f t="shared" ref="J119:U119" si="25">J49/J$107</f>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V49/V$107</f>
        <v>0</v>
      </c>
    </row>
    <row r="120" spans="2:22">
      <c r="C120" s="77" t="s">
        <v>474</v>
      </c>
      <c r="D120" s="77"/>
      <c r="E120" s="77"/>
      <c r="F120" s="97">
        <f>IF(F117-F$99&gt;0,F117-F$99,0)</f>
        <v>0</v>
      </c>
      <c r="G120" s="97">
        <f>IF(G117-G$99&gt;0,G117-G$99,0)</f>
        <v>0</v>
      </c>
      <c r="H120" s="97">
        <f>IF(H117-H$99&gt;0,H117-H$99,0)</f>
        <v>0</v>
      </c>
      <c r="I120" s="97">
        <f>IF(I117-I$99&gt;0,I117-I$99,0)</f>
        <v>0</v>
      </c>
      <c r="J120" s="97">
        <f t="shared" ref="J120:U120" si="26">IF(J117-J$99&gt;0,J117-J$99,0)</f>
        <v>0</v>
      </c>
      <c r="K120" s="97">
        <f t="shared" si="26"/>
        <v>0</v>
      </c>
      <c r="L120" s="97">
        <f t="shared" si="26"/>
        <v>0</v>
      </c>
      <c r="M120" s="97">
        <f t="shared" si="26"/>
        <v>0</v>
      </c>
      <c r="N120" s="97">
        <f t="shared" si="26"/>
        <v>0</v>
      </c>
      <c r="O120" s="97">
        <f t="shared" si="26"/>
        <v>0</v>
      </c>
      <c r="P120" s="97">
        <f t="shared" si="26"/>
        <v>1</v>
      </c>
      <c r="Q120" s="97">
        <f t="shared" si="26"/>
        <v>1</v>
      </c>
      <c r="R120" s="97">
        <f t="shared" si="26"/>
        <v>1</v>
      </c>
      <c r="S120" s="97">
        <f t="shared" si="26"/>
        <v>1</v>
      </c>
      <c r="T120" s="97">
        <f t="shared" si="26"/>
        <v>1</v>
      </c>
      <c r="U120" s="97">
        <f t="shared" si="26"/>
        <v>1</v>
      </c>
      <c r="V120" s="97">
        <f>IF(V117-V$99&gt;0,V117-V$99,0)</f>
        <v>1</v>
      </c>
    </row>
    <row r="121" spans="2:22">
      <c r="C121" s="77" t="s">
        <v>475</v>
      </c>
      <c r="D121" s="77"/>
      <c r="E121" s="77"/>
      <c r="F121" s="97" t="e">
        <f t="shared" ref="F121:V121" si="27">IF(F119*(1-F$100)^F120&gt;0,F119*(1-F$100)^F120,0)</f>
        <v>#DIV/0!</v>
      </c>
      <c r="G121" s="97" t="e">
        <f t="shared" si="27"/>
        <v>#DIV/0!</v>
      </c>
      <c r="H121" s="97" t="e">
        <f t="shared" si="27"/>
        <v>#DIV/0!</v>
      </c>
      <c r="I121" s="97" t="e">
        <f t="shared" si="27"/>
        <v>#DIV/0!</v>
      </c>
      <c r="J121" s="97" t="e">
        <f t="shared" si="27"/>
        <v>#DIV/0!</v>
      </c>
      <c r="K121" s="97" t="e">
        <f t="shared" si="27"/>
        <v>#DIV/0!</v>
      </c>
      <c r="L121" s="97" t="e">
        <f t="shared" si="27"/>
        <v>#DIV/0!</v>
      </c>
      <c r="M121" s="97" t="e">
        <f t="shared" si="27"/>
        <v>#DIV/0!</v>
      </c>
      <c r="N121" s="97" t="e">
        <f t="shared" si="27"/>
        <v>#DIV/0!</v>
      </c>
      <c r="O121" s="97" t="e">
        <f t="shared" si="27"/>
        <v>#DIV/0!</v>
      </c>
      <c r="P121" s="97" t="e">
        <f t="shared" si="27"/>
        <v>#DIV/0!</v>
      </c>
      <c r="Q121" s="97" t="e">
        <f t="shared" si="27"/>
        <v>#DIV/0!</v>
      </c>
      <c r="R121" s="97" t="e">
        <f t="shared" si="27"/>
        <v>#DIV/0!</v>
      </c>
      <c r="S121" s="97" t="e">
        <f t="shared" si="27"/>
        <v>#DIV/0!</v>
      </c>
      <c r="T121" s="97" t="e">
        <f t="shared" si="27"/>
        <v>#DIV/0!</v>
      </c>
      <c r="U121" s="97" t="e">
        <f t="shared" si="27"/>
        <v>#DIV/0!</v>
      </c>
      <c r="V121" s="97" t="e">
        <f t="shared" si="27"/>
        <v>#DIV/0!</v>
      </c>
    </row>
    <row r="122" spans="2:22">
      <c r="C122" s="77" t="s">
        <v>464</v>
      </c>
      <c r="D122" s="77"/>
      <c r="E122" s="77"/>
      <c r="F122" s="33" t="e">
        <f t="shared" ref="F122:V122" si="28">(1/(1+F121/F$43))</f>
        <v>#DIV/0!</v>
      </c>
      <c r="G122" s="33" t="e">
        <f t="shared" si="28"/>
        <v>#DIV/0!</v>
      </c>
      <c r="H122" s="33" t="e">
        <f t="shared" si="28"/>
        <v>#DIV/0!</v>
      </c>
      <c r="I122" s="33" t="e">
        <f t="shared" si="28"/>
        <v>#DIV/0!</v>
      </c>
      <c r="J122" s="33" t="e">
        <f t="shared" si="28"/>
        <v>#DIV/0!</v>
      </c>
      <c r="K122" s="33" t="e">
        <f t="shared" si="28"/>
        <v>#DIV/0!</v>
      </c>
      <c r="L122" s="33" t="e">
        <f t="shared" si="28"/>
        <v>#DIV/0!</v>
      </c>
      <c r="M122" s="33" t="e">
        <f t="shared" si="28"/>
        <v>#DIV/0!</v>
      </c>
      <c r="N122" s="33" t="e">
        <f t="shared" si="28"/>
        <v>#DIV/0!</v>
      </c>
      <c r="O122" s="33" t="e">
        <f t="shared" si="28"/>
        <v>#DIV/0!</v>
      </c>
      <c r="P122" s="33" t="e">
        <f t="shared" si="28"/>
        <v>#DIV/0!</v>
      </c>
      <c r="Q122" s="33" t="e">
        <f t="shared" si="28"/>
        <v>#DIV/0!</v>
      </c>
      <c r="R122" s="33" t="e">
        <f t="shared" si="28"/>
        <v>#DIV/0!</v>
      </c>
      <c r="S122" s="33" t="e">
        <f t="shared" si="28"/>
        <v>#DIV/0!</v>
      </c>
      <c r="T122" s="33" t="e">
        <f t="shared" si="28"/>
        <v>#DIV/0!</v>
      </c>
      <c r="U122" s="33" t="e">
        <f t="shared" si="28"/>
        <v>#DIV/0!</v>
      </c>
      <c r="V122" s="33" t="e">
        <f t="shared" si="28"/>
        <v>#DIV/0!</v>
      </c>
    </row>
    <row r="123" spans="2:22">
      <c r="C123" s="77" t="s">
        <v>476</v>
      </c>
      <c r="D123" s="77"/>
      <c r="E123" s="77"/>
      <c r="F123" s="81" t="e">
        <f t="shared" ref="F123:U123" si="29">F122*F118</f>
        <v>#DIV/0!</v>
      </c>
      <c r="G123" s="81" t="e">
        <f t="shared" si="29"/>
        <v>#DIV/0!</v>
      </c>
      <c r="H123" s="81" t="e">
        <f t="shared" si="29"/>
        <v>#DIV/0!</v>
      </c>
      <c r="I123" s="81" t="e">
        <f t="shared" si="29"/>
        <v>#DIV/0!</v>
      </c>
      <c r="J123" s="81" t="e">
        <f t="shared" si="29"/>
        <v>#DIV/0!</v>
      </c>
      <c r="K123" s="81" t="e">
        <f t="shared" si="29"/>
        <v>#DIV/0!</v>
      </c>
      <c r="L123" s="81" t="e">
        <f t="shared" si="29"/>
        <v>#DIV/0!</v>
      </c>
      <c r="M123" s="81" t="e">
        <f t="shared" si="29"/>
        <v>#DIV/0!</v>
      </c>
      <c r="N123" s="81" t="e">
        <f t="shared" si="29"/>
        <v>#DIV/0!</v>
      </c>
      <c r="O123" s="81" t="e">
        <f t="shared" si="29"/>
        <v>#DIV/0!</v>
      </c>
      <c r="P123" s="81" t="e">
        <f t="shared" si="29"/>
        <v>#DIV/0!</v>
      </c>
      <c r="Q123" s="81" t="e">
        <f t="shared" si="29"/>
        <v>#DIV/0!</v>
      </c>
      <c r="R123" s="81" t="e">
        <f t="shared" si="29"/>
        <v>#DIV/0!</v>
      </c>
      <c r="S123" s="81" t="e">
        <f t="shared" si="29"/>
        <v>#DIV/0!</v>
      </c>
      <c r="T123" s="81" t="e">
        <f t="shared" si="29"/>
        <v>#DIV/0!</v>
      </c>
      <c r="U123" s="81" t="e">
        <f t="shared" si="29"/>
        <v>#DIV/0!</v>
      </c>
      <c r="V123" s="81" t="e">
        <f>V122*V118</f>
        <v>#DIV/0!</v>
      </c>
    </row>
    <row r="124" spans="2:22">
      <c r="C124" s="77" t="s">
        <v>477</v>
      </c>
      <c r="D124" s="77"/>
      <c r="E124" s="77"/>
      <c r="F124" s="79" t="e">
        <f t="shared" ref="F124:V124" si="30">F121*F123</f>
        <v>#DIV/0!</v>
      </c>
      <c r="G124" s="79" t="e">
        <f t="shared" si="30"/>
        <v>#DIV/0!</v>
      </c>
      <c r="H124" s="79" t="e">
        <f t="shared" si="30"/>
        <v>#DIV/0!</v>
      </c>
      <c r="I124" s="79" t="e">
        <f t="shared" si="30"/>
        <v>#DIV/0!</v>
      </c>
      <c r="J124" s="79" t="e">
        <f t="shared" si="30"/>
        <v>#DIV/0!</v>
      </c>
      <c r="K124" s="79" t="e">
        <f t="shared" si="30"/>
        <v>#DIV/0!</v>
      </c>
      <c r="L124" s="79" t="e">
        <f t="shared" si="30"/>
        <v>#DIV/0!</v>
      </c>
      <c r="M124" s="79" t="e">
        <f t="shared" si="30"/>
        <v>#DIV/0!</v>
      </c>
      <c r="N124" s="79" t="e">
        <f t="shared" si="30"/>
        <v>#DIV/0!</v>
      </c>
      <c r="O124" s="79" t="e">
        <f t="shared" si="30"/>
        <v>#DIV/0!</v>
      </c>
      <c r="P124" s="79" t="e">
        <f t="shared" si="30"/>
        <v>#DIV/0!</v>
      </c>
      <c r="Q124" s="79" t="e">
        <f t="shared" si="30"/>
        <v>#DIV/0!</v>
      </c>
      <c r="R124" s="79" t="e">
        <f t="shared" si="30"/>
        <v>#DIV/0!</v>
      </c>
      <c r="S124" s="79" t="e">
        <f t="shared" si="30"/>
        <v>#DIV/0!</v>
      </c>
      <c r="T124" s="79" t="e">
        <f t="shared" si="30"/>
        <v>#DIV/0!</v>
      </c>
      <c r="U124" s="79" t="e">
        <f t="shared" si="30"/>
        <v>#DIV/0!</v>
      </c>
      <c r="V124" s="79" t="e">
        <f t="shared" si="30"/>
        <v>#DIV/0!</v>
      </c>
    </row>
    <row r="125" spans="2:22">
      <c r="C125" s="77" t="s">
        <v>478</v>
      </c>
      <c r="D125" s="77"/>
      <c r="E125" s="77"/>
      <c r="F125" s="79" t="e">
        <f t="shared" ref="F125:V125" si="31">F124*(1-F$103)</f>
        <v>#DIV/0!</v>
      </c>
      <c r="G125" s="79" t="e">
        <f t="shared" si="31"/>
        <v>#DIV/0!</v>
      </c>
      <c r="H125" s="79" t="e">
        <f t="shared" si="31"/>
        <v>#DIV/0!</v>
      </c>
      <c r="I125" s="79" t="e">
        <f t="shared" si="31"/>
        <v>#DIV/0!</v>
      </c>
      <c r="J125" s="79" t="e">
        <f t="shared" si="31"/>
        <v>#DIV/0!</v>
      </c>
      <c r="K125" s="79" t="e">
        <f t="shared" si="31"/>
        <v>#DIV/0!</v>
      </c>
      <c r="L125" s="79" t="e">
        <f t="shared" si="31"/>
        <v>#DIV/0!</v>
      </c>
      <c r="M125" s="79" t="e">
        <f t="shared" si="31"/>
        <v>#DIV/0!</v>
      </c>
      <c r="N125" s="79" t="e">
        <f t="shared" si="31"/>
        <v>#DIV/0!</v>
      </c>
      <c r="O125" s="79" t="e">
        <f t="shared" si="31"/>
        <v>#DIV/0!</v>
      </c>
      <c r="P125" s="79" t="e">
        <f t="shared" si="31"/>
        <v>#DIV/0!</v>
      </c>
      <c r="Q125" s="79" t="e">
        <f t="shared" si="31"/>
        <v>#DIV/0!</v>
      </c>
      <c r="R125" s="79" t="e">
        <f t="shared" si="31"/>
        <v>#DIV/0!</v>
      </c>
      <c r="S125" s="79" t="e">
        <f t="shared" si="31"/>
        <v>#DIV/0!</v>
      </c>
      <c r="T125" s="79" t="e">
        <f t="shared" si="31"/>
        <v>#DIV/0!</v>
      </c>
      <c r="U125" s="79" t="e">
        <f t="shared" si="31"/>
        <v>#DIV/0!</v>
      </c>
      <c r="V125" s="79" t="e">
        <f t="shared" si="31"/>
        <v>#DIV/0!</v>
      </c>
    </row>
    <row r="126" spans="2:22">
      <c r="B126" s="74" t="s">
        <v>448</v>
      </c>
      <c r="C126" s="77"/>
      <c r="D126" s="77"/>
      <c r="E126" s="77"/>
      <c r="F126" s="74"/>
      <c r="G126" s="74"/>
      <c r="H126" s="74"/>
    </row>
    <row r="127" spans="2:22" s="81" customFormat="1">
      <c r="C127" s="89" t="s">
        <v>446</v>
      </c>
      <c r="D127" s="89"/>
      <c r="E127" s="89"/>
      <c r="F127" s="81">
        <f>F51/F$107</f>
        <v>1</v>
      </c>
      <c r="G127" s="81">
        <f>G51/G$107</f>
        <v>1</v>
      </c>
      <c r="H127" s="81">
        <f>H51/H$107</f>
        <v>1</v>
      </c>
      <c r="I127" s="81">
        <f>I51/I$107</f>
        <v>1</v>
      </c>
      <c r="J127" s="81">
        <f t="shared" ref="J127:U127" si="32">J51/J$107</f>
        <v>1</v>
      </c>
      <c r="K127" s="81">
        <f t="shared" si="32"/>
        <v>1</v>
      </c>
      <c r="L127" s="81">
        <f t="shared" si="32"/>
        <v>1</v>
      </c>
      <c r="M127" s="81">
        <f t="shared" si="32"/>
        <v>1</v>
      </c>
      <c r="N127" s="81">
        <f t="shared" si="32"/>
        <v>1</v>
      </c>
      <c r="O127" s="81">
        <f t="shared" si="32"/>
        <v>1</v>
      </c>
      <c r="P127" s="81">
        <f t="shared" si="32"/>
        <v>1</v>
      </c>
      <c r="Q127" s="81">
        <f t="shared" si="32"/>
        <v>1</v>
      </c>
      <c r="R127" s="81">
        <f t="shared" si="32"/>
        <v>1</v>
      </c>
      <c r="S127" s="81">
        <f t="shared" si="32"/>
        <v>1</v>
      </c>
      <c r="T127" s="81">
        <f t="shared" si="32"/>
        <v>1</v>
      </c>
      <c r="U127" s="81">
        <f t="shared" si="32"/>
        <v>1</v>
      </c>
      <c r="V127" s="81">
        <f>V51/V$107</f>
        <v>1</v>
      </c>
    </row>
    <row r="128" spans="2:22">
      <c r="C128" s="77" t="s">
        <v>437</v>
      </c>
      <c r="D128" s="77"/>
      <c r="E128" s="77"/>
      <c r="F128" s="97">
        <f>F52</f>
        <v>1</v>
      </c>
      <c r="G128" s="97">
        <f>G52</f>
        <v>1</v>
      </c>
      <c r="H128" s="97">
        <f>H52</f>
        <v>1</v>
      </c>
      <c r="I128" s="97">
        <f>I52</f>
        <v>1</v>
      </c>
      <c r="J128" s="97">
        <f t="shared" ref="J128:U128" si="33">J52</f>
        <v>1</v>
      </c>
      <c r="K128" s="97">
        <f t="shared" si="33"/>
        <v>1</v>
      </c>
      <c r="L128" s="97">
        <f t="shared" si="33"/>
        <v>1</v>
      </c>
      <c r="M128" s="97">
        <f t="shared" si="33"/>
        <v>1</v>
      </c>
      <c r="N128" s="97">
        <f t="shared" si="33"/>
        <v>1</v>
      </c>
      <c r="O128" s="97">
        <f t="shared" si="33"/>
        <v>1</v>
      </c>
      <c r="P128" s="97">
        <f t="shared" si="33"/>
        <v>1</v>
      </c>
      <c r="Q128" s="97">
        <f t="shared" si="33"/>
        <v>1</v>
      </c>
      <c r="R128" s="97">
        <f t="shared" si="33"/>
        <v>1</v>
      </c>
      <c r="S128" s="97">
        <f t="shared" si="33"/>
        <v>1</v>
      </c>
      <c r="T128" s="97">
        <f t="shared" si="33"/>
        <v>1</v>
      </c>
      <c r="U128" s="97">
        <f t="shared" si="33"/>
        <v>1</v>
      </c>
      <c r="V128" s="97">
        <f>V52</f>
        <v>1</v>
      </c>
    </row>
    <row r="129" spans="2:22">
      <c r="C129" s="77" t="s">
        <v>473</v>
      </c>
      <c r="D129" s="77"/>
      <c r="E129" s="77"/>
      <c r="F129" s="95" t="e">
        <f t="shared" ref="F129:V129" si="34">F$39*EXP((F$40-F$42-F$40)*F128)*NORMDIST((LN(F$39/F127)+(F$40-F$42+F$41^2/2)*F128)/(F$41*SQRT(F128)),0,1,TRUE)-F127*EXP(-F$40*F128)*NORMDIST((LN(F$39/F127)+(F$40-F$42-(F$41)^2/2)*F128)/(F$41*SQRT(F128)),0,1,TRUE)</f>
        <v>#NUM!</v>
      </c>
      <c r="G129" s="95" t="e">
        <f t="shared" si="34"/>
        <v>#NUM!</v>
      </c>
      <c r="H129" s="95" t="e">
        <f t="shared" si="34"/>
        <v>#NUM!</v>
      </c>
      <c r="I129" s="95" t="e">
        <f t="shared" si="34"/>
        <v>#NUM!</v>
      </c>
      <c r="J129" s="95" t="e">
        <f t="shared" si="34"/>
        <v>#NUM!</v>
      </c>
      <c r="K129" s="95" t="e">
        <f t="shared" si="34"/>
        <v>#NUM!</v>
      </c>
      <c r="L129" s="95" t="e">
        <f t="shared" si="34"/>
        <v>#NUM!</v>
      </c>
      <c r="M129" s="95" t="e">
        <f t="shared" si="34"/>
        <v>#NUM!</v>
      </c>
      <c r="N129" s="95" t="e">
        <f t="shared" si="34"/>
        <v>#NUM!</v>
      </c>
      <c r="O129" s="95" t="e">
        <f t="shared" si="34"/>
        <v>#NUM!</v>
      </c>
      <c r="P129" s="95" t="e">
        <f t="shared" si="34"/>
        <v>#NUM!</v>
      </c>
      <c r="Q129" s="95" t="e">
        <f t="shared" si="34"/>
        <v>#NUM!</v>
      </c>
      <c r="R129" s="95" t="e">
        <f t="shared" si="34"/>
        <v>#NUM!</v>
      </c>
      <c r="S129" s="95" t="e">
        <f t="shared" si="34"/>
        <v>#NUM!</v>
      </c>
      <c r="T129" s="95" t="e">
        <f t="shared" si="34"/>
        <v>#NUM!</v>
      </c>
      <c r="U129" s="95" t="e">
        <f t="shared" si="34"/>
        <v>#NUM!</v>
      </c>
      <c r="V129" s="95" t="e">
        <f t="shared" si="34"/>
        <v>#NUM!</v>
      </c>
    </row>
    <row r="130" spans="2:22">
      <c r="C130" s="77" t="s">
        <v>447</v>
      </c>
      <c r="D130" s="77"/>
      <c r="E130" s="77"/>
      <c r="F130" s="97">
        <f>F53*F$107</f>
        <v>0</v>
      </c>
      <c r="G130" s="97">
        <f>G53*G$107</f>
        <v>0</v>
      </c>
      <c r="H130" s="97">
        <f>H53*H$107</f>
        <v>0</v>
      </c>
      <c r="I130" s="97">
        <f>I53*I$107</f>
        <v>0</v>
      </c>
      <c r="J130" s="97">
        <f t="shared" ref="J130:U130" si="35">J53*J$107</f>
        <v>0</v>
      </c>
      <c r="K130" s="97">
        <f t="shared" si="35"/>
        <v>0</v>
      </c>
      <c r="L130" s="97">
        <f t="shared" si="35"/>
        <v>0</v>
      </c>
      <c r="M130" s="97">
        <f t="shared" si="35"/>
        <v>0</v>
      </c>
      <c r="N130" s="97">
        <f t="shared" si="35"/>
        <v>0</v>
      </c>
      <c r="O130" s="97">
        <f t="shared" si="35"/>
        <v>0</v>
      </c>
      <c r="P130" s="97">
        <f t="shared" si="35"/>
        <v>0</v>
      </c>
      <c r="Q130" s="97">
        <f t="shared" si="35"/>
        <v>0</v>
      </c>
      <c r="R130" s="97">
        <f t="shared" si="35"/>
        <v>0</v>
      </c>
      <c r="S130" s="97">
        <f t="shared" si="35"/>
        <v>0</v>
      </c>
      <c r="T130" s="97">
        <f t="shared" si="35"/>
        <v>0</v>
      </c>
      <c r="U130" s="97">
        <f t="shared" si="35"/>
        <v>0</v>
      </c>
      <c r="V130" s="97">
        <f>V53*V$107</f>
        <v>0</v>
      </c>
    </row>
    <row r="131" spans="2:22">
      <c r="C131" s="77" t="s">
        <v>474</v>
      </c>
      <c r="D131" s="77"/>
      <c r="E131" s="77"/>
      <c r="F131" s="97">
        <f>IF(F128-F$99&gt;0,F128-F$99,0)</f>
        <v>0</v>
      </c>
      <c r="G131" s="97">
        <f>IF(G128-G$99&gt;0,G128-G$99,0)</f>
        <v>0</v>
      </c>
      <c r="H131" s="97">
        <f>IF(H128-H$99&gt;0,H128-H$99,0)</f>
        <v>0</v>
      </c>
      <c r="I131" s="97">
        <f>IF(I128-I$99&gt;0,I128-I$99,0)</f>
        <v>0</v>
      </c>
      <c r="J131" s="97">
        <f t="shared" ref="J131:U131" si="36">IF(J128-J$99&gt;0,J128-J$99,0)</f>
        <v>0</v>
      </c>
      <c r="K131" s="97">
        <f t="shared" si="36"/>
        <v>0</v>
      </c>
      <c r="L131" s="97">
        <f t="shared" si="36"/>
        <v>0</v>
      </c>
      <c r="M131" s="97">
        <f t="shared" si="36"/>
        <v>0</v>
      </c>
      <c r="N131" s="97">
        <f t="shared" si="36"/>
        <v>0</v>
      </c>
      <c r="O131" s="97">
        <f t="shared" si="36"/>
        <v>0</v>
      </c>
      <c r="P131" s="97">
        <f t="shared" si="36"/>
        <v>1</v>
      </c>
      <c r="Q131" s="97">
        <f t="shared" si="36"/>
        <v>1</v>
      </c>
      <c r="R131" s="97">
        <f t="shared" si="36"/>
        <v>1</v>
      </c>
      <c r="S131" s="97">
        <f t="shared" si="36"/>
        <v>1</v>
      </c>
      <c r="T131" s="97">
        <f t="shared" si="36"/>
        <v>1</v>
      </c>
      <c r="U131" s="97">
        <f t="shared" si="36"/>
        <v>1</v>
      </c>
      <c r="V131" s="97">
        <f>IF(V128-V$99&gt;0,V128-V$99,0)</f>
        <v>1</v>
      </c>
    </row>
    <row r="132" spans="2:22">
      <c r="C132" s="77" t="s">
        <v>475</v>
      </c>
      <c r="D132" s="77"/>
      <c r="E132" s="77"/>
      <c r="F132" s="97" t="e">
        <f t="shared" ref="F132:V132" si="37">IF(F130*(1-F$100)^F131&gt;0,F130*(1-F$100)^F131,0)</f>
        <v>#DIV/0!</v>
      </c>
      <c r="G132" s="97" t="e">
        <f t="shared" si="37"/>
        <v>#DIV/0!</v>
      </c>
      <c r="H132" s="97" t="e">
        <f t="shared" si="37"/>
        <v>#DIV/0!</v>
      </c>
      <c r="I132" s="97" t="e">
        <f t="shared" si="37"/>
        <v>#DIV/0!</v>
      </c>
      <c r="J132" s="97" t="e">
        <f t="shared" si="37"/>
        <v>#DIV/0!</v>
      </c>
      <c r="K132" s="97" t="e">
        <f t="shared" si="37"/>
        <v>#DIV/0!</v>
      </c>
      <c r="L132" s="97" t="e">
        <f t="shared" si="37"/>
        <v>#DIV/0!</v>
      </c>
      <c r="M132" s="97" t="e">
        <f t="shared" si="37"/>
        <v>#DIV/0!</v>
      </c>
      <c r="N132" s="97" t="e">
        <f t="shared" si="37"/>
        <v>#DIV/0!</v>
      </c>
      <c r="O132" s="97" t="e">
        <f t="shared" si="37"/>
        <v>#DIV/0!</v>
      </c>
      <c r="P132" s="97" t="e">
        <f t="shared" si="37"/>
        <v>#DIV/0!</v>
      </c>
      <c r="Q132" s="97" t="e">
        <f t="shared" si="37"/>
        <v>#DIV/0!</v>
      </c>
      <c r="R132" s="97" t="e">
        <f t="shared" si="37"/>
        <v>#DIV/0!</v>
      </c>
      <c r="S132" s="97" t="e">
        <f t="shared" si="37"/>
        <v>#DIV/0!</v>
      </c>
      <c r="T132" s="97" t="e">
        <f t="shared" si="37"/>
        <v>#DIV/0!</v>
      </c>
      <c r="U132" s="97" t="e">
        <f t="shared" si="37"/>
        <v>#DIV/0!</v>
      </c>
      <c r="V132" s="97" t="e">
        <f t="shared" si="37"/>
        <v>#DIV/0!</v>
      </c>
    </row>
    <row r="133" spans="2:22">
      <c r="C133" s="77" t="s">
        <v>464</v>
      </c>
      <c r="D133" s="77"/>
      <c r="E133" s="77"/>
      <c r="F133" s="33" t="e">
        <f t="shared" ref="F133:V133" si="38">(1/(1+F132/F$43))</f>
        <v>#DIV/0!</v>
      </c>
      <c r="G133" s="33" t="e">
        <f t="shared" si="38"/>
        <v>#DIV/0!</v>
      </c>
      <c r="H133" s="33" t="e">
        <f t="shared" si="38"/>
        <v>#DIV/0!</v>
      </c>
      <c r="I133" s="33" t="e">
        <f t="shared" si="38"/>
        <v>#DIV/0!</v>
      </c>
      <c r="J133" s="33" t="e">
        <f t="shared" si="38"/>
        <v>#DIV/0!</v>
      </c>
      <c r="K133" s="33" t="e">
        <f t="shared" si="38"/>
        <v>#DIV/0!</v>
      </c>
      <c r="L133" s="33" t="e">
        <f t="shared" si="38"/>
        <v>#DIV/0!</v>
      </c>
      <c r="M133" s="33" t="e">
        <f t="shared" si="38"/>
        <v>#DIV/0!</v>
      </c>
      <c r="N133" s="33" t="e">
        <f t="shared" si="38"/>
        <v>#DIV/0!</v>
      </c>
      <c r="O133" s="33" t="e">
        <f t="shared" si="38"/>
        <v>#DIV/0!</v>
      </c>
      <c r="P133" s="33" t="e">
        <f t="shared" si="38"/>
        <v>#DIV/0!</v>
      </c>
      <c r="Q133" s="33" t="e">
        <f t="shared" si="38"/>
        <v>#DIV/0!</v>
      </c>
      <c r="R133" s="33" t="e">
        <f t="shared" si="38"/>
        <v>#DIV/0!</v>
      </c>
      <c r="S133" s="33" t="e">
        <f t="shared" si="38"/>
        <v>#DIV/0!</v>
      </c>
      <c r="T133" s="33" t="e">
        <f t="shared" si="38"/>
        <v>#DIV/0!</v>
      </c>
      <c r="U133" s="33" t="e">
        <f t="shared" si="38"/>
        <v>#DIV/0!</v>
      </c>
      <c r="V133" s="33" t="e">
        <f t="shared" si="38"/>
        <v>#DIV/0!</v>
      </c>
    </row>
    <row r="134" spans="2:22">
      <c r="C134" s="77" t="s">
        <v>476</v>
      </c>
      <c r="D134" s="77"/>
      <c r="E134" s="77"/>
      <c r="F134" s="81" t="e">
        <f t="shared" ref="F134:V134" si="39">F133*F129</f>
        <v>#DIV/0!</v>
      </c>
      <c r="G134" s="81" t="e">
        <f t="shared" si="39"/>
        <v>#DIV/0!</v>
      </c>
      <c r="H134" s="81" t="e">
        <f t="shared" si="39"/>
        <v>#DIV/0!</v>
      </c>
      <c r="I134" s="81" t="e">
        <f t="shared" si="39"/>
        <v>#DIV/0!</v>
      </c>
      <c r="J134" s="81" t="e">
        <f t="shared" si="39"/>
        <v>#DIV/0!</v>
      </c>
      <c r="K134" s="81" t="e">
        <f t="shared" si="39"/>
        <v>#DIV/0!</v>
      </c>
      <c r="L134" s="81" t="e">
        <f t="shared" si="39"/>
        <v>#DIV/0!</v>
      </c>
      <c r="M134" s="81" t="e">
        <f t="shared" si="39"/>
        <v>#DIV/0!</v>
      </c>
      <c r="N134" s="81" t="e">
        <f t="shared" si="39"/>
        <v>#DIV/0!</v>
      </c>
      <c r="O134" s="81" t="e">
        <f t="shared" si="39"/>
        <v>#DIV/0!</v>
      </c>
      <c r="P134" s="81" t="e">
        <f t="shared" si="39"/>
        <v>#DIV/0!</v>
      </c>
      <c r="Q134" s="81" t="e">
        <f t="shared" si="39"/>
        <v>#DIV/0!</v>
      </c>
      <c r="R134" s="81" t="e">
        <f t="shared" si="39"/>
        <v>#DIV/0!</v>
      </c>
      <c r="S134" s="81" t="e">
        <f t="shared" si="39"/>
        <v>#DIV/0!</v>
      </c>
      <c r="T134" s="81" t="e">
        <f t="shared" si="39"/>
        <v>#DIV/0!</v>
      </c>
      <c r="U134" s="81" t="e">
        <f t="shared" si="39"/>
        <v>#DIV/0!</v>
      </c>
      <c r="V134" s="81" t="e">
        <f t="shared" si="39"/>
        <v>#DIV/0!</v>
      </c>
    </row>
    <row r="135" spans="2:22">
      <c r="C135" s="77" t="s">
        <v>477</v>
      </c>
      <c r="D135" s="77"/>
      <c r="E135" s="77"/>
      <c r="F135" s="79" t="e">
        <f t="shared" ref="F135:V135" si="40">F132*F134</f>
        <v>#DIV/0!</v>
      </c>
      <c r="G135" s="79" t="e">
        <f t="shared" si="40"/>
        <v>#DIV/0!</v>
      </c>
      <c r="H135" s="79" t="e">
        <f t="shared" si="40"/>
        <v>#DIV/0!</v>
      </c>
      <c r="I135" s="79" t="e">
        <f t="shared" si="40"/>
        <v>#DIV/0!</v>
      </c>
      <c r="J135" s="79" t="e">
        <f t="shared" si="40"/>
        <v>#DIV/0!</v>
      </c>
      <c r="K135" s="79" t="e">
        <f t="shared" si="40"/>
        <v>#DIV/0!</v>
      </c>
      <c r="L135" s="79" t="e">
        <f t="shared" si="40"/>
        <v>#DIV/0!</v>
      </c>
      <c r="M135" s="79" t="e">
        <f t="shared" si="40"/>
        <v>#DIV/0!</v>
      </c>
      <c r="N135" s="79" t="e">
        <f t="shared" si="40"/>
        <v>#DIV/0!</v>
      </c>
      <c r="O135" s="79" t="e">
        <f t="shared" si="40"/>
        <v>#DIV/0!</v>
      </c>
      <c r="P135" s="79" t="e">
        <f t="shared" si="40"/>
        <v>#DIV/0!</v>
      </c>
      <c r="Q135" s="79" t="e">
        <f t="shared" si="40"/>
        <v>#DIV/0!</v>
      </c>
      <c r="R135" s="79" t="e">
        <f t="shared" si="40"/>
        <v>#DIV/0!</v>
      </c>
      <c r="S135" s="79" t="e">
        <f t="shared" si="40"/>
        <v>#DIV/0!</v>
      </c>
      <c r="T135" s="79" t="e">
        <f t="shared" si="40"/>
        <v>#DIV/0!</v>
      </c>
      <c r="U135" s="79" t="e">
        <f t="shared" si="40"/>
        <v>#DIV/0!</v>
      </c>
      <c r="V135" s="79" t="e">
        <f t="shared" si="40"/>
        <v>#DIV/0!</v>
      </c>
    </row>
    <row r="136" spans="2:22">
      <c r="C136" s="77" t="s">
        <v>478</v>
      </c>
      <c r="D136" s="77"/>
      <c r="E136" s="77"/>
      <c r="F136" s="79" t="e">
        <f t="shared" ref="F136:V136" si="41">F135*(1-F$103)</f>
        <v>#DIV/0!</v>
      </c>
      <c r="G136" s="79" t="e">
        <f t="shared" si="41"/>
        <v>#DIV/0!</v>
      </c>
      <c r="H136" s="79" t="e">
        <f t="shared" si="41"/>
        <v>#DIV/0!</v>
      </c>
      <c r="I136" s="79" t="e">
        <f t="shared" si="41"/>
        <v>#DIV/0!</v>
      </c>
      <c r="J136" s="79" t="e">
        <f t="shared" si="41"/>
        <v>#DIV/0!</v>
      </c>
      <c r="K136" s="79" t="e">
        <f t="shared" si="41"/>
        <v>#DIV/0!</v>
      </c>
      <c r="L136" s="79" t="e">
        <f t="shared" si="41"/>
        <v>#DIV/0!</v>
      </c>
      <c r="M136" s="79" t="e">
        <f t="shared" si="41"/>
        <v>#DIV/0!</v>
      </c>
      <c r="N136" s="79" t="e">
        <f t="shared" si="41"/>
        <v>#DIV/0!</v>
      </c>
      <c r="O136" s="79" t="e">
        <f t="shared" si="41"/>
        <v>#DIV/0!</v>
      </c>
      <c r="P136" s="79" t="e">
        <f t="shared" si="41"/>
        <v>#DIV/0!</v>
      </c>
      <c r="Q136" s="79" t="e">
        <f t="shared" si="41"/>
        <v>#DIV/0!</v>
      </c>
      <c r="R136" s="79" t="e">
        <f t="shared" si="41"/>
        <v>#DIV/0!</v>
      </c>
      <c r="S136" s="79" t="e">
        <f t="shared" si="41"/>
        <v>#DIV/0!</v>
      </c>
      <c r="T136" s="79" t="e">
        <f t="shared" si="41"/>
        <v>#DIV/0!</v>
      </c>
      <c r="U136" s="79" t="e">
        <f t="shared" si="41"/>
        <v>#DIV/0!</v>
      </c>
      <c r="V136" s="79" t="e">
        <f t="shared" si="41"/>
        <v>#DIV/0!</v>
      </c>
    </row>
    <row r="137" spans="2:22">
      <c r="B137" s="74" t="s">
        <v>449</v>
      </c>
      <c r="C137" s="77"/>
      <c r="D137" s="77"/>
      <c r="E137" s="77"/>
      <c r="F137" s="74"/>
      <c r="G137" s="74"/>
      <c r="H137" s="74"/>
    </row>
    <row r="138" spans="2:22" s="81" customFormat="1">
      <c r="C138" s="89" t="s">
        <v>446</v>
      </c>
      <c r="D138" s="89"/>
      <c r="E138" s="89"/>
      <c r="F138" s="81">
        <f>F55*F$107</f>
        <v>1</v>
      </c>
      <c r="G138" s="81">
        <f>G55*G$107</f>
        <v>1</v>
      </c>
      <c r="H138" s="81">
        <f>H55*H$107</f>
        <v>1</v>
      </c>
      <c r="I138" s="81">
        <f>I55*I$107</f>
        <v>1</v>
      </c>
      <c r="J138" s="81">
        <f t="shared" ref="J138:U138" si="42">J55*J$107</f>
        <v>1</v>
      </c>
      <c r="K138" s="81">
        <f t="shared" si="42"/>
        <v>1</v>
      </c>
      <c r="L138" s="81">
        <f t="shared" si="42"/>
        <v>1</v>
      </c>
      <c r="M138" s="81">
        <f t="shared" si="42"/>
        <v>1</v>
      </c>
      <c r="N138" s="81">
        <f t="shared" si="42"/>
        <v>1</v>
      </c>
      <c r="O138" s="81">
        <f t="shared" si="42"/>
        <v>1</v>
      </c>
      <c r="P138" s="81">
        <f t="shared" si="42"/>
        <v>1</v>
      </c>
      <c r="Q138" s="81">
        <f t="shared" si="42"/>
        <v>1</v>
      </c>
      <c r="R138" s="81">
        <f t="shared" si="42"/>
        <v>1</v>
      </c>
      <c r="S138" s="81">
        <f t="shared" si="42"/>
        <v>1</v>
      </c>
      <c r="T138" s="81">
        <f t="shared" si="42"/>
        <v>1</v>
      </c>
      <c r="U138" s="81">
        <f t="shared" si="42"/>
        <v>1</v>
      </c>
      <c r="V138" s="81">
        <f>V55*V$107</f>
        <v>1</v>
      </c>
    </row>
    <row r="139" spans="2:22">
      <c r="C139" s="77" t="s">
        <v>437</v>
      </c>
      <c r="D139" s="77"/>
      <c r="E139" s="77"/>
      <c r="F139" s="97">
        <f>F56</f>
        <v>1</v>
      </c>
      <c r="G139" s="97">
        <f>G56</f>
        <v>1</v>
      </c>
      <c r="H139" s="97">
        <f>H56</f>
        <v>1</v>
      </c>
      <c r="I139" s="97">
        <f>I56</f>
        <v>1</v>
      </c>
      <c r="J139" s="97">
        <f t="shared" ref="J139:U139" si="43">J56</f>
        <v>1</v>
      </c>
      <c r="K139" s="97">
        <f t="shared" si="43"/>
        <v>1</v>
      </c>
      <c r="L139" s="97">
        <f t="shared" si="43"/>
        <v>1</v>
      </c>
      <c r="M139" s="97">
        <f t="shared" si="43"/>
        <v>1</v>
      </c>
      <c r="N139" s="97">
        <f t="shared" si="43"/>
        <v>1</v>
      </c>
      <c r="O139" s="97">
        <f t="shared" si="43"/>
        <v>1</v>
      </c>
      <c r="P139" s="97">
        <f t="shared" si="43"/>
        <v>1</v>
      </c>
      <c r="Q139" s="97">
        <f t="shared" si="43"/>
        <v>1</v>
      </c>
      <c r="R139" s="97">
        <f t="shared" si="43"/>
        <v>1</v>
      </c>
      <c r="S139" s="97">
        <f t="shared" si="43"/>
        <v>1</v>
      </c>
      <c r="T139" s="97">
        <f t="shared" si="43"/>
        <v>1</v>
      </c>
      <c r="U139" s="97">
        <f t="shared" si="43"/>
        <v>1</v>
      </c>
      <c r="V139" s="97">
        <f>V56</f>
        <v>1</v>
      </c>
    </row>
    <row r="140" spans="2:22">
      <c r="C140" s="77" t="s">
        <v>473</v>
      </c>
      <c r="D140" s="77"/>
      <c r="E140" s="77"/>
      <c r="F140" s="95" t="e">
        <f t="shared" ref="F140:V140" si="44">F$39*EXP((F$40-F$42-F$40)*F139)*NORMDIST((LN(F$39/F138)+(F$40-F$42+F$41^2/2)*F139)/(F$41*SQRT(F139)),0,1,TRUE)-F138*EXP(-F$40*F139)*NORMDIST((LN(F$39/F138)+(F$40-F$42-(F$41)^2/2)*F139)/(F$41*SQRT(F139)),0,1,TRUE)</f>
        <v>#NUM!</v>
      </c>
      <c r="G140" s="95" t="e">
        <f t="shared" si="44"/>
        <v>#NUM!</v>
      </c>
      <c r="H140" s="95" t="e">
        <f t="shared" si="44"/>
        <v>#NUM!</v>
      </c>
      <c r="I140" s="95" t="e">
        <f t="shared" si="44"/>
        <v>#NUM!</v>
      </c>
      <c r="J140" s="95" t="e">
        <f t="shared" si="44"/>
        <v>#NUM!</v>
      </c>
      <c r="K140" s="95" t="e">
        <f t="shared" si="44"/>
        <v>#NUM!</v>
      </c>
      <c r="L140" s="95" t="e">
        <f t="shared" si="44"/>
        <v>#NUM!</v>
      </c>
      <c r="M140" s="95" t="e">
        <f t="shared" si="44"/>
        <v>#NUM!</v>
      </c>
      <c r="N140" s="95" t="e">
        <f t="shared" si="44"/>
        <v>#NUM!</v>
      </c>
      <c r="O140" s="95" t="e">
        <f t="shared" si="44"/>
        <v>#NUM!</v>
      </c>
      <c r="P140" s="95" t="e">
        <f t="shared" si="44"/>
        <v>#NUM!</v>
      </c>
      <c r="Q140" s="95" t="e">
        <f t="shared" si="44"/>
        <v>#NUM!</v>
      </c>
      <c r="R140" s="95" t="e">
        <f t="shared" si="44"/>
        <v>#NUM!</v>
      </c>
      <c r="S140" s="95" t="e">
        <f t="shared" si="44"/>
        <v>#NUM!</v>
      </c>
      <c r="T140" s="95" t="e">
        <f t="shared" si="44"/>
        <v>#NUM!</v>
      </c>
      <c r="U140" s="95" t="e">
        <f t="shared" si="44"/>
        <v>#NUM!</v>
      </c>
      <c r="V140" s="95" t="e">
        <f t="shared" si="44"/>
        <v>#NUM!</v>
      </c>
    </row>
    <row r="141" spans="2:22">
      <c r="C141" s="77" t="s">
        <v>447</v>
      </c>
      <c r="D141" s="77"/>
      <c r="E141" s="77"/>
      <c r="F141" s="97">
        <f>F57*F$107</f>
        <v>0</v>
      </c>
      <c r="G141" s="97">
        <f>G57*G$107</f>
        <v>0</v>
      </c>
      <c r="H141" s="97">
        <f>H57*H$107</f>
        <v>0</v>
      </c>
      <c r="I141" s="97">
        <f>I57*I$107</f>
        <v>0</v>
      </c>
      <c r="J141" s="97">
        <f t="shared" ref="J141:U141" si="45">J57*J$107</f>
        <v>0</v>
      </c>
      <c r="K141" s="97">
        <f t="shared" si="45"/>
        <v>0</v>
      </c>
      <c r="L141" s="97">
        <f t="shared" si="45"/>
        <v>0</v>
      </c>
      <c r="M141" s="97">
        <f t="shared" si="45"/>
        <v>0</v>
      </c>
      <c r="N141" s="97">
        <f t="shared" si="45"/>
        <v>0</v>
      </c>
      <c r="O141" s="97">
        <f t="shared" si="45"/>
        <v>0</v>
      </c>
      <c r="P141" s="97">
        <f t="shared" si="45"/>
        <v>0</v>
      </c>
      <c r="Q141" s="97">
        <f t="shared" si="45"/>
        <v>0</v>
      </c>
      <c r="R141" s="97">
        <f t="shared" si="45"/>
        <v>0</v>
      </c>
      <c r="S141" s="97">
        <f t="shared" si="45"/>
        <v>0</v>
      </c>
      <c r="T141" s="97">
        <f t="shared" si="45"/>
        <v>0</v>
      </c>
      <c r="U141" s="97">
        <f t="shared" si="45"/>
        <v>0</v>
      </c>
      <c r="V141" s="97">
        <f>V57*V$107</f>
        <v>0</v>
      </c>
    </row>
    <row r="142" spans="2:22">
      <c r="C142" s="77" t="s">
        <v>474</v>
      </c>
      <c r="D142" s="77"/>
      <c r="E142" s="77"/>
      <c r="F142" s="97">
        <f>IF(F139-F$99&gt;0,F139-F$99,0)</f>
        <v>0</v>
      </c>
      <c r="G142" s="97">
        <f>IF(G139-G$99&gt;0,G139-G$99,0)</f>
        <v>0</v>
      </c>
      <c r="H142" s="97">
        <f>IF(H139-H$99&gt;0,H139-H$99,0)</f>
        <v>0</v>
      </c>
      <c r="I142" s="97">
        <f>IF(I139-I$99&gt;0,I139-I$99,0)</f>
        <v>0</v>
      </c>
      <c r="J142" s="97">
        <f t="shared" ref="J142:U142" si="46">IF(J139-J$99&gt;0,J139-J$99,0)</f>
        <v>0</v>
      </c>
      <c r="K142" s="97">
        <f t="shared" si="46"/>
        <v>0</v>
      </c>
      <c r="L142" s="97">
        <f t="shared" si="46"/>
        <v>0</v>
      </c>
      <c r="M142" s="97">
        <f t="shared" si="46"/>
        <v>0</v>
      </c>
      <c r="N142" s="97">
        <f t="shared" si="46"/>
        <v>0</v>
      </c>
      <c r="O142" s="97">
        <f t="shared" si="46"/>
        <v>0</v>
      </c>
      <c r="P142" s="97">
        <f t="shared" si="46"/>
        <v>1</v>
      </c>
      <c r="Q142" s="97">
        <f t="shared" si="46"/>
        <v>1</v>
      </c>
      <c r="R142" s="97">
        <f t="shared" si="46"/>
        <v>1</v>
      </c>
      <c r="S142" s="97">
        <f t="shared" si="46"/>
        <v>1</v>
      </c>
      <c r="T142" s="97">
        <f t="shared" si="46"/>
        <v>1</v>
      </c>
      <c r="U142" s="97">
        <f t="shared" si="46"/>
        <v>1</v>
      </c>
      <c r="V142" s="97">
        <f>IF(V139-V$99&gt;0,V139-V$99,0)</f>
        <v>1</v>
      </c>
    </row>
    <row r="143" spans="2:22">
      <c r="C143" s="77" t="s">
        <v>475</v>
      </c>
      <c r="D143" s="77"/>
      <c r="E143" s="77"/>
      <c r="F143" s="97" t="e">
        <f t="shared" ref="F143:V143" si="47">IF(F141*(1-F$100)^F142&gt;0,F141*(1-F$100)^F142,0)</f>
        <v>#DIV/0!</v>
      </c>
      <c r="G143" s="97" t="e">
        <f t="shared" si="47"/>
        <v>#DIV/0!</v>
      </c>
      <c r="H143" s="97" t="e">
        <f t="shared" si="47"/>
        <v>#DIV/0!</v>
      </c>
      <c r="I143" s="97" t="e">
        <f t="shared" si="47"/>
        <v>#DIV/0!</v>
      </c>
      <c r="J143" s="97" t="e">
        <f t="shared" si="47"/>
        <v>#DIV/0!</v>
      </c>
      <c r="K143" s="97" t="e">
        <f t="shared" si="47"/>
        <v>#DIV/0!</v>
      </c>
      <c r="L143" s="97" t="e">
        <f t="shared" si="47"/>
        <v>#DIV/0!</v>
      </c>
      <c r="M143" s="97" t="e">
        <f t="shared" si="47"/>
        <v>#DIV/0!</v>
      </c>
      <c r="N143" s="97" t="e">
        <f t="shared" si="47"/>
        <v>#DIV/0!</v>
      </c>
      <c r="O143" s="97" t="e">
        <f t="shared" si="47"/>
        <v>#DIV/0!</v>
      </c>
      <c r="P143" s="97" t="e">
        <f t="shared" si="47"/>
        <v>#DIV/0!</v>
      </c>
      <c r="Q143" s="97" t="e">
        <f t="shared" si="47"/>
        <v>#DIV/0!</v>
      </c>
      <c r="R143" s="97" t="e">
        <f t="shared" si="47"/>
        <v>#DIV/0!</v>
      </c>
      <c r="S143" s="97" t="e">
        <f t="shared" si="47"/>
        <v>#DIV/0!</v>
      </c>
      <c r="T143" s="97" t="e">
        <f t="shared" si="47"/>
        <v>#DIV/0!</v>
      </c>
      <c r="U143" s="97" t="e">
        <f t="shared" si="47"/>
        <v>#DIV/0!</v>
      </c>
      <c r="V143" s="97" t="e">
        <f t="shared" si="47"/>
        <v>#DIV/0!</v>
      </c>
    </row>
    <row r="144" spans="2:22">
      <c r="C144" s="77" t="s">
        <v>464</v>
      </c>
      <c r="D144" s="77"/>
      <c r="E144" s="77"/>
      <c r="F144" s="33" t="e">
        <f t="shared" ref="F144:V144" si="48">(1/(1+F143/F$43))</f>
        <v>#DIV/0!</v>
      </c>
      <c r="G144" s="33" t="e">
        <f t="shared" si="48"/>
        <v>#DIV/0!</v>
      </c>
      <c r="H144" s="33" t="e">
        <f t="shared" si="48"/>
        <v>#DIV/0!</v>
      </c>
      <c r="I144" s="33" t="e">
        <f t="shared" si="48"/>
        <v>#DIV/0!</v>
      </c>
      <c r="J144" s="33" t="e">
        <f t="shared" si="48"/>
        <v>#DIV/0!</v>
      </c>
      <c r="K144" s="33" t="e">
        <f t="shared" si="48"/>
        <v>#DIV/0!</v>
      </c>
      <c r="L144" s="33" t="e">
        <f t="shared" si="48"/>
        <v>#DIV/0!</v>
      </c>
      <c r="M144" s="33" t="e">
        <f t="shared" si="48"/>
        <v>#DIV/0!</v>
      </c>
      <c r="N144" s="33" t="e">
        <f t="shared" si="48"/>
        <v>#DIV/0!</v>
      </c>
      <c r="O144" s="33" t="e">
        <f t="shared" si="48"/>
        <v>#DIV/0!</v>
      </c>
      <c r="P144" s="33" t="e">
        <f t="shared" si="48"/>
        <v>#DIV/0!</v>
      </c>
      <c r="Q144" s="33" t="e">
        <f t="shared" si="48"/>
        <v>#DIV/0!</v>
      </c>
      <c r="R144" s="33" t="e">
        <f t="shared" si="48"/>
        <v>#DIV/0!</v>
      </c>
      <c r="S144" s="33" t="e">
        <f t="shared" si="48"/>
        <v>#DIV/0!</v>
      </c>
      <c r="T144" s="33" t="e">
        <f t="shared" si="48"/>
        <v>#DIV/0!</v>
      </c>
      <c r="U144" s="33" t="e">
        <f t="shared" si="48"/>
        <v>#DIV/0!</v>
      </c>
      <c r="V144" s="33" t="e">
        <f t="shared" si="48"/>
        <v>#DIV/0!</v>
      </c>
    </row>
    <row r="145" spans="2:22">
      <c r="C145" s="77" t="s">
        <v>476</v>
      </c>
      <c r="D145" s="77"/>
      <c r="E145" s="77"/>
      <c r="F145" s="81" t="e">
        <f t="shared" ref="F145:V145" si="49">F144*F140</f>
        <v>#DIV/0!</v>
      </c>
      <c r="G145" s="81" t="e">
        <f t="shared" si="49"/>
        <v>#DIV/0!</v>
      </c>
      <c r="H145" s="81" t="e">
        <f t="shared" si="49"/>
        <v>#DIV/0!</v>
      </c>
      <c r="I145" s="81" t="e">
        <f t="shared" si="49"/>
        <v>#DIV/0!</v>
      </c>
      <c r="J145" s="81" t="e">
        <f t="shared" si="49"/>
        <v>#DIV/0!</v>
      </c>
      <c r="K145" s="81" t="e">
        <f t="shared" si="49"/>
        <v>#DIV/0!</v>
      </c>
      <c r="L145" s="81" t="e">
        <f t="shared" si="49"/>
        <v>#DIV/0!</v>
      </c>
      <c r="M145" s="81" t="e">
        <f t="shared" si="49"/>
        <v>#DIV/0!</v>
      </c>
      <c r="N145" s="81" t="e">
        <f t="shared" si="49"/>
        <v>#DIV/0!</v>
      </c>
      <c r="O145" s="81" t="e">
        <f t="shared" si="49"/>
        <v>#DIV/0!</v>
      </c>
      <c r="P145" s="81" t="e">
        <f t="shared" si="49"/>
        <v>#DIV/0!</v>
      </c>
      <c r="Q145" s="81" t="e">
        <f t="shared" si="49"/>
        <v>#DIV/0!</v>
      </c>
      <c r="R145" s="81" t="e">
        <f t="shared" si="49"/>
        <v>#DIV/0!</v>
      </c>
      <c r="S145" s="81" t="e">
        <f t="shared" si="49"/>
        <v>#DIV/0!</v>
      </c>
      <c r="T145" s="81" t="e">
        <f t="shared" si="49"/>
        <v>#DIV/0!</v>
      </c>
      <c r="U145" s="81" t="e">
        <f t="shared" si="49"/>
        <v>#DIV/0!</v>
      </c>
      <c r="V145" s="81" t="e">
        <f t="shared" si="49"/>
        <v>#DIV/0!</v>
      </c>
    </row>
    <row r="146" spans="2:22">
      <c r="C146" s="77" t="s">
        <v>477</v>
      </c>
      <c r="D146" s="77"/>
      <c r="E146" s="77"/>
      <c r="F146" s="79" t="e">
        <f t="shared" ref="F146:V146" si="50">F143*F145</f>
        <v>#DIV/0!</v>
      </c>
      <c r="G146" s="79" t="e">
        <f t="shared" si="50"/>
        <v>#DIV/0!</v>
      </c>
      <c r="H146" s="79" t="e">
        <f t="shared" si="50"/>
        <v>#DIV/0!</v>
      </c>
      <c r="I146" s="79" t="e">
        <f t="shared" si="50"/>
        <v>#DIV/0!</v>
      </c>
      <c r="J146" s="79" t="e">
        <f t="shared" si="50"/>
        <v>#DIV/0!</v>
      </c>
      <c r="K146" s="79" t="e">
        <f t="shared" si="50"/>
        <v>#DIV/0!</v>
      </c>
      <c r="L146" s="79" t="e">
        <f t="shared" si="50"/>
        <v>#DIV/0!</v>
      </c>
      <c r="M146" s="79" t="e">
        <f t="shared" si="50"/>
        <v>#DIV/0!</v>
      </c>
      <c r="N146" s="79" t="e">
        <f t="shared" si="50"/>
        <v>#DIV/0!</v>
      </c>
      <c r="O146" s="79" t="e">
        <f t="shared" si="50"/>
        <v>#DIV/0!</v>
      </c>
      <c r="P146" s="79" t="e">
        <f t="shared" si="50"/>
        <v>#DIV/0!</v>
      </c>
      <c r="Q146" s="79" t="e">
        <f t="shared" si="50"/>
        <v>#DIV/0!</v>
      </c>
      <c r="R146" s="79" t="e">
        <f t="shared" si="50"/>
        <v>#DIV/0!</v>
      </c>
      <c r="S146" s="79" t="e">
        <f t="shared" si="50"/>
        <v>#DIV/0!</v>
      </c>
      <c r="T146" s="79" t="e">
        <f t="shared" si="50"/>
        <v>#DIV/0!</v>
      </c>
      <c r="U146" s="79" t="e">
        <f t="shared" si="50"/>
        <v>#DIV/0!</v>
      </c>
      <c r="V146" s="79" t="e">
        <f t="shared" si="50"/>
        <v>#DIV/0!</v>
      </c>
    </row>
    <row r="147" spans="2:22">
      <c r="C147" s="77" t="s">
        <v>478</v>
      </c>
      <c r="D147" s="77"/>
      <c r="E147" s="77"/>
      <c r="F147" s="79" t="e">
        <f t="shared" ref="F147:V147" si="51">F146*(1-F$103)</f>
        <v>#DIV/0!</v>
      </c>
      <c r="G147" s="79" t="e">
        <f t="shared" si="51"/>
        <v>#DIV/0!</v>
      </c>
      <c r="H147" s="79" t="e">
        <f t="shared" si="51"/>
        <v>#DIV/0!</v>
      </c>
      <c r="I147" s="79" t="e">
        <f t="shared" si="51"/>
        <v>#DIV/0!</v>
      </c>
      <c r="J147" s="79" t="e">
        <f t="shared" si="51"/>
        <v>#DIV/0!</v>
      </c>
      <c r="K147" s="79" t="e">
        <f t="shared" si="51"/>
        <v>#DIV/0!</v>
      </c>
      <c r="L147" s="79" t="e">
        <f t="shared" si="51"/>
        <v>#DIV/0!</v>
      </c>
      <c r="M147" s="79" t="e">
        <f t="shared" si="51"/>
        <v>#DIV/0!</v>
      </c>
      <c r="N147" s="79" t="e">
        <f t="shared" si="51"/>
        <v>#DIV/0!</v>
      </c>
      <c r="O147" s="79" t="e">
        <f t="shared" si="51"/>
        <v>#DIV/0!</v>
      </c>
      <c r="P147" s="79" t="e">
        <f t="shared" si="51"/>
        <v>#DIV/0!</v>
      </c>
      <c r="Q147" s="79" t="e">
        <f t="shared" si="51"/>
        <v>#DIV/0!</v>
      </c>
      <c r="R147" s="79" t="e">
        <f t="shared" si="51"/>
        <v>#DIV/0!</v>
      </c>
      <c r="S147" s="79" t="e">
        <f t="shared" si="51"/>
        <v>#DIV/0!</v>
      </c>
      <c r="T147" s="79" t="e">
        <f t="shared" si="51"/>
        <v>#DIV/0!</v>
      </c>
      <c r="U147" s="79" t="e">
        <f t="shared" si="51"/>
        <v>#DIV/0!</v>
      </c>
      <c r="V147" s="79" t="e">
        <f t="shared" si="51"/>
        <v>#DIV/0!</v>
      </c>
    </row>
    <row r="148" spans="2:22">
      <c r="B148" s="74" t="s">
        <v>450</v>
      </c>
      <c r="C148" s="77"/>
      <c r="D148" s="77"/>
      <c r="E148" s="77"/>
      <c r="F148" s="74"/>
      <c r="G148" s="74"/>
      <c r="H148" s="74"/>
    </row>
    <row r="149" spans="2:22" s="81" customFormat="1">
      <c r="C149" s="89" t="s">
        <v>446</v>
      </c>
      <c r="D149" s="89"/>
      <c r="E149" s="89"/>
      <c r="F149" s="81">
        <f>F59*F$107</f>
        <v>1</v>
      </c>
      <c r="G149" s="81">
        <f>G59*G$107</f>
        <v>1</v>
      </c>
      <c r="H149" s="81">
        <f>H59*H$107</f>
        <v>1</v>
      </c>
      <c r="I149" s="81">
        <f>I59*I$107</f>
        <v>1</v>
      </c>
      <c r="J149" s="81">
        <f t="shared" ref="J149:U149" si="52">J59*J$107</f>
        <v>1</v>
      </c>
      <c r="K149" s="81">
        <f t="shared" si="52"/>
        <v>1</v>
      </c>
      <c r="L149" s="81">
        <f t="shared" si="52"/>
        <v>1</v>
      </c>
      <c r="M149" s="81">
        <f t="shared" si="52"/>
        <v>1</v>
      </c>
      <c r="N149" s="81">
        <f t="shared" si="52"/>
        <v>1</v>
      </c>
      <c r="O149" s="81">
        <f t="shared" si="52"/>
        <v>1</v>
      </c>
      <c r="P149" s="81">
        <f t="shared" si="52"/>
        <v>1</v>
      </c>
      <c r="Q149" s="81">
        <f t="shared" si="52"/>
        <v>1</v>
      </c>
      <c r="R149" s="81">
        <f t="shared" si="52"/>
        <v>1</v>
      </c>
      <c r="S149" s="81">
        <f t="shared" si="52"/>
        <v>1</v>
      </c>
      <c r="T149" s="81">
        <f t="shared" si="52"/>
        <v>1</v>
      </c>
      <c r="U149" s="81">
        <f t="shared" si="52"/>
        <v>1</v>
      </c>
      <c r="V149" s="81">
        <f>V59*V$107</f>
        <v>1</v>
      </c>
    </row>
    <row r="150" spans="2:22">
      <c r="C150" s="77" t="s">
        <v>437</v>
      </c>
      <c r="D150" s="77"/>
      <c r="E150" s="77"/>
      <c r="F150" s="97">
        <f>F60</f>
        <v>1</v>
      </c>
      <c r="G150" s="97">
        <f>G60</f>
        <v>1</v>
      </c>
      <c r="H150" s="97">
        <f>H60</f>
        <v>1</v>
      </c>
      <c r="I150" s="97">
        <f>I60</f>
        <v>1</v>
      </c>
      <c r="J150" s="97">
        <f t="shared" ref="J150:U150" si="53">J60</f>
        <v>1</v>
      </c>
      <c r="K150" s="97">
        <f t="shared" si="53"/>
        <v>1</v>
      </c>
      <c r="L150" s="97">
        <f t="shared" si="53"/>
        <v>1</v>
      </c>
      <c r="M150" s="97">
        <f t="shared" si="53"/>
        <v>1</v>
      </c>
      <c r="N150" s="97">
        <f t="shared" si="53"/>
        <v>1</v>
      </c>
      <c r="O150" s="97">
        <f t="shared" si="53"/>
        <v>1</v>
      </c>
      <c r="P150" s="97">
        <f t="shared" si="53"/>
        <v>1</v>
      </c>
      <c r="Q150" s="97">
        <f t="shared" si="53"/>
        <v>1</v>
      </c>
      <c r="R150" s="97">
        <f t="shared" si="53"/>
        <v>1</v>
      </c>
      <c r="S150" s="97">
        <f t="shared" si="53"/>
        <v>1</v>
      </c>
      <c r="T150" s="97">
        <f t="shared" si="53"/>
        <v>1</v>
      </c>
      <c r="U150" s="97">
        <f t="shared" si="53"/>
        <v>1</v>
      </c>
      <c r="V150" s="97">
        <f>V60</f>
        <v>1</v>
      </c>
    </row>
    <row r="151" spans="2:22">
      <c r="C151" s="77" t="s">
        <v>473</v>
      </c>
      <c r="D151" s="77"/>
      <c r="E151" s="77"/>
      <c r="F151" s="95" t="e">
        <f t="shared" ref="F151:V151" si="54">F$39*EXP((F$40-F$42-F$40)*F150)*NORMDIST((LN(F$39/F149)+(F$40-F$42+F$41^2/2)*F150)/(F$41*SQRT(F150)),0,1,TRUE)-F149*EXP(-F$40*F150)*NORMDIST((LN(F$39/F149)+(F$40-F$42-(F$41)^2/2)*F150)/(F$41*SQRT(F150)),0,1,TRUE)</f>
        <v>#NUM!</v>
      </c>
      <c r="G151" s="95" t="e">
        <f t="shared" si="54"/>
        <v>#NUM!</v>
      </c>
      <c r="H151" s="95" t="e">
        <f t="shared" si="54"/>
        <v>#NUM!</v>
      </c>
      <c r="I151" s="95" t="e">
        <f t="shared" si="54"/>
        <v>#NUM!</v>
      </c>
      <c r="J151" s="95" t="e">
        <f t="shared" si="54"/>
        <v>#NUM!</v>
      </c>
      <c r="K151" s="95" t="e">
        <f t="shared" si="54"/>
        <v>#NUM!</v>
      </c>
      <c r="L151" s="95" t="e">
        <f t="shared" si="54"/>
        <v>#NUM!</v>
      </c>
      <c r="M151" s="95" t="e">
        <f t="shared" si="54"/>
        <v>#NUM!</v>
      </c>
      <c r="N151" s="95" t="e">
        <f t="shared" si="54"/>
        <v>#NUM!</v>
      </c>
      <c r="O151" s="95" t="e">
        <f t="shared" si="54"/>
        <v>#NUM!</v>
      </c>
      <c r="P151" s="95" t="e">
        <f t="shared" si="54"/>
        <v>#NUM!</v>
      </c>
      <c r="Q151" s="95" t="e">
        <f t="shared" si="54"/>
        <v>#NUM!</v>
      </c>
      <c r="R151" s="95" t="e">
        <f t="shared" si="54"/>
        <v>#NUM!</v>
      </c>
      <c r="S151" s="95" t="e">
        <f t="shared" si="54"/>
        <v>#NUM!</v>
      </c>
      <c r="T151" s="95" t="e">
        <f t="shared" si="54"/>
        <v>#NUM!</v>
      </c>
      <c r="U151" s="95" t="e">
        <f t="shared" si="54"/>
        <v>#NUM!</v>
      </c>
      <c r="V151" s="95" t="e">
        <f t="shared" si="54"/>
        <v>#NUM!</v>
      </c>
    </row>
    <row r="152" spans="2:22">
      <c r="C152" s="77" t="s">
        <v>447</v>
      </c>
      <c r="D152" s="77"/>
      <c r="E152" s="77"/>
      <c r="F152" s="97">
        <f>F61*F$107</f>
        <v>0</v>
      </c>
      <c r="G152" s="97">
        <f>G61*G$107</f>
        <v>0</v>
      </c>
      <c r="H152" s="97">
        <f>H61*H$107</f>
        <v>0</v>
      </c>
      <c r="I152" s="97">
        <f>I61*I$107</f>
        <v>0</v>
      </c>
      <c r="J152" s="97">
        <f t="shared" ref="J152:U152" si="55">J61*J$107</f>
        <v>0</v>
      </c>
      <c r="K152" s="97">
        <f t="shared" si="55"/>
        <v>0</v>
      </c>
      <c r="L152" s="97">
        <f t="shared" si="55"/>
        <v>0</v>
      </c>
      <c r="M152" s="97">
        <f t="shared" si="55"/>
        <v>0</v>
      </c>
      <c r="N152" s="97">
        <f t="shared" si="55"/>
        <v>0</v>
      </c>
      <c r="O152" s="97">
        <f t="shared" si="55"/>
        <v>0</v>
      </c>
      <c r="P152" s="97">
        <f t="shared" si="55"/>
        <v>0</v>
      </c>
      <c r="Q152" s="97">
        <f t="shared" si="55"/>
        <v>0</v>
      </c>
      <c r="R152" s="97">
        <f t="shared" si="55"/>
        <v>0</v>
      </c>
      <c r="S152" s="97">
        <f t="shared" si="55"/>
        <v>0</v>
      </c>
      <c r="T152" s="97">
        <f t="shared" si="55"/>
        <v>0</v>
      </c>
      <c r="U152" s="97">
        <f t="shared" si="55"/>
        <v>0</v>
      </c>
      <c r="V152" s="97">
        <f>V61*V$107</f>
        <v>0</v>
      </c>
    </row>
    <row r="153" spans="2:22">
      <c r="C153" s="77" t="s">
        <v>474</v>
      </c>
      <c r="D153" s="77"/>
      <c r="E153" s="77"/>
      <c r="F153" s="97">
        <f>IF(F150-F$99&gt;0,F150-F$99,0)</f>
        <v>0</v>
      </c>
      <c r="G153" s="97">
        <f>IF(G150-G$99&gt;0,G150-G$99,0)</f>
        <v>0</v>
      </c>
      <c r="H153" s="97">
        <f>IF(H150-H$99&gt;0,H150-H$99,0)</f>
        <v>0</v>
      </c>
      <c r="I153" s="97">
        <f>IF(I150-I$99&gt;0,I150-I$99,0)</f>
        <v>0</v>
      </c>
      <c r="J153" s="97">
        <f t="shared" ref="J153:U153" si="56">IF(J150-J$99&gt;0,J150-J$99,0)</f>
        <v>0</v>
      </c>
      <c r="K153" s="97">
        <f t="shared" si="56"/>
        <v>0</v>
      </c>
      <c r="L153" s="97">
        <f t="shared" si="56"/>
        <v>0</v>
      </c>
      <c r="M153" s="97">
        <f t="shared" si="56"/>
        <v>0</v>
      </c>
      <c r="N153" s="97">
        <f t="shared" si="56"/>
        <v>0</v>
      </c>
      <c r="O153" s="97">
        <f t="shared" si="56"/>
        <v>0</v>
      </c>
      <c r="P153" s="97">
        <f t="shared" si="56"/>
        <v>1</v>
      </c>
      <c r="Q153" s="97">
        <f t="shared" si="56"/>
        <v>1</v>
      </c>
      <c r="R153" s="97">
        <f t="shared" si="56"/>
        <v>1</v>
      </c>
      <c r="S153" s="97">
        <f t="shared" si="56"/>
        <v>1</v>
      </c>
      <c r="T153" s="97">
        <f t="shared" si="56"/>
        <v>1</v>
      </c>
      <c r="U153" s="97">
        <f t="shared" si="56"/>
        <v>1</v>
      </c>
      <c r="V153" s="97">
        <f>IF(V150-V$99&gt;0,V150-V$99,0)</f>
        <v>1</v>
      </c>
    </row>
    <row r="154" spans="2:22">
      <c r="C154" s="77" t="s">
        <v>475</v>
      </c>
      <c r="D154" s="77"/>
      <c r="E154" s="77"/>
      <c r="F154" s="97" t="e">
        <f t="shared" ref="F154:V154" si="57">IF(F152*(1-F$100)^F153&gt;0,F152*(1-F$100)^F153,0)</f>
        <v>#DIV/0!</v>
      </c>
      <c r="G154" s="97" t="e">
        <f t="shared" si="57"/>
        <v>#DIV/0!</v>
      </c>
      <c r="H154" s="97" t="e">
        <f t="shared" si="57"/>
        <v>#DIV/0!</v>
      </c>
      <c r="I154" s="97" t="e">
        <f t="shared" si="57"/>
        <v>#DIV/0!</v>
      </c>
      <c r="J154" s="97" t="e">
        <f t="shared" si="57"/>
        <v>#DIV/0!</v>
      </c>
      <c r="K154" s="97" t="e">
        <f t="shared" si="57"/>
        <v>#DIV/0!</v>
      </c>
      <c r="L154" s="97" t="e">
        <f t="shared" si="57"/>
        <v>#DIV/0!</v>
      </c>
      <c r="M154" s="97" t="e">
        <f t="shared" si="57"/>
        <v>#DIV/0!</v>
      </c>
      <c r="N154" s="97" t="e">
        <f t="shared" si="57"/>
        <v>#DIV/0!</v>
      </c>
      <c r="O154" s="97" t="e">
        <f t="shared" si="57"/>
        <v>#DIV/0!</v>
      </c>
      <c r="P154" s="97" t="e">
        <f t="shared" si="57"/>
        <v>#DIV/0!</v>
      </c>
      <c r="Q154" s="97" t="e">
        <f t="shared" si="57"/>
        <v>#DIV/0!</v>
      </c>
      <c r="R154" s="97" t="e">
        <f t="shared" si="57"/>
        <v>#DIV/0!</v>
      </c>
      <c r="S154" s="97" t="e">
        <f t="shared" si="57"/>
        <v>#DIV/0!</v>
      </c>
      <c r="T154" s="97" t="e">
        <f t="shared" si="57"/>
        <v>#DIV/0!</v>
      </c>
      <c r="U154" s="97" t="e">
        <f t="shared" si="57"/>
        <v>#DIV/0!</v>
      </c>
      <c r="V154" s="97" t="e">
        <f t="shared" si="57"/>
        <v>#DIV/0!</v>
      </c>
    </row>
    <row r="155" spans="2:22">
      <c r="C155" s="77" t="s">
        <v>464</v>
      </c>
      <c r="D155" s="77"/>
      <c r="E155" s="77"/>
      <c r="F155" s="33" t="e">
        <f t="shared" ref="F155:V155" si="58">(1/(1+F154/F$43))</f>
        <v>#DIV/0!</v>
      </c>
      <c r="G155" s="33" t="e">
        <f t="shared" si="58"/>
        <v>#DIV/0!</v>
      </c>
      <c r="H155" s="33" t="e">
        <f t="shared" si="58"/>
        <v>#DIV/0!</v>
      </c>
      <c r="I155" s="33" t="e">
        <f t="shared" si="58"/>
        <v>#DIV/0!</v>
      </c>
      <c r="J155" s="33" t="e">
        <f t="shared" si="58"/>
        <v>#DIV/0!</v>
      </c>
      <c r="K155" s="33" t="e">
        <f t="shared" si="58"/>
        <v>#DIV/0!</v>
      </c>
      <c r="L155" s="33" t="e">
        <f t="shared" si="58"/>
        <v>#DIV/0!</v>
      </c>
      <c r="M155" s="33" t="e">
        <f t="shared" si="58"/>
        <v>#DIV/0!</v>
      </c>
      <c r="N155" s="33" t="e">
        <f t="shared" si="58"/>
        <v>#DIV/0!</v>
      </c>
      <c r="O155" s="33" t="e">
        <f t="shared" si="58"/>
        <v>#DIV/0!</v>
      </c>
      <c r="P155" s="33" t="e">
        <f t="shared" si="58"/>
        <v>#DIV/0!</v>
      </c>
      <c r="Q155" s="33" t="e">
        <f t="shared" si="58"/>
        <v>#DIV/0!</v>
      </c>
      <c r="R155" s="33" t="e">
        <f t="shared" si="58"/>
        <v>#DIV/0!</v>
      </c>
      <c r="S155" s="33" t="e">
        <f t="shared" si="58"/>
        <v>#DIV/0!</v>
      </c>
      <c r="T155" s="33" t="e">
        <f t="shared" si="58"/>
        <v>#DIV/0!</v>
      </c>
      <c r="U155" s="33" t="e">
        <f t="shared" si="58"/>
        <v>#DIV/0!</v>
      </c>
      <c r="V155" s="33" t="e">
        <f t="shared" si="58"/>
        <v>#DIV/0!</v>
      </c>
    </row>
    <row r="156" spans="2:22">
      <c r="C156" s="77" t="s">
        <v>476</v>
      </c>
      <c r="D156" s="77"/>
      <c r="E156" s="77"/>
      <c r="F156" s="81" t="e">
        <f t="shared" ref="F156:V156" si="59">F155*F151</f>
        <v>#DIV/0!</v>
      </c>
      <c r="G156" s="81" t="e">
        <f t="shared" si="59"/>
        <v>#DIV/0!</v>
      </c>
      <c r="H156" s="81" t="e">
        <f t="shared" si="59"/>
        <v>#DIV/0!</v>
      </c>
      <c r="I156" s="81" t="e">
        <f t="shared" si="59"/>
        <v>#DIV/0!</v>
      </c>
      <c r="J156" s="81" t="e">
        <f t="shared" si="59"/>
        <v>#DIV/0!</v>
      </c>
      <c r="K156" s="81" t="e">
        <f t="shared" si="59"/>
        <v>#DIV/0!</v>
      </c>
      <c r="L156" s="81" t="e">
        <f t="shared" si="59"/>
        <v>#DIV/0!</v>
      </c>
      <c r="M156" s="81" t="e">
        <f t="shared" si="59"/>
        <v>#DIV/0!</v>
      </c>
      <c r="N156" s="81" t="e">
        <f t="shared" si="59"/>
        <v>#DIV/0!</v>
      </c>
      <c r="O156" s="81" t="e">
        <f t="shared" si="59"/>
        <v>#DIV/0!</v>
      </c>
      <c r="P156" s="81" t="e">
        <f t="shared" si="59"/>
        <v>#DIV/0!</v>
      </c>
      <c r="Q156" s="81" t="e">
        <f t="shared" si="59"/>
        <v>#DIV/0!</v>
      </c>
      <c r="R156" s="81" t="e">
        <f t="shared" si="59"/>
        <v>#DIV/0!</v>
      </c>
      <c r="S156" s="81" t="e">
        <f t="shared" si="59"/>
        <v>#DIV/0!</v>
      </c>
      <c r="T156" s="81" t="e">
        <f t="shared" si="59"/>
        <v>#DIV/0!</v>
      </c>
      <c r="U156" s="81" t="e">
        <f t="shared" si="59"/>
        <v>#DIV/0!</v>
      </c>
      <c r="V156" s="81" t="e">
        <f t="shared" si="59"/>
        <v>#DIV/0!</v>
      </c>
    </row>
    <row r="157" spans="2:22">
      <c r="C157" s="77" t="s">
        <v>477</v>
      </c>
      <c r="D157" s="77"/>
      <c r="E157" s="77"/>
      <c r="F157" s="79" t="e">
        <f t="shared" ref="F157:V157" si="60">F154*F156</f>
        <v>#DIV/0!</v>
      </c>
      <c r="G157" s="79" t="e">
        <f t="shared" si="60"/>
        <v>#DIV/0!</v>
      </c>
      <c r="H157" s="79" t="e">
        <f t="shared" si="60"/>
        <v>#DIV/0!</v>
      </c>
      <c r="I157" s="79" t="e">
        <f t="shared" si="60"/>
        <v>#DIV/0!</v>
      </c>
      <c r="J157" s="79" t="e">
        <f t="shared" si="60"/>
        <v>#DIV/0!</v>
      </c>
      <c r="K157" s="79" t="e">
        <f t="shared" si="60"/>
        <v>#DIV/0!</v>
      </c>
      <c r="L157" s="79" t="e">
        <f t="shared" si="60"/>
        <v>#DIV/0!</v>
      </c>
      <c r="M157" s="79" t="e">
        <f t="shared" si="60"/>
        <v>#DIV/0!</v>
      </c>
      <c r="N157" s="79" t="e">
        <f t="shared" si="60"/>
        <v>#DIV/0!</v>
      </c>
      <c r="O157" s="79" t="e">
        <f t="shared" si="60"/>
        <v>#DIV/0!</v>
      </c>
      <c r="P157" s="79" t="e">
        <f t="shared" si="60"/>
        <v>#DIV/0!</v>
      </c>
      <c r="Q157" s="79" t="e">
        <f t="shared" si="60"/>
        <v>#DIV/0!</v>
      </c>
      <c r="R157" s="79" t="e">
        <f t="shared" si="60"/>
        <v>#DIV/0!</v>
      </c>
      <c r="S157" s="79" t="e">
        <f t="shared" si="60"/>
        <v>#DIV/0!</v>
      </c>
      <c r="T157" s="79" t="e">
        <f t="shared" si="60"/>
        <v>#DIV/0!</v>
      </c>
      <c r="U157" s="79" t="e">
        <f t="shared" si="60"/>
        <v>#DIV/0!</v>
      </c>
      <c r="V157" s="79" t="e">
        <f t="shared" si="60"/>
        <v>#DIV/0!</v>
      </c>
    </row>
    <row r="158" spans="2:22">
      <c r="C158" s="77" t="s">
        <v>478</v>
      </c>
      <c r="D158" s="77"/>
      <c r="E158" s="77"/>
      <c r="F158" s="79" t="e">
        <f t="shared" ref="F158:V158" si="61">F157*(1-F$103)</f>
        <v>#DIV/0!</v>
      </c>
      <c r="G158" s="79" t="e">
        <f t="shared" si="61"/>
        <v>#DIV/0!</v>
      </c>
      <c r="H158" s="79" t="e">
        <f t="shared" si="61"/>
        <v>#DIV/0!</v>
      </c>
      <c r="I158" s="79" t="e">
        <f t="shared" si="61"/>
        <v>#DIV/0!</v>
      </c>
      <c r="J158" s="79" t="e">
        <f t="shared" si="61"/>
        <v>#DIV/0!</v>
      </c>
      <c r="K158" s="79" t="e">
        <f t="shared" si="61"/>
        <v>#DIV/0!</v>
      </c>
      <c r="L158" s="79" t="e">
        <f t="shared" si="61"/>
        <v>#DIV/0!</v>
      </c>
      <c r="M158" s="79" t="e">
        <f t="shared" si="61"/>
        <v>#DIV/0!</v>
      </c>
      <c r="N158" s="79" t="e">
        <f t="shared" si="61"/>
        <v>#DIV/0!</v>
      </c>
      <c r="O158" s="79" t="e">
        <f t="shared" si="61"/>
        <v>#DIV/0!</v>
      </c>
      <c r="P158" s="79" t="e">
        <f t="shared" si="61"/>
        <v>#DIV/0!</v>
      </c>
      <c r="Q158" s="79" t="e">
        <f t="shared" si="61"/>
        <v>#DIV/0!</v>
      </c>
      <c r="R158" s="79" t="e">
        <f t="shared" si="61"/>
        <v>#DIV/0!</v>
      </c>
      <c r="S158" s="79" t="e">
        <f t="shared" si="61"/>
        <v>#DIV/0!</v>
      </c>
      <c r="T158" s="79" t="e">
        <f t="shared" si="61"/>
        <v>#DIV/0!</v>
      </c>
      <c r="U158" s="79" t="e">
        <f t="shared" si="61"/>
        <v>#DIV/0!</v>
      </c>
      <c r="V158" s="79" t="e">
        <f t="shared" si="61"/>
        <v>#DIV/0!</v>
      </c>
    </row>
    <row r="159" spans="2:22">
      <c r="B159" s="74" t="s">
        <v>451</v>
      </c>
      <c r="C159" s="77"/>
      <c r="D159" s="77"/>
      <c r="E159" s="77"/>
      <c r="F159" s="74"/>
      <c r="G159" s="74"/>
      <c r="H159" s="74"/>
    </row>
    <row r="160" spans="2:22" s="81" customFormat="1">
      <c r="C160" s="89" t="s">
        <v>446</v>
      </c>
      <c r="D160" s="89"/>
      <c r="E160" s="89"/>
      <c r="F160" s="81">
        <f>F63*F$107</f>
        <v>1</v>
      </c>
      <c r="G160" s="81">
        <f>G63*G$107</f>
        <v>1</v>
      </c>
      <c r="H160" s="81">
        <f>H63*H$107</f>
        <v>1</v>
      </c>
      <c r="I160" s="81">
        <f>I63*I$107</f>
        <v>1</v>
      </c>
      <c r="J160" s="81">
        <f t="shared" ref="J160:U160" si="62">J63*J$107</f>
        <v>1</v>
      </c>
      <c r="K160" s="81">
        <f t="shared" si="62"/>
        <v>1</v>
      </c>
      <c r="L160" s="81">
        <f t="shared" si="62"/>
        <v>1</v>
      </c>
      <c r="M160" s="81">
        <f t="shared" si="62"/>
        <v>1</v>
      </c>
      <c r="N160" s="81">
        <f t="shared" si="62"/>
        <v>1</v>
      </c>
      <c r="O160" s="81">
        <f t="shared" si="62"/>
        <v>1</v>
      </c>
      <c r="P160" s="81">
        <f t="shared" si="62"/>
        <v>1</v>
      </c>
      <c r="Q160" s="81">
        <f t="shared" si="62"/>
        <v>1</v>
      </c>
      <c r="R160" s="81">
        <f t="shared" si="62"/>
        <v>1</v>
      </c>
      <c r="S160" s="81">
        <f t="shared" si="62"/>
        <v>1</v>
      </c>
      <c r="T160" s="81">
        <f t="shared" si="62"/>
        <v>1</v>
      </c>
      <c r="U160" s="81">
        <f t="shared" si="62"/>
        <v>1</v>
      </c>
      <c r="V160" s="81">
        <f>V63*V$107</f>
        <v>1</v>
      </c>
    </row>
    <row r="161" spans="2:22">
      <c r="C161" s="77" t="s">
        <v>437</v>
      </c>
      <c r="D161" s="77"/>
      <c r="E161" s="77"/>
      <c r="F161" s="97">
        <f>F64</f>
        <v>1</v>
      </c>
      <c r="G161" s="97">
        <f>G64</f>
        <v>1</v>
      </c>
      <c r="H161" s="97">
        <f>H64</f>
        <v>1</v>
      </c>
      <c r="I161" s="97">
        <f>I64</f>
        <v>1</v>
      </c>
      <c r="J161" s="97">
        <f t="shared" ref="J161:U161" si="63">J64</f>
        <v>1</v>
      </c>
      <c r="K161" s="97">
        <f t="shared" si="63"/>
        <v>1</v>
      </c>
      <c r="L161" s="97">
        <f t="shared" si="63"/>
        <v>1</v>
      </c>
      <c r="M161" s="97">
        <f t="shared" si="63"/>
        <v>1</v>
      </c>
      <c r="N161" s="97">
        <f t="shared" si="63"/>
        <v>1</v>
      </c>
      <c r="O161" s="97">
        <f t="shared" si="63"/>
        <v>1</v>
      </c>
      <c r="P161" s="97">
        <f t="shared" si="63"/>
        <v>1</v>
      </c>
      <c r="Q161" s="97">
        <f t="shared" si="63"/>
        <v>1</v>
      </c>
      <c r="R161" s="97">
        <f t="shared" si="63"/>
        <v>1</v>
      </c>
      <c r="S161" s="97">
        <f t="shared" si="63"/>
        <v>1</v>
      </c>
      <c r="T161" s="97">
        <f t="shared" si="63"/>
        <v>1</v>
      </c>
      <c r="U161" s="97">
        <f t="shared" si="63"/>
        <v>1</v>
      </c>
      <c r="V161" s="97">
        <f>V64</f>
        <v>1</v>
      </c>
    </row>
    <row r="162" spans="2:22">
      <c r="C162" s="77" t="s">
        <v>473</v>
      </c>
      <c r="D162" s="77"/>
      <c r="E162" s="77"/>
      <c r="F162" s="95" t="e">
        <f t="shared" ref="F162:V162" si="64">F$39*EXP((F$40-F$42-F$40)*F161)*NORMDIST((LN(F$39/F160)+(F$40-F$42+F$41^2/2)*F161)/(F$41*SQRT(F161)),0,1,TRUE)-F160*EXP(-F$40*F161)*NORMDIST((LN(F$39/F160)+(F$40-F$42-(F$41)^2/2)*F161)/(F$41*SQRT(F161)),0,1,TRUE)</f>
        <v>#NUM!</v>
      </c>
      <c r="G162" s="95" t="e">
        <f t="shared" si="64"/>
        <v>#NUM!</v>
      </c>
      <c r="H162" s="95" t="e">
        <f t="shared" si="64"/>
        <v>#NUM!</v>
      </c>
      <c r="I162" s="95" t="e">
        <f t="shared" si="64"/>
        <v>#NUM!</v>
      </c>
      <c r="J162" s="95" t="e">
        <f t="shared" si="64"/>
        <v>#NUM!</v>
      </c>
      <c r="K162" s="95" t="e">
        <f t="shared" si="64"/>
        <v>#NUM!</v>
      </c>
      <c r="L162" s="95" t="e">
        <f t="shared" si="64"/>
        <v>#NUM!</v>
      </c>
      <c r="M162" s="95" t="e">
        <f t="shared" si="64"/>
        <v>#NUM!</v>
      </c>
      <c r="N162" s="95" t="e">
        <f t="shared" si="64"/>
        <v>#NUM!</v>
      </c>
      <c r="O162" s="95" t="e">
        <f t="shared" si="64"/>
        <v>#NUM!</v>
      </c>
      <c r="P162" s="95" t="e">
        <f t="shared" si="64"/>
        <v>#NUM!</v>
      </c>
      <c r="Q162" s="95" t="e">
        <f t="shared" si="64"/>
        <v>#NUM!</v>
      </c>
      <c r="R162" s="95" t="e">
        <f t="shared" si="64"/>
        <v>#NUM!</v>
      </c>
      <c r="S162" s="95" t="e">
        <f t="shared" si="64"/>
        <v>#NUM!</v>
      </c>
      <c r="T162" s="95" t="e">
        <f t="shared" si="64"/>
        <v>#NUM!</v>
      </c>
      <c r="U162" s="95" t="e">
        <f t="shared" si="64"/>
        <v>#NUM!</v>
      </c>
      <c r="V162" s="95" t="e">
        <f t="shared" si="64"/>
        <v>#NUM!</v>
      </c>
    </row>
    <row r="163" spans="2:22">
      <c r="C163" s="77" t="s">
        <v>447</v>
      </c>
      <c r="D163" s="77"/>
      <c r="E163" s="77"/>
      <c r="F163" s="97">
        <f>F65*F$107</f>
        <v>0</v>
      </c>
      <c r="G163" s="97">
        <f>G65*G$107</f>
        <v>0</v>
      </c>
      <c r="H163" s="97">
        <f>H65*H$107</f>
        <v>0</v>
      </c>
      <c r="I163" s="97">
        <f>I65*I$107</f>
        <v>0</v>
      </c>
      <c r="J163" s="97">
        <f t="shared" ref="J163:U163" si="65">J65*J$107</f>
        <v>0</v>
      </c>
      <c r="K163" s="97">
        <f t="shared" si="65"/>
        <v>0</v>
      </c>
      <c r="L163" s="97">
        <f t="shared" si="65"/>
        <v>0</v>
      </c>
      <c r="M163" s="97">
        <f t="shared" si="65"/>
        <v>0</v>
      </c>
      <c r="N163" s="97">
        <f t="shared" si="65"/>
        <v>0</v>
      </c>
      <c r="O163" s="97">
        <f t="shared" si="65"/>
        <v>0</v>
      </c>
      <c r="P163" s="97">
        <f t="shared" si="65"/>
        <v>0</v>
      </c>
      <c r="Q163" s="97">
        <f t="shared" si="65"/>
        <v>0</v>
      </c>
      <c r="R163" s="97">
        <f t="shared" si="65"/>
        <v>0</v>
      </c>
      <c r="S163" s="97">
        <f t="shared" si="65"/>
        <v>0</v>
      </c>
      <c r="T163" s="97">
        <f t="shared" si="65"/>
        <v>0</v>
      </c>
      <c r="U163" s="97">
        <f t="shared" si="65"/>
        <v>0</v>
      </c>
      <c r="V163" s="97">
        <f>V65*V$107</f>
        <v>0</v>
      </c>
    </row>
    <row r="164" spans="2:22">
      <c r="C164" s="77" t="s">
        <v>474</v>
      </c>
      <c r="D164" s="77"/>
      <c r="E164" s="77"/>
      <c r="F164" s="97">
        <f>IF(F161-F$99&gt;0,F161-F$99,0)</f>
        <v>0</v>
      </c>
      <c r="G164" s="97">
        <f>IF(G161-G$99&gt;0,G161-G$99,0)</f>
        <v>0</v>
      </c>
      <c r="H164" s="97">
        <f>IF(H161-H$99&gt;0,H161-H$99,0)</f>
        <v>0</v>
      </c>
      <c r="I164" s="97">
        <f>IF(I161-I$99&gt;0,I161-I$99,0)</f>
        <v>0</v>
      </c>
      <c r="J164" s="97">
        <f t="shared" ref="J164:U164" si="66">IF(J161-J$99&gt;0,J161-J$99,0)</f>
        <v>0</v>
      </c>
      <c r="K164" s="97">
        <f t="shared" si="66"/>
        <v>0</v>
      </c>
      <c r="L164" s="97">
        <f t="shared" si="66"/>
        <v>0</v>
      </c>
      <c r="M164" s="97">
        <f t="shared" si="66"/>
        <v>0</v>
      </c>
      <c r="N164" s="97">
        <f t="shared" si="66"/>
        <v>0</v>
      </c>
      <c r="O164" s="97">
        <f t="shared" si="66"/>
        <v>0</v>
      </c>
      <c r="P164" s="97">
        <f t="shared" si="66"/>
        <v>1</v>
      </c>
      <c r="Q164" s="97">
        <f t="shared" si="66"/>
        <v>1</v>
      </c>
      <c r="R164" s="97">
        <f t="shared" si="66"/>
        <v>1</v>
      </c>
      <c r="S164" s="97">
        <f t="shared" si="66"/>
        <v>1</v>
      </c>
      <c r="T164" s="97">
        <f t="shared" si="66"/>
        <v>1</v>
      </c>
      <c r="U164" s="97">
        <f t="shared" si="66"/>
        <v>1</v>
      </c>
      <c r="V164" s="97">
        <f>IF(V161-V$99&gt;0,V161-V$99,0)</f>
        <v>1</v>
      </c>
    </row>
    <row r="165" spans="2:22">
      <c r="C165" s="77" t="s">
        <v>475</v>
      </c>
      <c r="D165" s="77"/>
      <c r="E165" s="77"/>
      <c r="F165" s="97" t="e">
        <f t="shared" ref="F165:V165" si="67">IF(F163*(1-F$100)^F164&gt;0,F163*(1-F$100)^F164,0)</f>
        <v>#DIV/0!</v>
      </c>
      <c r="G165" s="97" t="e">
        <f t="shared" si="67"/>
        <v>#DIV/0!</v>
      </c>
      <c r="H165" s="97" t="e">
        <f t="shared" si="67"/>
        <v>#DIV/0!</v>
      </c>
      <c r="I165" s="97" t="e">
        <f t="shared" si="67"/>
        <v>#DIV/0!</v>
      </c>
      <c r="J165" s="97" t="e">
        <f t="shared" si="67"/>
        <v>#DIV/0!</v>
      </c>
      <c r="K165" s="97" t="e">
        <f t="shared" si="67"/>
        <v>#DIV/0!</v>
      </c>
      <c r="L165" s="97" t="e">
        <f t="shared" si="67"/>
        <v>#DIV/0!</v>
      </c>
      <c r="M165" s="97" t="e">
        <f t="shared" si="67"/>
        <v>#DIV/0!</v>
      </c>
      <c r="N165" s="97" t="e">
        <f t="shared" si="67"/>
        <v>#DIV/0!</v>
      </c>
      <c r="O165" s="97" t="e">
        <f t="shared" si="67"/>
        <v>#DIV/0!</v>
      </c>
      <c r="P165" s="97" t="e">
        <f t="shared" si="67"/>
        <v>#DIV/0!</v>
      </c>
      <c r="Q165" s="97" t="e">
        <f t="shared" si="67"/>
        <v>#DIV/0!</v>
      </c>
      <c r="R165" s="97" t="e">
        <f t="shared" si="67"/>
        <v>#DIV/0!</v>
      </c>
      <c r="S165" s="97" t="e">
        <f t="shared" si="67"/>
        <v>#DIV/0!</v>
      </c>
      <c r="T165" s="97" t="e">
        <f t="shared" si="67"/>
        <v>#DIV/0!</v>
      </c>
      <c r="U165" s="97" t="e">
        <f t="shared" si="67"/>
        <v>#DIV/0!</v>
      </c>
      <c r="V165" s="97" t="e">
        <f t="shared" si="67"/>
        <v>#DIV/0!</v>
      </c>
    </row>
    <row r="166" spans="2:22">
      <c r="C166" s="77" t="s">
        <v>464</v>
      </c>
      <c r="D166" s="77"/>
      <c r="E166" s="77"/>
      <c r="F166" s="33" t="e">
        <f t="shared" ref="F166:V166" si="68">(1/(1+F165/F$43))</f>
        <v>#DIV/0!</v>
      </c>
      <c r="G166" s="33" t="e">
        <f t="shared" si="68"/>
        <v>#DIV/0!</v>
      </c>
      <c r="H166" s="33" t="e">
        <f t="shared" si="68"/>
        <v>#DIV/0!</v>
      </c>
      <c r="I166" s="33" t="e">
        <f t="shared" si="68"/>
        <v>#DIV/0!</v>
      </c>
      <c r="J166" s="33" t="e">
        <f t="shared" si="68"/>
        <v>#DIV/0!</v>
      </c>
      <c r="K166" s="33" t="e">
        <f t="shared" si="68"/>
        <v>#DIV/0!</v>
      </c>
      <c r="L166" s="33" t="e">
        <f t="shared" si="68"/>
        <v>#DIV/0!</v>
      </c>
      <c r="M166" s="33" t="e">
        <f t="shared" si="68"/>
        <v>#DIV/0!</v>
      </c>
      <c r="N166" s="33" t="e">
        <f t="shared" si="68"/>
        <v>#DIV/0!</v>
      </c>
      <c r="O166" s="33" t="e">
        <f t="shared" si="68"/>
        <v>#DIV/0!</v>
      </c>
      <c r="P166" s="33" t="e">
        <f t="shared" si="68"/>
        <v>#DIV/0!</v>
      </c>
      <c r="Q166" s="33" t="e">
        <f t="shared" si="68"/>
        <v>#DIV/0!</v>
      </c>
      <c r="R166" s="33" t="e">
        <f t="shared" si="68"/>
        <v>#DIV/0!</v>
      </c>
      <c r="S166" s="33" t="e">
        <f t="shared" si="68"/>
        <v>#DIV/0!</v>
      </c>
      <c r="T166" s="33" t="e">
        <f t="shared" si="68"/>
        <v>#DIV/0!</v>
      </c>
      <c r="U166" s="33" t="e">
        <f t="shared" si="68"/>
        <v>#DIV/0!</v>
      </c>
      <c r="V166" s="33" t="e">
        <f t="shared" si="68"/>
        <v>#DIV/0!</v>
      </c>
    </row>
    <row r="167" spans="2:22">
      <c r="C167" s="77" t="s">
        <v>476</v>
      </c>
      <c r="D167" s="77"/>
      <c r="E167" s="77"/>
      <c r="F167" s="81" t="e">
        <f t="shared" ref="F167:V167" si="69">F166*F162</f>
        <v>#DIV/0!</v>
      </c>
      <c r="G167" s="81" t="e">
        <f t="shared" si="69"/>
        <v>#DIV/0!</v>
      </c>
      <c r="H167" s="81" t="e">
        <f t="shared" si="69"/>
        <v>#DIV/0!</v>
      </c>
      <c r="I167" s="81" t="e">
        <f t="shared" si="69"/>
        <v>#DIV/0!</v>
      </c>
      <c r="J167" s="81" t="e">
        <f t="shared" si="69"/>
        <v>#DIV/0!</v>
      </c>
      <c r="K167" s="81" t="e">
        <f t="shared" si="69"/>
        <v>#DIV/0!</v>
      </c>
      <c r="L167" s="81" t="e">
        <f t="shared" si="69"/>
        <v>#DIV/0!</v>
      </c>
      <c r="M167" s="81" t="e">
        <f t="shared" si="69"/>
        <v>#DIV/0!</v>
      </c>
      <c r="N167" s="81" t="e">
        <f t="shared" si="69"/>
        <v>#DIV/0!</v>
      </c>
      <c r="O167" s="81" t="e">
        <f t="shared" si="69"/>
        <v>#DIV/0!</v>
      </c>
      <c r="P167" s="81" t="e">
        <f t="shared" si="69"/>
        <v>#DIV/0!</v>
      </c>
      <c r="Q167" s="81" t="e">
        <f t="shared" si="69"/>
        <v>#DIV/0!</v>
      </c>
      <c r="R167" s="81" t="e">
        <f t="shared" si="69"/>
        <v>#DIV/0!</v>
      </c>
      <c r="S167" s="81" t="e">
        <f t="shared" si="69"/>
        <v>#DIV/0!</v>
      </c>
      <c r="T167" s="81" t="e">
        <f t="shared" si="69"/>
        <v>#DIV/0!</v>
      </c>
      <c r="U167" s="81" t="e">
        <f t="shared" si="69"/>
        <v>#DIV/0!</v>
      </c>
      <c r="V167" s="81" t="e">
        <f t="shared" si="69"/>
        <v>#DIV/0!</v>
      </c>
    </row>
    <row r="168" spans="2:22">
      <c r="C168" s="77" t="s">
        <v>477</v>
      </c>
      <c r="D168" s="77"/>
      <c r="E168" s="77"/>
      <c r="F168" s="79" t="e">
        <f t="shared" ref="F168:V168" si="70">F165*F167</f>
        <v>#DIV/0!</v>
      </c>
      <c r="G168" s="79" t="e">
        <f t="shared" si="70"/>
        <v>#DIV/0!</v>
      </c>
      <c r="H168" s="79" t="e">
        <f t="shared" si="70"/>
        <v>#DIV/0!</v>
      </c>
      <c r="I168" s="79" t="e">
        <f t="shared" si="70"/>
        <v>#DIV/0!</v>
      </c>
      <c r="J168" s="79" t="e">
        <f t="shared" si="70"/>
        <v>#DIV/0!</v>
      </c>
      <c r="K168" s="79" t="e">
        <f t="shared" si="70"/>
        <v>#DIV/0!</v>
      </c>
      <c r="L168" s="79" t="e">
        <f t="shared" si="70"/>
        <v>#DIV/0!</v>
      </c>
      <c r="M168" s="79" t="e">
        <f t="shared" si="70"/>
        <v>#DIV/0!</v>
      </c>
      <c r="N168" s="79" t="e">
        <f t="shared" si="70"/>
        <v>#DIV/0!</v>
      </c>
      <c r="O168" s="79" t="e">
        <f t="shared" si="70"/>
        <v>#DIV/0!</v>
      </c>
      <c r="P168" s="79" t="e">
        <f t="shared" si="70"/>
        <v>#DIV/0!</v>
      </c>
      <c r="Q168" s="79" t="e">
        <f t="shared" si="70"/>
        <v>#DIV/0!</v>
      </c>
      <c r="R168" s="79" t="e">
        <f t="shared" si="70"/>
        <v>#DIV/0!</v>
      </c>
      <c r="S168" s="79" t="e">
        <f t="shared" si="70"/>
        <v>#DIV/0!</v>
      </c>
      <c r="T168" s="79" t="e">
        <f t="shared" si="70"/>
        <v>#DIV/0!</v>
      </c>
      <c r="U168" s="79" t="e">
        <f t="shared" si="70"/>
        <v>#DIV/0!</v>
      </c>
      <c r="V168" s="79" t="e">
        <f t="shared" si="70"/>
        <v>#DIV/0!</v>
      </c>
    </row>
    <row r="169" spans="2:22">
      <c r="C169" s="77" t="s">
        <v>478</v>
      </c>
      <c r="D169" s="77"/>
      <c r="E169" s="77"/>
      <c r="F169" s="79" t="e">
        <f t="shared" ref="F169:V169" si="71">F168*(1-F$103)</f>
        <v>#DIV/0!</v>
      </c>
      <c r="G169" s="79" t="e">
        <f t="shared" si="71"/>
        <v>#DIV/0!</v>
      </c>
      <c r="H169" s="79" t="e">
        <f t="shared" si="71"/>
        <v>#DIV/0!</v>
      </c>
      <c r="I169" s="79" t="e">
        <f t="shared" si="71"/>
        <v>#DIV/0!</v>
      </c>
      <c r="J169" s="79" t="e">
        <f t="shared" si="71"/>
        <v>#DIV/0!</v>
      </c>
      <c r="K169" s="79" t="e">
        <f t="shared" si="71"/>
        <v>#DIV/0!</v>
      </c>
      <c r="L169" s="79" t="e">
        <f t="shared" si="71"/>
        <v>#DIV/0!</v>
      </c>
      <c r="M169" s="79" t="e">
        <f t="shared" si="71"/>
        <v>#DIV/0!</v>
      </c>
      <c r="N169" s="79" t="e">
        <f t="shared" si="71"/>
        <v>#DIV/0!</v>
      </c>
      <c r="O169" s="79" t="e">
        <f t="shared" si="71"/>
        <v>#DIV/0!</v>
      </c>
      <c r="P169" s="79" t="e">
        <f t="shared" si="71"/>
        <v>#DIV/0!</v>
      </c>
      <c r="Q169" s="79" t="e">
        <f t="shared" si="71"/>
        <v>#DIV/0!</v>
      </c>
      <c r="R169" s="79" t="e">
        <f t="shared" si="71"/>
        <v>#DIV/0!</v>
      </c>
      <c r="S169" s="79" t="e">
        <f t="shared" si="71"/>
        <v>#DIV/0!</v>
      </c>
      <c r="T169" s="79" t="e">
        <f t="shared" si="71"/>
        <v>#DIV/0!</v>
      </c>
      <c r="U169" s="79" t="e">
        <f t="shared" si="71"/>
        <v>#DIV/0!</v>
      </c>
      <c r="V169" s="79" t="e">
        <f t="shared" si="71"/>
        <v>#DIV/0!</v>
      </c>
    </row>
    <row r="170" spans="2:22">
      <c r="B170" s="74" t="s">
        <v>452</v>
      </c>
      <c r="C170" s="77"/>
      <c r="D170" s="77"/>
      <c r="E170" s="77"/>
      <c r="F170" s="74"/>
      <c r="G170" s="74"/>
      <c r="H170" s="74"/>
    </row>
    <row r="171" spans="2:22" s="81" customFormat="1">
      <c r="C171" s="89" t="s">
        <v>446</v>
      </c>
      <c r="D171" s="89"/>
      <c r="E171" s="89"/>
      <c r="F171" s="81">
        <f>F67*F$107</f>
        <v>1</v>
      </c>
      <c r="G171" s="81">
        <f>G67*G$107</f>
        <v>1</v>
      </c>
      <c r="H171" s="81">
        <f>H67*H$107</f>
        <v>1</v>
      </c>
      <c r="I171" s="81">
        <f>I67*I$107</f>
        <v>1</v>
      </c>
      <c r="J171" s="81">
        <f t="shared" ref="J171:U171" si="72">J67*J$107</f>
        <v>1</v>
      </c>
      <c r="K171" s="81">
        <f t="shared" si="72"/>
        <v>1</v>
      </c>
      <c r="L171" s="81">
        <f t="shared" si="72"/>
        <v>1</v>
      </c>
      <c r="M171" s="81">
        <f t="shared" si="72"/>
        <v>1</v>
      </c>
      <c r="N171" s="81">
        <f t="shared" si="72"/>
        <v>1</v>
      </c>
      <c r="O171" s="81">
        <f t="shared" si="72"/>
        <v>1</v>
      </c>
      <c r="P171" s="81">
        <f t="shared" si="72"/>
        <v>1</v>
      </c>
      <c r="Q171" s="81">
        <f t="shared" si="72"/>
        <v>1</v>
      </c>
      <c r="R171" s="81">
        <f t="shared" si="72"/>
        <v>1</v>
      </c>
      <c r="S171" s="81">
        <f t="shared" si="72"/>
        <v>1</v>
      </c>
      <c r="T171" s="81">
        <f t="shared" si="72"/>
        <v>1</v>
      </c>
      <c r="U171" s="81">
        <f t="shared" si="72"/>
        <v>1</v>
      </c>
      <c r="V171" s="81">
        <f>V67*V$107</f>
        <v>1</v>
      </c>
    </row>
    <row r="172" spans="2:22">
      <c r="C172" s="77" t="s">
        <v>437</v>
      </c>
      <c r="D172" s="77"/>
      <c r="E172" s="77"/>
      <c r="F172" s="97">
        <f>F68</f>
        <v>1</v>
      </c>
      <c r="G172" s="97">
        <f>G68</f>
        <v>1</v>
      </c>
      <c r="H172" s="97">
        <f>H68</f>
        <v>1</v>
      </c>
      <c r="I172" s="97">
        <f>I68</f>
        <v>1</v>
      </c>
      <c r="J172" s="97">
        <f t="shared" ref="J172:U172" si="73">J68</f>
        <v>1</v>
      </c>
      <c r="K172" s="97">
        <f t="shared" si="73"/>
        <v>1</v>
      </c>
      <c r="L172" s="97">
        <f t="shared" si="73"/>
        <v>1</v>
      </c>
      <c r="M172" s="97">
        <f t="shared" si="73"/>
        <v>1</v>
      </c>
      <c r="N172" s="97">
        <f t="shared" si="73"/>
        <v>1</v>
      </c>
      <c r="O172" s="97">
        <f t="shared" si="73"/>
        <v>1</v>
      </c>
      <c r="P172" s="97">
        <f t="shared" si="73"/>
        <v>1</v>
      </c>
      <c r="Q172" s="97">
        <f t="shared" si="73"/>
        <v>1</v>
      </c>
      <c r="R172" s="97">
        <f t="shared" si="73"/>
        <v>1</v>
      </c>
      <c r="S172" s="97">
        <f t="shared" si="73"/>
        <v>1</v>
      </c>
      <c r="T172" s="97">
        <f t="shared" si="73"/>
        <v>1</v>
      </c>
      <c r="U172" s="97">
        <f t="shared" si="73"/>
        <v>1</v>
      </c>
      <c r="V172" s="97">
        <f>V68</f>
        <v>1</v>
      </c>
    </row>
    <row r="173" spans="2:22">
      <c r="C173" s="77" t="s">
        <v>473</v>
      </c>
      <c r="D173" s="77"/>
      <c r="E173" s="77"/>
      <c r="F173" s="95" t="e">
        <f t="shared" ref="F173:V173" si="74">F$39*EXP((F$40-F$42-F$40)*F172)*NORMDIST((LN(F$39/F171)+(F$40-F$42+F$41^2/2)*F172)/(F$41*SQRT(F172)),0,1,TRUE)-F171*EXP(-F$40*F172)*NORMDIST((LN(F$39/F171)+(F$40-F$42-(F$41)^2/2)*F172)/(F$41*SQRT(F172)),0,1,TRUE)</f>
        <v>#NUM!</v>
      </c>
      <c r="G173" s="95" t="e">
        <f t="shared" si="74"/>
        <v>#NUM!</v>
      </c>
      <c r="H173" s="95" t="e">
        <f t="shared" si="74"/>
        <v>#NUM!</v>
      </c>
      <c r="I173" s="95" t="e">
        <f t="shared" si="74"/>
        <v>#NUM!</v>
      </c>
      <c r="J173" s="95" t="e">
        <f t="shared" si="74"/>
        <v>#NUM!</v>
      </c>
      <c r="K173" s="95" t="e">
        <f t="shared" si="74"/>
        <v>#NUM!</v>
      </c>
      <c r="L173" s="95" t="e">
        <f t="shared" si="74"/>
        <v>#NUM!</v>
      </c>
      <c r="M173" s="95" t="e">
        <f t="shared" si="74"/>
        <v>#NUM!</v>
      </c>
      <c r="N173" s="95" t="e">
        <f t="shared" si="74"/>
        <v>#NUM!</v>
      </c>
      <c r="O173" s="95" t="e">
        <f t="shared" si="74"/>
        <v>#NUM!</v>
      </c>
      <c r="P173" s="95" t="e">
        <f t="shared" si="74"/>
        <v>#NUM!</v>
      </c>
      <c r="Q173" s="95" t="e">
        <f t="shared" si="74"/>
        <v>#NUM!</v>
      </c>
      <c r="R173" s="95" t="e">
        <f t="shared" si="74"/>
        <v>#NUM!</v>
      </c>
      <c r="S173" s="95" t="e">
        <f t="shared" si="74"/>
        <v>#NUM!</v>
      </c>
      <c r="T173" s="95" t="e">
        <f t="shared" si="74"/>
        <v>#NUM!</v>
      </c>
      <c r="U173" s="95" t="e">
        <f t="shared" si="74"/>
        <v>#NUM!</v>
      </c>
      <c r="V173" s="95" t="e">
        <f t="shared" si="74"/>
        <v>#NUM!</v>
      </c>
    </row>
    <row r="174" spans="2:22">
      <c r="C174" s="77" t="s">
        <v>447</v>
      </c>
      <c r="D174" s="77"/>
      <c r="E174" s="77"/>
      <c r="F174" s="97">
        <f>F69*F$107</f>
        <v>0</v>
      </c>
      <c r="G174" s="97">
        <f>G69*G$107</f>
        <v>0</v>
      </c>
      <c r="H174" s="97">
        <f>H69*H$107</f>
        <v>0</v>
      </c>
      <c r="I174" s="97">
        <f>I69*I$107</f>
        <v>0</v>
      </c>
      <c r="J174" s="97">
        <f t="shared" ref="J174:U174" si="75">J69*J$107</f>
        <v>0</v>
      </c>
      <c r="K174" s="97">
        <f t="shared" si="75"/>
        <v>0</v>
      </c>
      <c r="L174" s="97">
        <f t="shared" si="75"/>
        <v>0</v>
      </c>
      <c r="M174" s="97">
        <f t="shared" si="75"/>
        <v>0</v>
      </c>
      <c r="N174" s="97">
        <f t="shared" si="75"/>
        <v>0</v>
      </c>
      <c r="O174" s="97">
        <f t="shared" si="75"/>
        <v>0</v>
      </c>
      <c r="P174" s="97">
        <f t="shared" si="75"/>
        <v>0</v>
      </c>
      <c r="Q174" s="97">
        <f t="shared" si="75"/>
        <v>0</v>
      </c>
      <c r="R174" s="97">
        <f t="shared" si="75"/>
        <v>0</v>
      </c>
      <c r="S174" s="97">
        <f t="shared" si="75"/>
        <v>0</v>
      </c>
      <c r="T174" s="97">
        <f t="shared" si="75"/>
        <v>0</v>
      </c>
      <c r="U174" s="97">
        <f t="shared" si="75"/>
        <v>0</v>
      </c>
      <c r="V174" s="97">
        <f>V69*V$107</f>
        <v>0</v>
      </c>
    </row>
    <row r="175" spans="2:22">
      <c r="C175" s="77" t="s">
        <v>474</v>
      </c>
      <c r="D175" s="77"/>
      <c r="E175" s="77"/>
      <c r="F175" s="97">
        <f>IF(F172-F$99&gt;0,F172-F$99,0)</f>
        <v>0</v>
      </c>
      <c r="G175" s="97">
        <f>IF(G172-G$99&gt;0,G172-G$99,0)</f>
        <v>0</v>
      </c>
      <c r="H175" s="97">
        <f>IF(H172-H$99&gt;0,H172-H$99,0)</f>
        <v>0</v>
      </c>
      <c r="I175" s="97">
        <f>IF(I172-I$99&gt;0,I172-I$99,0)</f>
        <v>0</v>
      </c>
      <c r="J175" s="97">
        <f t="shared" ref="J175:U175" si="76">IF(J172-J$99&gt;0,J172-J$99,0)</f>
        <v>0</v>
      </c>
      <c r="K175" s="97">
        <f t="shared" si="76"/>
        <v>0</v>
      </c>
      <c r="L175" s="97">
        <f t="shared" si="76"/>
        <v>0</v>
      </c>
      <c r="M175" s="97">
        <f t="shared" si="76"/>
        <v>0</v>
      </c>
      <c r="N175" s="97">
        <f t="shared" si="76"/>
        <v>0</v>
      </c>
      <c r="O175" s="97">
        <f t="shared" si="76"/>
        <v>0</v>
      </c>
      <c r="P175" s="97">
        <f t="shared" si="76"/>
        <v>1</v>
      </c>
      <c r="Q175" s="97">
        <f t="shared" si="76"/>
        <v>1</v>
      </c>
      <c r="R175" s="97">
        <f t="shared" si="76"/>
        <v>1</v>
      </c>
      <c r="S175" s="97">
        <f t="shared" si="76"/>
        <v>1</v>
      </c>
      <c r="T175" s="97">
        <f t="shared" si="76"/>
        <v>1</v>
      </c>
      <c r="U175" s="97">
        <f t="shared" si="76"/>
        <v>1</v>
      </c>
      <c r="V175" s="97">
        <f>IF(V172-V$99&gt;0,V172-V$99,0)</f>
        <v>1</v>
      </c>
    </row>
    <row r="176" spans="2:22">
      <c r="C176" s="77" t="s">
        <v>475</v>
      </c>
      <c r="D176" s="77"/>
      <c r="E176" s="77"/>
      <c r="F176" s="97" t="e">
        <f t="shared" ref="F176:V176" si="77">IF(F174*(1-F$100)^F175&gt;0,F174*(1-F$100)^F175,0)</f>
        <v>#DIV/0!</v>
      </c>
      <c r="G176" s="97" t="e">
        <f t="shared" si="77"/>
        <v>#DIV/0!</v>
      </c>
      <c r="H176" s="97" t="e">
        <f t="shared" si="77"/>
        <v>#DIV/0!</v>
      </c>
      <c r="I176" s="97" t="e">
        <f t="shared" si="77"/>
        <v>#DIV/0!</v>
      </c>
      <c r="J176" s="97" t="e">
        <f t="shared" si="77"/>
        <v>#DIV/0!</v>
      </c>
      <c r="K176" s="97" t="e">
        <f t="shared" si="77"/>
        <v>#DIV/0!</v>
      </c>
      <c r="L176" s="97" t="e">
        <f t="shared" si="77"/>
        <v>#DIV/0!</v>
      </c>
      <c r="M176" s="97" t="e">
        <f t="shared" si="77"/>
        <v>#DIV/0!</v>
      </c>
      <c r="N176" s="97" t="e">
        <f t="shared" si="77"/>
        <v>#DIV/0!</v>
      </c>
      <c r="O176" s="97" t="e">
        <f t="shared" si="77"/>
        <v>#DIV/0!</v>
      </c>
      <c r="P176" s="97" t="e">
        <f t="shared" si="77"/>
        <v>#DIV/0!</v>
      </c>
      <c r="Q176" s="97" t="e">
        <f t="shared" si="77"/>
        <v>#DIV/0!</v>
      </c>
      <c r="R176" s="97" t="e">
        <f t="shared" si="77"/>
        <v>#DIV/0!</v>
      </c>
      <c r="S176" s="97" t="e">
        <f t="shared" si="77"/>
        <v>#DIV/0!</v>
      </c>
      <c r="T176" s="97" t="e">
        <f t="shared" si="77"/>
        <v>#DIV/0!</v>
      </c>
      <c r="U176" s="97" t="e">
        <f t="shared" si="77"/>
        <v>#DIV/0!</v>
      </c>
      <c r="V176" s="97" t="e">
        <f t="shared" si="77"/>
        <v>#DIV/0!</v>
      </c>
    </row>
    <row r="177" spans="2:22">
      <c r="C177" s="77" t="s">
        <v>464</v>
      </c>
      <c r="D177" s="77"/>
      <c r="E177" s="77"/>
      <c r="F177" s="33" t="e">
        <f t="shared" ref="F177:V177" si="78">(1/(1+F176/F$43))</f>
        <v>#DIV/0!</v>
      </c>
      <c r="G177" s="33" t="e">
        <f t="shared" si="78"/>
        <v>#DIV/0!</v>
      </c>
      <c r="H177" s="33" t="e">
        <f t="shared" si="78"/>
        <v>#DIV/0!</v>
      </c>
      <c r="I177" s="33" t="e">
        <f t="shared" si="78"/>
        <v>#DIV/0!</v>
      </c>
      <c r="J177" s="33" t="e">
        <f t="shared" si="78"/>
        <v>#DIV/0!</v>
      </c>
      <c r="K177" s="33" t="e">
        <f t="shared" si="78"/>
        <v>#DIV/0!</v>
      </c>
      <c r="L177" s="33" t="e">
        <f t="shared" si="78"/>
        <v>#DIV/0!</v>
      </c>
      <c r="M177" s="33" t="e">
        <f t="shared" si="78"/>
        <v>#DIV/0!</v>
      </c>
      <c r="N177" s="33" t="e">
        <f t="shared" si="78"/>
        <v>#DIV/0!</v>
      </c>
      <c r="O177" s="33" t="e">
        <f t="shared" si="78"/>
        <v>#DIV/0!</v>
      </c>
      <c r="P177" s="33" t="e">
        <f t="shared" si="78"/>
        <v>#DIV/0!</v>
      </c>
      <c r="Q177" s="33" t="e">
        <f t="shared" si="78"/>
        <v>#DIV/0!</v>
      </c>
      <c r="R177" s="33" t="e">
        <f t="shared" si="78"/>
        <v>#DIV/0!</v>
      </c>
      <c r="S177" s="33" t="e">
        <f t="shared" si="78"/>
        <v>#DIV/0!</v>
      </c>
      <c r="T177" s="33" t="e">
        <f t="shared" si="78"/>
        <v>#DIV/0!</v>
      </c>
      <c r="U177" s="33" t="e">
        <f t="shared" si="78"/>
        <v>#DIV/0!</v>
      </c>
      <c r="V177" s="33" t="e">
        <f t="shared" si="78"/>
        <v>#DIV/0!</v>
      </c>
    </row>
    <row r="178" spans="2:22">
      <c r="C178" s="77" t="s">
        <v>476</v>
      </c>
      <c r="D178" s="77"/>
      <c r="E178" s="77"/>
      <c r="F178" s="81" t="e">
        <f t="shared" ref="F178:V178" si="79">F177*F173</f>
        <v>#DIV/0!</v>
      </c>
      <c r="G178" s="81" t="e">
        <f t="shared" si="79"/>
        <v>#DIV/0!</v>
      </c>
      <c r="H178" s="81" t="e">
        <f t="shared" si="79"/>
        <v>#DIV/0!</v>
      </c>
      <c r="I178" s="81" t="e">
        <f t="shared" si="79"/>
        <v>#DIV/0!</v>
      </c>
      <c r="J178" s="81" t="e">
        <f t="shared" si="79"/>
        <v>#DIV/0!</v>
      </c>
      <c r="K178" s="81" t="e">
        <f t="shared" si="79"/>
        <v>#DIV/0!</v>
      </c>
      <c r="L178" s="81" t="e">
        <f t="shared" si="79"/>
        <v>#DIV/0!</v>
      </c>
      <c r="M178" s="81" t="e">
        <f t="shared" si="79"/>
        <v>#DIV/0!</v>
      </c>
      <c r="N178" s="81" t="e">
        <f t="shared" si="79"/>
        <v>#DIV/0!</v>
      </c>
      <c r="O178" s="81" t="e">
        <f t="shared" si="79"/>
        <v>#DIV/0!</v>
      </c>
      <c r="P178" s="81" t="e">
        <f t="shared" si="79"/>
        <v>#DIV/0!</v>
      </c>
      <c r="Q178" s="81" t="e">
        <f t="shared" si="79"/>
        <v>#DIV/0!</v>
      </c>
      <c r="R178" s="81" t="e">
        <f t="shared" si="79"/>
        <v>#DIV/0!</v>
      </c>
      <c r="S178" s="81" t="e">
        <f t="shared" si="79"/>
        <v>#DIV/0!</v>
      </c>
      <c r="T178" s="81" t="e">
        <f t="shared" si="79"/>
        <v>#DIV/0!</v>
      </c>
      <c r="U178" s="81" t="e">
        <f t="shared" si="79"/>
        <v>#DIV/0!</v>
      </c>
      <c r="V178" s="81" t="e">
        <f t="shared" si="79"/>
        <v>#DIV/0!</v>
      </c>
    </row>
    <row r="179" spans="2:22">
      <c r="C179" s="77" t="s">
        <v>477</v>
      </c>
      <c r="D179" s="77"/>
      <c r="E179" s="77"/>
      <c r="F179" s="79" t="e">
        <f t="shared" ref="F179:V179" si="80">F176*F178</f>
        <v>#DIV/0!</v>
      </c>
      <c r="G179" s="79" t="e">
        <f t="shared" si="80"/>
        <v>#DIV/0!</v>
      </c>
      <c r="H179" s="79" t="e">
        <f t="shared" si="80"/>
        <v>#DIV/0!</v>
      </c>
      <c r="I179" s="79" t="e">
        <f t="shared" si="80"/>
        <v>#DIV/0!</v>
      </c>
      <c r="J179" s="79" t="e">
        <f t="shared" si="80"/>
        <v>#DIV/0!</v>
      </c>
      <c r="K179" s="79" t="e">
        <f t="shared" si="80"/>
        <v>#DIV/0!</v>
      </c>
      <c r="L179" s="79" t="e">
        <f t="shared" si="80"/>
        <v>#DIV/0!</v>
      </c>
      <c r="M179" s="79" t="e">
        <f t="shared" si="80"/>
        <v>#DIV/0!</v>
      </c>
      <c r="N179" s="79" t="e">
        <f t="shared" si="80"/>
        <v>#DIV/0!</v>
      </c>
      <c r="O179" s="79" t="e">
        <f t="shared" si="80"/>
        <v>#DIV/0!</v>
      </c>
      <c r="P179" s="79" t="e">
        <f t="shared" si="80"/>
        <v>#DIV/0!</v>
      </c>
      <c r="Q179" s="79" t="e">
        <f t="shared" si="80"/>
        <v>#DIV/0!</v>
      </c>
      <c r="R179" s="79" t="e">
        <f t="shared" si="80"/>
        <v>#DIV/0!</v>
      </c>
      <c r="S179" s="79" t="e">
        <f t="shared" si="80"/>
        <v>#DIV/0!</v>
      </c>
      <c r="T179" s="79" t="e">
        <f t="shared" si="80"/>
        <v>#DIV/0!</v>
      </c>
      <c r="U179" s="79" t="e">
        <f t="shared" si="80"/>
        <v>#DIV/0!</v>
      </c>
      <c r="V179" s="79" t="e">
        <f t="shared" si="80"/>
        <v>#DIV/0!</v>
      </c>
    </row>
    <row r="180" spans="2:22">
      <c r="C180" s="77" t="s">
        <v>478</v>
      </c>
      <c r="D180" s="77"/>
      <c r="E180" s="77"/>
      <c r="F180" s="79" t="e">
        <f t="shared" ref="F180:V180" si="81">F179*(1-F$103)</f>
        <v>#DIV/0!</v>
      </c>
      <c r="G180" s="79" t="e">
        <f t="shared" si="81"/>
        <v>#DIV/0!</v>
      </c>
      <c r="H180" s="79" t="e">
        <f t="shared" si="81"/>
        <v>#DIV/0!</v>
      </c>
      <c r="I180" s="79" t="e">
        <f t="shared" si="81"/>
        <v>#DIV/0!</v>
      </c>
      <c r="J180" s="79" t="e">
        <f t="shared" si="81"/>
        <v>#DIV/0!</v>
      </c>
      <c r="K180" s="79" t="e">
        <f t="shared" si="81"/>
        <v>#DIV/0!</v>
      </c>
      <c r="L180" s="79" t="e">
        <f t="shared" si="81"/>
        <v>#DIV/0!</v>
      </c>
      <c r="M180" s="79" t="e">
        <f t="shared" si="81"/>
        <v>#DIV/0!</v>
      </c>
      <c r="N180" s="79" t="e">
        <f t="shared" si="81"/>
        <v>#DIV/0!</v>
      </c>
      <c r="O180" s="79" t="e">
        <f t="shared" si="81"/>
        <v>#DIV/0!</v>
      </c>
      <c r="P180" s="79" t="e">
        <f t="shared" si="81"/>
        <v>#DIV/0!</v>
      </c>
      <c r="Q180" s="79" t="e">
        <f t="shared" si="81"/>
        <v>#DIV/0!</v>
      </c>
      <c r="R180" s="79" t="e">
        <f t="shared" si="81"/>
        <v>#DIV/0!</v>
      </c>
      <c r="S180" s="79" t="e">
        <f t="shared" si="81"/>
        <v>#DIV/0!</v>
      </c>
      <c r="T180" s="79" t="e">
        <f t="shared" si="81"/>
        <v>#DIV/0!</v>
      </c>
      <c r="U180" s="79" t="e">
        <f t="shared" si="81"/>
        <v>#DIV/0!</v>
      </c>
      <c r="V180" s="79" t="e">
        <f t="shared" si="81"/>
        <v>#DIV/0!</v>
      </c>
    </row>
    <row r="181" spans="2:22">
      <c r="B181" s="74" t="s">
        <v>453</v>
      </c>
      <c r="C181" s="77"/>
      <c r="D181" s="77"/>
      <c r="E181" s="77"/>
      <c r="F181" s="74"/>
      <c r="G181" s="74"/>
      <c r="H181" s="74"/>
    </row>
    <row r="182" spans="2:22" s="81" customFormat="1">
      <c r="C182" s="89" t="s">
        <v>446</v>
      </c>
      <c r="D182" s="89"/>
      <c r="E182" s="89"/>
      <c r="F182" s="81">
        <f>F71*F$107</f>
        <v>1</v>
      </c>
      <c r="G182" s="81">
        <f>G71*G$107</f>
        <v>1</v>
      </c>
      <c r="H182" s="81">
        <f>H71*H$107</f>
        <v>1</v>
      </c>
      <c r="I182" s="81">
        <f>I71*I$107</f>
        <v>1</v>
      </c>
      <c r="J182" s="81">
        <f t="shared" ref="J182:U182" si="82">J71*J$107</f>
        <v>1</v>
      </c>
      <c r="K182" s="81">
        <f t="shared" si="82"/>
        <v>1</v>
      </c>
      <c r="L182" s="81">
        <f t="shared" si="82"/>
        <v>1</v>
      </c>
      <c r="M182" s="81">
        <f t="shared" si="82"/>
        <v>1</v>
      </c>
      <c r="N182" s="81">
        <f t="shared" si="82"/>
        <v>1</v>
      </c>
      <c r="O182" s="81">
        <f t="shared" si="82"/>
        <v>1</v>
      </c>
      <c r="P182" s="81">
        <f t="shared" si="82"/>
        <v>1</v>
      </c>
      <c r="Q182" s="81">
        <f t="shared" si="82"/>
        <v>1</v>
      </c>
      <c r="R182" s="81">
        <f t="shared" si="82"/>
        <v>1</v>
      </c>
      <c r="S182" s="81">
        <f t="shared" si="82"/>
        <v>1</v>
      </c>
      <c r="T182" s="81">
        <f t="shared" si="82"/>
        <v>1</v>
      </c>
      <c r="U182" s="81">
        <f t="shared" si="82"/>
        <v>1</v>
      </c>
      <c r="V182" s="81">
        <f>V71*V$107</f>
        <v>1</v>
      </c>
    </row>
    <row r="183" spans="2:22">
      <c r="C183" s="77" t="s">
        <v>437</v>
      </c>
      <c r="D183" s="77"/>
      <c r="E183" s="77"/>
      <c r="F183" s="97">
        <f>F72</f>
        <v>1</v>
      </c>
      <c r="G183" s="97">
        <f>G72</f>
        <v>1</v>
      </c>
      <c r="H183" s="97">
        <f>H72</f>
        <v>1</v>
      </c>
      <c r="I183" s="97">
        <f>I72</f>
        <v>1</v>
      </c>
      <c r="J183" s="97">
        <f t="shared" ref="J183:U183" si="83">J72</f>
        <v>1</v>
      </c>
      <c r="K183" s="97">
        <f t="shared" si="83"/>
        <v>1</v>
      </c>
      <c r="L183" s="97">
        <f t="shared" si="83"/>
        <v>1</v>
      </c>
      <c r="M183" s="97">
        <f t="shared" si="83"/>
        <v>1</v>
      </c>
      <c r="N183" s="97">
        <f t="shared" si="83"/>
        <v>1</v>
      </c>
      <c r="O183" s="97">
        <f t="shared" si="83"/>
        <v>1</v>
      </c>
      <c r="P183" s="97">
        <f t="shared" si="83"/>
        <v>1</v>
      </c>
      <c r="Q183" s="97">
        <f t="shared" si="83"/>
        <v>1</v>
      </c>
      <c r="R183" s="97">
        <f t="shared" si="83"/>
        <v>1</v>
      </c>
      <c r="S183" s="97">
        <f t="shared" si="83"/>
        <v>1</v>
      </c>
      <c r="T183" s="97">
        <f t="shared" si="83"/>
        <v>1</v>
      </c>
      <c r="U183" s="97">
        <f t="shared" si="83"/>
        <v>1</v>
      </c>
      <c r="V183" s="97">
        <f>V72</f>
        <v>1</v>
      </c>
    </row>
    <row r="184" spans="2:22">
      <c r="C184" s="77" t="s">
        <v>473</v>
      </c>
      <c r="D184" s="77"/>
      <c r="E184" s="77"/>
      <c r="F184" s="95" t="e">
        <f t="shared" ref="F184:V184" si="84">F$39*EXP((F$40-F$42-F$40)*F183)*NORMDIST((LN(F$39/F182)+(F$40-F$42+F$41^2/2)*F183)/(F$41*SQRT(F183)),0,1,TRUE)-F182*EXP(-F$40*F183)*NORMDIST((LN(F$39/F182)+(F$40-F$42-(F$41)^2/2)*F183)/(F$41*SQRT(F183)),0,1,TRUE)</f>
        <v>#NUM!</v>
      </c>
      <c r="G184" s="95" t="e">
        <f t="shared" si="84"/>
        <v>#NUM!</v>
      </c>
      <c r="H184" s="95" t="e">
        <f t="shared" si="84"/>
        <v>#NUM!</v>
      </c>
      <c r="I184" s="95" t="e">
        <f t="shared" si="84"/>
        <v>#NUM!</v>
      </c>
      <c r="J184" s="95" t="e">
        <f t="shared" si="84"/>
        <v>#NUM!</v>
      </c>
      <c r="K184" s="95" t="e">
        <f t="shared" si="84"/>
        <v>#NUM!</v>
      </c>
      <c r="L184" s="95" t="e">
        <f t="shared" si="84"/>
        <v>#NUM!</v>
      </c>
      <c r="M184" s="95" t="e">
        <f t="shared" si="84"/>
        <v>#NUM!</v>
      </c>
      <c r="N184" s="95" t="e">
        <f t="shared" si="84"/>
        <v>#NUM!</v>
      </c>
      <c r="O184" s="95" t="e">
        <f t="shared" si="84"/>
        <v>#NUM!</v>
      </c>
      <c r="P184" s="95" t="e">
        <f t="shared" si="84"/>
        <v>#NUM!</v>
      </c>
      <c r="Q184" s="95" t="e">
        <f t="shared" si="84"/>
        <v>#NUM!</v>
      </c>
      <c r="R184" s="95" t="e">
        <f t="shared" si="84"/>
        <v>#NUM!</v>
      </c>
      <c r="S184" s="95" t="e">
        <f t="shared" si="84"/>
        <v>#NUM!</v>
      </c>
      <c r="T184" s="95" t="e">
        <f t="shared" si="84"/>
        <v>#NUM!</v>
      </c>
      <c r="U184" s="95" t="e">
        <f t="shared" si="84"/>
        <v>#NUM!</v>
      </c>
      <c r="V184" s="95" t="e">
        <f t="shared" si="84"/>
        <v>#NUM!</v>
      </c>
    </row>
    <row r="185" spans="2:22">
      <c r="C185" s="77" t="s">
        <v>447</v>
      </c>
      <c r="D185" s="77"/>
      <c r="E185" s="77"/>
      <c r="F185" s="97">
        <f>F73*F$107</f>
        <v>0</v>
      </c>
      <c r="G185" s="97">
        <f>G73*G$107</f>
        <v>0</v>
      </c>
      <c r="H185" s="97">
        <f>H73*H$107</f>
        <v>0</v>
      </c>
      <c r="I185" s="97">
        <f>I73*I$107</f>
        <v>0</v>
      </c>
      <c r="J185" s="97">
        <f t="shared" ref="J185:U185" si="85">J73*J$107</f>
        <v>0</v>
      </c>
      <c r="K185" s="97">
        <f t="shared" si="85"/>
        <v>0</v>
      </c>
      <c r="L185" s="97">
        <f t="shared" si="85"/>
        <v>0</v>
      </c>
      <c r="M185" s="97">
        <f t="shared" si="85"/>
        <v>0</v>
      </c>
      <c r="N185" s="97">
        <f t="shared" si="85"/>
        <v>0</v>
      </c>
      <c r="O185" s="97">
        <f t="shared" si="85"/>
        <v>0</v>
      </c>
      <c r="P185" s="97">
        <f t="shared" si="85"/>
        <v>0</v>
      </c>
      <c r="Q185" s="97">
        <f t="shared" si="85"/>
        <v>0</v>
      </c>
      <c r="R185" s="97">
        <f t="shared" si="85"/>
        <v>0</v>
      </c>
      <c r="S185" s="97">
        <f t="shared" si="85"/>
        <v>0</v>
      </c>
      <c r="T185" s="97">
        <f t="shared" si="85"/>
        <v>0</v>
      </c>
      <c r="U185" s="97">
        <f t="shared" si="85"/>
        <v>0</v>
      </c>
      <c r="V185" s="97">
        <f>V73*V$107</f>
        <v>0</v>
      </c>
    </row>
    <row r="186" spans="2:22">
      <c r="C186" s="77" t="s">
        <v>474</v>
      </c>
      <c r="D186" s="77"/>
      <c r="E186" s="77"/>
      <c r="F186" s="97">
        <f>IF(F183-F$99&gt;0,F183-F$99,0)</f>
        <v>0</v>
      </c>
      <c r="G186" s="97">
        <f>IF(G183-G$99&gt;0,G183-G$99,0)</f>
        <v>0</v>
      </c>
      <c r="H186" s="97">
        <f>IF(H183-H$99&gt;0,H183-H$99,0)</f>
        <v>0</v>
      </c>
      <c r="I186" s="97">
        <f>IF(I183-I$99&gt;0,I183-I$99,0)</f>
        <v>0</v>
      </c>
      <c r="J186" s="97">
        <f t="shared" ref="J186:V186" si="86">IF(J183-J$99&gt;0,J183-J$99,0)</f>
        <v>0</v>
      </c>
      <c r="K186" s="97">
        <f t="shared" si="86"/>
        <v>0</v>
      </c>
      <c r="L186" s="97">
        <f t="shared" si="86"/>
        <v>0</v>
      </c>
      <c r="M186" s="97">
        <f t="shared" si="86"/>
        <v>0</v>
      </c>
      <c r="N186" s="97">
        <f t="shared" si="86"/>
        <v>0</v>
      </c>
      <c r="O186" s="97">
        <f t="shared" si="86"/>
        <v>0</v>
      </c>
      <c r="P186" s="97">
        <f t="shared" si="86"/>
        <v>1</v>
      </c>
      <c r="Q186" s="97">
        <f t="shared" si="86"/>
        <v>1</v>
      </c>
      <c r="R186" s="97">
        <f t="shared" si="86"/>
        <v>1</v>
      </c>
      <c r="S186" s="97">
        <f t="shared" si="86"/>
        <v>1</v>
      </c>
      <c r="T186" s="97">
        <f t="shared" si="86"/>
        <v>1</v>
      </c>
      <c r="U186" s="97">
        <f t="shared" si="86"/>
        <v>1</v>
      </c>
      <c r="V186" s="97">
        <f t="shared" si="86"/>
        <v>1</v>
      </c>
    </row>
    <row r="187" spans="2:22">
      <c r="C187" s="77" t="s">
        <v>475</v>
      </c>
      <c r="D187" s="77"/>
      <c r="E187" s="77"/>
      <c r="F187" s="97" t="e">
        <f t="shared" ref="F187:V187" si="87">IF(F185*(1-F$100)^F186&gt;0,F185*(1-F$100)^F186,0)</f>
        <v>#DIV/0!</v>
      </c>
      <c r="G187" s="97" t="e">
        <f t="shared" si="87"/>
        <v>#DIV/0!</v>
      </c>
      <c r="H187" s="97" t="e">
        <f t="shared" si="87"/>
        <v>#DIV/0!</v>
      </c>
      <c r="I187" s="97" t="e">
        <f t="shared" si="87"/>
        <v>#DIV/0!</v>
      </c>
      <c r="J187" s="97" t="e">
        <f t="shared" si="87"/>
        <v>#DIV/0!</v>
      </c>
      <c r="K187" s="97" t="e">
        <f t="shared" si="87"/>
        <v>#DIV/0!</v>
      </c>
      <c r="L187" s="97" t="e">
        <f t="shared" si="87"/>
        <v>#DIV/0!</v>
      </c>
      <c r="M187" s="97" t="e">
        <f t="shared" si="87"/>
        <v>#DIV/0!</v>
      </c>
      <c r="N187" s="97" t="e">
        <f t="shared" si="87"/>
        <v>#DIV/0!</v>
      </c>
      <c r="O187" s="97" t="e">
        <f t="shared" si="87"/>
        <v>#DIV/0!</v>
      </c>
      <c r="P187" s="97" t="e">
        <f t="shared" si="87"/>
        <v>#DIV/0!</v>
      </c>
      <c r="Q187" s="97" t="e">
        <f t="shared" si="87"/>
        <v>#DIV/0!</v>
      </c>
      <c r="R187" s="97" t="e">
        <f t="shared" si="87"/>
        <v>#DIV/0!</v>
      </c>
      <c r="S187" s="97" t="e">
        <f t="shared" si="87"/>
        <v>#DIV/0!</v>
      </c>
      <c r="T187" s="97" t="e">
        <f t="shared" si="87"/>
        <v>#DIV/0!</v>
      </c>
      <c r="U187" s="97" t="e">
        <f t="shared" si="87"/>
        <v>#DIV/0!</v>
      </c>
      <c r="V187" s="97" t="e">
        <f t="shared" si="87"/>
        <v>#DIV/0!</v>
      </c>
    </row>
    <row r="188" spans="2:22">
      <c r="C188" s="77" t="s">
        <v>464</v>
      </c>
      <c r="D188" s="77"/>
      <c r="E188" s="77"/>
      <c r="F188" s="33" t="e">
        <f t="shared" ref="F188:V188" si="88">(1/(1+F187/F$43))</f>
        <v>#DIV/0!</v>
      </c>
      <c r="G188" s="33" t="e">
        <f t="shared" si="88"/>
        <v>#DIV/0!</v>
      </c>
      <c r="H188" s="33" t="e">
        <f t="shared" si="88"/>
        <v>#DIV/0!</v>
      </c>
      <c r="I188" s="33" t="e">
        <f t="shared" si="88"/>
        <v>#DIV/0!</v>
      </c>
      <c r="J188" s="33" t="e">
        <f t="shared" si="88"/>
        <v>#DIV/0!</v>
      </c>
      <c r="K188" s="33" t="e">
        <f t="shared" si="88"/>
        <v>#DIV/0!</v>
      </c>
      <c r="L188" s="33" t="e">
        <f t="shared" si="88"/>
        <v>#DIV/0!</v>
      </c>
      <c r="M188" s="33" t="e">
        <f t="shared" si="88"/>
        <v>#DIV/0!</v>
      </c>
      <c r="N188" s="33" t="e">
        <f t="shared" si="88"/>
        <v>#DIV/0!</v>
      </c>
      <c r="O188" s="33" t="e">
        <f t="shared" si="88"/>
        <v>#DIV/0!</v>
      </c>
      <c r="P188" s="33" t="e">
        <f t="shared" si="88"/>
        <v>#DIV/0!</v>
      </c>
      <c r="Q188" s="33" t="e">
        <f t="shared" si="88"/>
        <v>#DIV/0!</v>
      </c>
      <c r="R188" s="33" t="e">
        <f t="shared" si="88"/>
        <v>#DIV/0!</v>
      </c>
      <c r="S188" s="33" t="e">
        <f t="shared" si="88"/>
        <v>#DIV/0!</v>
      </c>
      <c r="T188" s="33" t="e">
        <f t="shared" si="88"/>
        <v>#DIV/0!</v>
      </c>
      <c r="U188" s="33" t="e">
        <f t="shared" si="88"/>
        <v>#DIV/0!</v>
      </c>
      <c r="V188" s="33" t="e">
        <f t="shared" si="88"/>
        <v>#DIV/0!</v>
      </c>
    </row>
    <row r="189" spans="2:22">
      <c r="C189" s="77" t="s">
        <v>476</v>
      </c>
      <c r="D189" s="77"/>
      <c r="E189" s="77"/>
      <c r="F189" s="81" t="e">
        <f t="shared" ref="F189:V189" si="89">F188*F184</f>
        <v>#DIV/0!</v>
      </c>
      <c r="G189" s="81" t="e">
        <f t="shared" si="89"/>
        <v>#DIV/0!</v>
      </c>
      <c r="H189" s="81" t="e">
        <f t="shared" si="89"/>
        <v>#DIV/0!</v>
      </c>
      <c r="I189" s="81" t="e">
        <f t="shared" si="89"/>
        <v>#DIV/0!</v>
      </c>
      <c r="J189" s="81" t="e">
        <f t="shared" si="89"/>
        <v>#DIV/0!</v>
      </c>
      <c r="K189" s="81" t="e">
        <f t="shared" si="89"/>
        <v>#DIV/0!</v>
      </c>
      <c r="L189" s="81" t="e">
        <f t="shared" si="89"/>
        <v>#DIV/0!</v>
      </c>
      <c r="M189" s="81" t="e">
        <f t="shared" si="89"/>
        <v>#DIV/0!</v>
      </c>
      <c r="N189" s="81" t="e">
        <f t="shared" si="89"/>
        <v>#DIV/0!</v>
      </c>
      <c r="O189" s="81" t="e">
        <f t="shared" si="89"/>
        <v>#DIV/0!</v>
      </c>
      <c r="P189" s="81" t="e">
        <f t="shared" si="89"/>
        <v>#DIV/0!</v>
      </c>
      <c r="Q189" s="81" t="e">
        <f t="shared" si="89"/>
        <v>#DIV/0!</v>
      </c>
      <c r="R189" s="81" t="e">
        <f t="shared" si="89"/>
        <v>#DIV/0!</v>
      </c>
      <c r="S189" s="81" t="e">
        <f t="shared" si="89"/>
        <v>#DIV/0!</v>
      </c>
      <c r="T189" s="81" t="e">
        <f t="shared" si="89"/>
        <v>#DIV/0!</v>
      </c>
      <c r="U189" s="81" t="e">
        <f t="shared" si="89"/>
        <v>#DIV/0!</v>
      </c>
      <c r="V189" s="81" t="e">
        <f t="shared" si="89"/>
        <v>#DIV/0!</v>
      </c>
    </row>
    <row r="190" spans="2:22">
      <c r="C190" s="77" t="s">
        <v>477</v>
      </c>
      <c r="D190" s="77"/>
      <c r="E190" s="77"/>
      <c r="F190" s="79" t="e">
        <f t="shared" ref="F190:V190" si="90">F187*F189</f>
        <v>#DIV/0!</v>
      </c>
      <c r="G190" s="79" t="e">
        <f t="shared" si="90"/>
        <v>#DIV/0!</v>
      </c>
      <c r="H190" s="79" t="e">
        <f t="shared" si="90"/>
        <v>#DIV/0!</v>
      </c>
      <c r="I190" s="79" t="e">
        <f t="shared" si="90"/>
        <v>#DIV/0!</v>
      </c>
      <c r="J190" s="79" t="e">
        <f t="shared" si="90"/>
        <v>#DIV/0!</v>
      </c>
      <c r="K190" s="79" t="e">
        <f t="shared" si="90"/>
        <v>#DIV/0!</v>
      </c>
      <c r="L190" s="79" t="e">
        <f t="shared" si="90"/>
        <v>#DIV/0!</v>
      </c>
      <c r="M190" s="79" t="e">
        <f t="shared" si="90"/>
        <v>#DIV/0!</v>
      </c>
      <c r="N190" s="79" t="e">
        <f t="shared" si="90"/>
        <v>#DIV/0!</v>
      </c>
      <c r="O190" s="79" t="e">
        <f t="shared" si="90"/>
        <v>#DIV/0!</v>
      </c>
      <c r="P190" s="79" t="e">
        <f t="shared" si="90"/>
        <v>#DIV/0!</v>
      </c>
      <c r="Q190" s="79" t="e">
        <f t="shared" si="90"/>
        <v>#DIV/0!</v>
      </c>
      <c r="R190" s="79" t="e">
        <f t="shared" si="90"/>
        <v>#DIV/0!</v>
      </c>
      <c r="S190" s="79" t="e">
        <f t="shared" si="90"/>
        <v>#DIV/0!</v>
      </c>
      <c r="T190" s="79" t="e">
        <f t="shared" si="90"/>
        <v>#DIV/0!</v>
      </c>
      <c r="U190" s="79" t="e">
        <f t="shared" si="90"/>
        <v>#DIV/0!</v>
      </c>
      <c r="V190" s="79" t="e">
        <f t="shared" si="90"/>
        <v>#DIV/0!</v>
      </c>
    </row>
    <row r="191" spans="2:22">
      <c r="C191" s="77" t="s">
        <v>478</v>
      </c>
      <c r="D191" s="77"/>
      <c r="E191" s="77"/>
      <c r="F191" s="79" t="e">
        <f t="shared" ref="F191:V191" si="91">F190*(1-F$103)</f>
        <v>#DIV/0!</v>
      </c>
      <c r="G191" s="79" t="e">
        <f t="shared" si="91"/>
        <v>#DIV/0!</v>
      </c>
      <c r="H191" s="79" t="e">
        <f t="shared" si="91"/>
        <v>#DIV/0!</v>
      </c>
      <c r="I191" s="79" t="e">
        <f t="shared" si="91"/>
        <v>#DIV/0!</v>
      </c>
      <c r="J191" s="79" t="e">
        <f t="shared" si="91"/>
        <v>#DIV/0!</v>
      </c>
      <c r="K191" s="79" t="e">
        <f t="shared" si="91"/>
        <v>#DIV/0!</v>
      </c>
      <c r="L191" s="79" t="e">
        <f t="shared" si="91"/>
        <v>#DIV/0!</v>
      </c>
      <c r="M191" s="79" t="e">
        <f t="shared" si="91"/>
        <v>#DIV/0!</v>
      </c>
      <c r="N191" s="79" t="e">
        <f t="shared" si="91"/>
        <v>#DIV/0!</v>
      </c>
      <c r="O191" s="79" t="e">
        <f t="shared" si="91"/>
        <v>#DIV/0!</v>
      </c>
      <c r="P191" s="79" t="e">
        <f t="shared" si="91"/>
        <v>#DIV/0!</v>
      </c>
      <c r="Q191" s="79" t="e">
        <f t="shared" si="91"/>
        <v>#DIV/0!</v>
      </c>
      <c r="R191" s="79" t="e">
        <f t="shared" si="91"/>
        <v>#DIV/0!</v>
      </c>
      <c r="S191" s="79" t="e">
        <f t="shared" si="91"/>
        <v>#DIV/0!</v>
      </c>
      <c r="T191" s="79" t="e">
        <f t="shared" si="91"/>
        <v>#DIV/0!</v>
      </c>
      <c r="U191" s="79" t="e">
        <f t="shared" si="91"/>
        <v>#DIV/0!</v>
      </c>
      <c r="V191" s="79" t="e">
        <f t="shared" si="91"/>
        <v>#DIV/0!</v>
      </c>
    </row>
    <row r="192" spans="2:22">
      <c r="B192" s="74" t="s">
        <v>454</v>
      </c>
      <c r="C192" s="77"/>
      <c r="D192" s="77"/>
      <c r="E192" s="77"/>
      <c r="F192" s="74"/>
      <c r="G192" s="74"/>
      <c r="H192" s="74"/>
    </row>
    <row r="193" spans="2:22" s="81" customFormat="1">
      <c r="C193" s="89" t="s">
        <v>446</v>
      </c>
      <c r="D193" s="89"/>
      <c r="E193" s="89"/>
      <c r="F193" s="81">
        <f>F75*F$107</f>
        <v>1</v>
      </c>
      <c r="G193" s="81">
        <f>G75*G$107</f>
        <v>1</v>
      </c>
      <c r="H193" s="81">
        <f>H75*H$107</f>
        <v>1</v>
      </c>
      <c r="I193" s="81">
        <f>I75*I$107</f>
        <v>1</v>
      </c>
      <c r="J193" s="81">
        <f t="shared" ref="J193:U193" si="92">J75*J$107</f>
        <v>1</v>
      </c>
      <c r="K193" s="81">
        <f t="shared" si="92"/>
        <v>1</v>
      </c>
      <c r="L193" s="81">
        <f t="shared" si="92"/>
        <v>1</v>
      </c>
      <c r="M193" s="81">
        <f t="shared" si="92"/>
        <v>1</v>
      </c>
      <c r="N193" s="81">
        <f t="shared" si="92"/>
        <v>1</v>
      </c>
      <c r="O193" s="81">
        <f t="shared" si="92"/>
        <v>1</v>
      </c>
      <c r="P193" s="81">
        <f t="shared" si="92"/>
        <v>1</v>
      </c>
      <c r="Q193" s="81">
        <f t="shared" si="92"/>
        <v>1</v>
      </c>
      <c r="R193" s="81">
        <f t="shared" si="92"/>
        <v>1</v>
      </c>
      <c r="S193" s="81">
        <f t="shared" si="92"/>
        <v>1</v>
      </c>
      <c r="T193" s="81">
        <f t="shared" si="92"/>
        <v>1</v>
      </c>
      <c r="U193" s="81">
        <f t="shared" si="92"/>
        <v>1</v>
      </c>
      <c r="V193" s="81">
        <f>V75*V$107</f>
        <v>1</v>
      </c>
    </row>
    <row r="194" spans="2:22">
      <c r="C194" s="77" t="s">
        <v>437</v>
      </c>
      <c r="D194" s="77"/>
      <c r="E194" s="77"/>
      <c r="F194" s="97">
        <f>F76</f>
        <v>1</v>
      </c>
      <c r="G194" s="97">
        <f>G76</f>
        <v>1</v>
      </c>
      <c r="H194" s="97">
        <f>H76</f>
        <v>1</v>
      </c>
      <c r="I194" s="97">
        <f>I76</f>
        <v>1</v>
      </c>
      <c r="J194" s="97">
        <f t="shared" ref="J194:U194" si="93">J76</f>
        <v>1</v>
      </c>
      <c r="K194" s="97">
        <f t="shared" si="93"/>
        <v>1</v>
      </c>
      <c r="L194" s="97">
        <f t="shared" si="93"/>
        <v>1</v>
      </c>
      <c r="M194" s="97">
        <f t="shared" si="93"/>
        <v>1</v>
      </c>
      <c r="N194" s="97">
        <f t="shared" si="93"/>
        <v>1</v>
      </c>
      <c r="O194" s="97">
        <f t="shared" si="93"/>
        <v>1</v>
      </c>
      <c r="P194" s="97">
        <f t="shared" si="93"/>
        <v>1</v>
      </c>
      <c r="Q194" s="97">
        <f t="shared" si="93"/>
        <v>1</v>
      </c>
      <c r="R194" s="97">
        <f t="shared" si="93"/>
        <v>1</v>
      </c>
      <c r="S194" s="97">
        <f t="shared" si="93"/>
        <v>1</v>
      </c>
      <c r="T194" s="97">
        <f t="shared" si="93"/>
        <v>1</v>
      </c>
      <c r="U194" s="97">
        <f t="shared" si="93"/>
        <v>1</v>
      </c>
      <c r="V194" s="97">
        <f>V76</f>
        <v>1</v>
      </c>
    </row>
    <row r="195" spans="2:22">
      <c r="C195" s="77" t="s">
        <v>473</v>
      </c>
      <c r="D195" s="77"/>
      <c r="E195" s="77"/>
      <c r="F195" s="95" t="e">
        <f t="shared" ref="F195:V195" si="94">F$39*EXP((F$40-F$42-F$40)*F194)*NORMDIST((LN(F$39/F193)+(F$40-F$42+F$41^2/2)*F194)/(F$41*SQRT(F194)),0,1,TRUE)-F193*EXP(-F$40*F194)*NORMDIST((LN(F$39/F193)+(F$40-F$42-(F$41)^2/2)*F194)/(F$41*SQRT(F194)),0,1,TRUE)</f>
        <v>#NUM!</v>
      </c>
      <c r="G195" s="95" t="e">
        <f t="shared" si="94"/>
        <v>#NUM!</v>
      </c>
      <c r="H195" s="95" t="e">
        <f t="shared" si="94"/>
        <v>#NUM!</v>
      </c>
      <c r="I195" s="95" t="e">
        <f t="shared" si="94"/>
        <v>#NUM!</v>
      </c>
      <c r="J195" s="95" t="e">
        <f t="shared" si="94"/>
        <v>#NUM!</v>
      </c>
      <c r="K195" s="95" t="e">
        <f t="shared" si="94"/>
        <v>#NUM!</v>
      </c>
      <c r="L195" s="95" t="e">
        <f t="shared" si="94"/>
        <v>#NUM!</v>
      </c>
      <c r="M195" s="95" t="e">
        <f t="shared" si="94"/>
        <v>#NUM!</v>
      </c>
      <c r="N195" s="95" t="e">
        <f t="shared" si="94"/>
        <v>#NUM!</v>
      </c>
      <c r="O195" s="95" t="e">
        <f t="shared" si="94"/>
        <v>#NUM!</v>
      </c>
      <c r="P195" s="95" t="e">
        <f t="shared" si="94"/>
        <v>#NUM!</v>
      </c>
      <c r="Q195" s="95" t="e">
        <f t="shared" si="94"/>
        <v>#NUM!</v>
      </c>
      <c r="R195" s="95" t="e">
        <f t="shared" si="94"/>
        <v>#NUM!</v>
      </c>
      <c r="S195" s="95" t="e">
        <f t="shared" si="94"/>
        <v>#NUM!</v>
      </c>
      <c r="T195" s="95" t="e">
        <f t="shared" si="94"/>
        <v>#NUM!</v>
      </c>
      <c r="U195" s="95" t="e">
        <f t="shared" si="94"/>
        <v>#NUM!</v>
      </c>
      <c r="V195" s="95" t="e">
        <f t="shared" si="94"/>
        <v>#NUM!</v>
      </c>
    </row>
    <row r="196" spans="2:22">
      <c r="C196" s="77" t="s">
        <v>447</v>
      </c>
      <c r="D196" s="77"/>
      <c r="E196" s="77"/>
      <c r="F196" s="97">
        <f>F77*F$107</f>
        <v>0</v>
      </c>
      <c r="G196" s="97">
        <f>G77*G$107</f>
        <v>0</v>
      </c>
      <c r="H196" s="97">
        <f>H77*H$107</f>
        <v>0</v>
      </c>
      <c r="I196" s="97">
        <f>I77*I$107</f>
        <v>0</v>
      </c>
      <c r="J196" s="97">
        <f t="shared" ref="J196:U196" si="95">J77*J$107</f>
        <v>0</v>
      </c>
      <c r="K196" s="97">
        <f t="shared" si="95"/>
        <v>0</v>
      </c>
      <c r="L196" s="97">
        <f t="shared" si="95"/>
        <v>0</v>
      </c>
      <c r="M196" s="97">
        <f t="shared" si="95"/>
        <v>0</v>
      </c>
      <c r="N196" s="97">
        <f t="shared" si="95"/>
        <v>0</v>
      </c>
      <c r="O196" s="97">
        <f t="shared" si="95"/>
        <v>0</v>
      </c>
      <c r="P196" s="97">
        <f t="shared" si="95"/>
        <v>0</v>
      </c>
      <c r="Q196" s="97">
        <f t="shared" si="95"/>
        <v>0</v>
      </c>
      <c r="R196" s="97">
        <f t="shared" si="95"/>
        <v>0</v>
      </c>
      <c r="S196" s="97">
        <f t="shared" si="95"/>
        <v>0</v>
      </c>
      <c r="T196" s="97">
        <f t="shared" si="95"/>
        <v>0</v>
      </c>
      <c r="U196" s="97">
        <f t="shared" si="95"/>
        <v>0</v>
      </c>
      <c r="V196" s="97">
        <f>V77*V$107</f>
        <v>0</v>
      </c>
    </row>
    <row r="197" spans="2:22">
      <c r="C197" s="77" t="s">
        <v>474</v>
      </c>
      <c r="D197" s="77"/>
      <c r="E197" s="77"/>
      <c r="F197" s="97">
        <f>IF(F194-F$99&gt;0,F194-F$99,0)</f>
        <v>0</v>
      </c>
      <c r="G197" s="97">
        <f>IF(G194-G$99&gt;0,G194-G$99,0)</f>
        <v>0</v>
      </c>
      <c r="H197" s="97">
        <f>IF(H194-H$99&gt;0,H194-H$99,0)</f>
        <v>0</v>
      </c>
      <c r="I197" s="97">
        <f>IF(I194-I$99&gt;0,I194-I$99,0)</f>
        <v>0</v>
      </c>
      <c r="J197" s="97">
        <f t="shared" ref="J197:V197" si="96">IF(J194-J$99&gt;0,J194-J$99,0)</f>
        <v>0</v>
      </c>
      <c r="K197" s="97">
        <f t="shared" si="96"/>
        <v>0</v>
      </c>
      <c r="L197" s="97">
        <f t="shared" si="96"/>
        <v>0</v>
      </c>
      <c r="M197" s="97">
        <f t="shared" si="96"/>
        <v>0</v>
      </c>
      <c r="N197" s="97">
        <f t="shared" si="96"/>
        <v>0</v>
      </c>
      <c r="O197" s="97">
        <f t="shared" si="96"/>
        <v>0</v>
      </c>
      <c r="P197" s="97">
        <f t="shared" si="96"/>
        <v>1</v>
      </c>
      <c r="Q197" s="97">
        <f t="shared" si="96"/>
        <v>1</v>
      </c>
      <c r="R197" s="97">
        <f t="shared" si="96"/>
        <v>1</v>
      </c>
      <c r="S197" s="97">
        <f t="shared" si="96"/>
        <v>1</v>
      </c>
      <c r="T197" s="97">
        <f t="shared" si="96"/>
        <v>1</v>
      </c>
      <c r="U197" s="97">
        <f t="shared" si="96"/>
        <v>1</v>
      </c>
      <c r="V197" s="97">
        <f t="shared" si="96"/>
        <v>1</v>
      </c>
    </row>
    <row r="198" spans="2:22">
      <c r="C198" s="77" t="s">
        <v>475</v>
      </c>
      <c r="D198" s="77"/>
      <c r="E198" s="77"/>
      <c r="F198" s="97" t="e">
        <f t="shared" ref="F198:V198" si="97">IF(F196*(1-F$100)^F197&gt;0,F196*(1-F$100)^F197,0)</f>
        <v>#DIV/0!</v>
      </c>
      <c r="G198" s="97" t="e">
        <f t="shared" si="97"/>
        <v>#DIV/0!</v>
      </c>
      <c r="H198" s="97" t="e">
        <f t="shared" si="97"/>
        <v>#DIV/0!</v>
      </c>
      <c r="I198" s="97" t="e">
        <f t="shared" si="97"/>
        <v>#DIV/0!</v>
      </c>
      <c r="J198" s="97" t="e">
        <f t="shared" si="97"/>
        <v>#DIV/0!</v>
      </c>
      <c r="K198" s="97" t="e">
        <f t="shared" si="97"/>
        <v>#DIV/0!</v>
      </c>
      <c r="L198" s="97" t="e">
        <f t="shared" si="97"/>
        <v>#DIV/0!</v>
      </c>
      <c r="M198" s="97" t="e">
        <f t="shared" si="97"/>
        <v>#DIV/0!</v>
      </c>
      <c r="N198" s="97" t="e">
        <f t="shared" si="97"/>
        <v>#DIV/0!</v>
      </c>
      <c r="O198" s="97" t="e">
        <f t="shared" si="97"/>
        <v>#DIV/0!</v>
      </c>
      <c r="P198" s="97" t="e">
        <f t="shared" si="97"/>
        <v>#DIV/0!</v>
      </c>
      <c r="Q198" s="97" t="e">
        <f t="shared" si="97"/>
        <v>#DIV/0!</v>
      </c>
      <c r="R198" s="97" t="e">
        <f t="shared" si="97"/>
        <v>#DIV/0!</v>
      </c>
      <c r="S198" s="97" t="e">
        <f t="shared" si="97"/>
        <v>#DIV/0!</v>
      </c>
      <c r="T198" s="97" t="e">
        <f t="shared" si="97"/>
        <v>#DIV/0!</v>
      </c>
      <c r="U198" s="97" t="e">
        <f t="shared" si="97"/>
        <v>#DIV/0!</v>
      </c>
      <c r="V198" s="97" t="e">
        <f t="shared" si="97"/>
        <v>#DIV/0!</v>
      </c>
    </row>
    <row r="199" spans="2:22">
      <c r="C199" s="77" t="s">
        <v>464</v>
      </c>
      <c r="D199" s="77"/>
      <c r="E199" s="77"/>
      <c r="F199" s="33" t="e">
        <f t="shared" ref="F199:V199" si="98">(1/(1+F198/F$43))</f>
        <v>#DIV/0!</v>
      </c>
      <c r="G199" s="33" t="e">
        <f t="shared" si="98"/>
        <v>#DIV/0!</v>
      </c>
      <c r="H199" s="33" t="e">
        <f t="shared" si="98"/>
        <v>#DIV/0!</v>
      </c>
      <c r="I199" s="33" t="e">
        <f t="shared" si="98"/>
        <v>#DIV/0!</v>
      </c>
      <c r="J199" s="33" t="e">
        <f t="shared" si="98"/>
        <v>#DIV/0!</v>
      </c>
      <c r="K199" s="33" t="e">
        <f t="shared" si="98"/>
        <v>#DIV/0!</v>
      </c>
      <c r="L199" s="33" t="e">
        <f t="shared" si="98"/>
        <v>#DIV/0!</v>
      </c>
      <c r="M199" s="33" t="e">
        <f t="shared" si="98"/>
        <v>#DIV/0!</v>
      </c>
      <c r="N199" s="33" t="e">
        <f t="shared" si="98"/>
        <v>#DIV/0!</v>
      </c>
      <c r="O199" s="33" t="e">
        <f t="shared" si="98"/>
        <v>#DIV/0!</v>
      </c>
      <c r="P199" s="33" t="e">
        <f t="shared" si="98"/>
        <v>#DIV/0!</v>
      </c>
      <c r="Q199" s="33" t="e">
        <f t="shared" si="98"/>
        <v>#DIV/0!</v>
      </c>
      <c r="R199" s="33" t="e">
        <f t="shared" si="98"/>
        <v>#DIV/0!</v>
      </c>
      <c r="S199" s="33" t="e">
        <f t="shared" si="98"/>
        <v>#DIV/0!</v>
      </c>
      <c r="T199" s="33" t="e">
        <f t="shared" si="98"/>
        <v>#DIV/0!</v>
      </c>
      <c r="U199" s="33" t="e">
        <f t="shared" si="98"/>
        <v>#DIV/0!</v>
      </c>
      <c r="V199" s="33" t="e">
        <f t="shared" si="98"/>
        <v>#DIV/0!</v>
      </c>
    </row>
    <row r="200" spans="2:22">
      <c r="C200" s="77" t="s">
        <v>476</v>
      </c>
      <c r="D200" s="77"/>
      <c r="E200" s="77"/>
      <c r="F200" s="81" t="e">
        <f t="shared" ref="F200:V200" si="99">F199*F195</f>
        <v>#DIV/0!</v>
      </c>
      <c r="G200" s="81" t="e">
        <f t="shared" si="99"/>
        <v>#DIV/0!</v>
      </c>
      <c r="H200" s="81" t="e">
        <f t="shared" si="99"/>
        <v>#DIV/0!</v>
      </c>
      <c r="I200" s="81" t="e">
        <f t="shared" si="99"/>
        <v>#DIV/0!</v>
      </c>
      <c r="J200" s="81" t="e">
        <f t="shared" si="99"/>
        <v>#DIV/0!</v>
      </c>
      <c r="K200" s="81" t="e">
        <f t="shared" si="99"/>
        <v>#DIV/0!</v>
      </c>
      <c r="L200" s="81" t="e">
        <f t="shared" si="99"/>
        <v>#DIV/0!</v>
      </c>
      <c r="M200" s="81" t="e">
        <f t="shared" si="99"/>
        <v>#DIV/0!</v>
      </c>
      <c r="N200" s="81" t="e">
        <f t="shared" si="99"/>
        <v>#DIV/0!</v>
      </c>
      <c r="O200" s="81" t="e">
        <f t="shared" si="99"/>
        <v>#DIV/0!</v>
      </c>
      <c r="P200" s="81" t="e">
        <f t="shared" si="99"/>
        <v>#DIV/0!</v>
      </c>
      <c r="Q200" s="81" t="e">
        <f t="shared" si="99"/>
        <v>#DIV/0!</v>
      </c>
      <c r="R200" s="81" t="e">
        <f t="shared" si="99"/>
        <v>#DIV/0!</v>
      </c>
      <c r="S200" s="81" t="e">
        <f t="shared" si="99"/>
        <v>#DIV/0!</v>
      </c>
      <c r="T200" s="81" t="e">
        <f t="shared" si="99"/>
        <v>#DIV/0!</v>
      </c>
      <c r="U200" s="81" t="e">
        <f t="shared" si="99"/>
        <v>#DIV/0!</v>
      </c>
      <c r="V200" s="81" t="e">
        <f t="shared" si="99"/>
        <v>#DIV/0!</v>
      </c>
    </row>
    <row r="201" spans="2:22">
      <c r="C201" s="77" t="s">
        <v>477</v>
      </c>
      <c r="D201" s="77"/>
      <c r="E201" s="77"/>
      <c r="F201" s="79" t="e">
        <f t="shared" ref="F201:V201" si="100">F198*F200</f>
        <v>#DIV/0!</v>
      </c>
      <c r="G201" s="79" t="e">
        <f t="shared" si="100"/>
        <v>#DIV/0!</v>
      </c>
      <c r="H201" s="79" t="e">
        <f t="shared" si="100"/>
        <v>#DIV/0!</v>
      </c>
      <c r="I201" s="79" t="e">
        <f t="shared" si="100"/>
        <v>#DIV/0!</v>
      </c>
      <c r="J201" s="79" t="e">
        <f t="shared" si="100"/>
        <v>#DIV/0!</v>
      </c>
      <c r="K201" s="79" t="e">
        <f t="shared" si="100"/>
        <v>#DIV/0!</v>
      </c>
      <c r="L201" s="79" t="e">
        <f t="shared" si="100"/>
        <v>#DIV/0!</v>
      </c>
      <c r="M201" s="79" t="e">
        <f t="shared" si="100"/>
        <v>#DIV/0!</v>
      </c>
      <c r="N201" s="79" t="e">
        <f t="shared" si="100"/>
        <v>#DIV/0!</v>
      </c>
      <c r="O201" s="79" t="e">
        <f t="shared" si="100"/>
        <v>#DIV/0!</v>
      </c>
      <c r="P201" s="79" t="e">
        <f t="shared" si="100"/>
        <v>#DIV/0!</v>
      </c>
      <c r="Q201" s="79" t="e">
        <f t="shared" si="100"/>
        <v>#DIV/0!</v>
      </c>
      <c r="R201" s="79" t="e">
        <f t="shared" si="100"/>
        <v>#DIV/0!</v>
      </c>
      <c r="S201" s="79" t="e">
        <f t="shared" si="100"/>
        <v>#DIV/0!</v>
      </c>
      <c r="T201" s="79" t="e">
        <f t="shared" si="100"/>
        <v>#DIV/0!</v>
      </c>
      <c r="U201" s="79" t="e">
        <f t="shared" si="100"/>
        <v>#DIV/0!</v>
      </c>
      <c r="V201" s="79" t="e">
        <f t="shared" si="100"/>
        <v>#DIV/0!</v>
      </c>
    </row>
    <row r="202" spans="2:22">
      <c r="C202" s="77" t="s">
        <v>478</v>
      </c>
      <c r="D202" s="77"/>
      <c r="E202" s="77"/>
      <c r="F202" s="79" t="e">
        <f t="shared" ref="F202:V202" si="101">F201*(1-F$103)</f>
        <v>#DIV/0!</v>
      </c>
      <c r="G202" s="79" t="e">
        <f t="shared" si="101"/>
        <v>#DIV/0!</v>
      </c>
      <c r="H202" s="79" t="e">
        <f t="shared" si="101"/>
        <v>#DIV/0!</v>
      </c>
      <c r="I202" s="79" t="e">
        <f t="shared" si="101"/>
        <v>#DIV/0!</v>
      </c>
      <c r="J202" s="79" t="e">
        <f t="shared" si="101"/>
        <v>#DIV/0!</v>
      </c>
      <c r="K202" s="79" t="e">
        <f t="shared" si="101"/>
        <v>#DIV/0!</v>
      </c>
      <c r="L202" s="79" t="e">
        <f t="shared" si="101"/>
        <v>#DIV/0!</v>
      </c>
      <c r="M202" s="79" t="e">
        <f t="shared" si="101"/>
        <v>#DIV/0!</v>
      </c>
      <c r="N202" s="79" t="e">
        <f t="shared" si="101"/>
        <v>#DIV/0!</v>
      </c>
      <c r="O202" s="79" t="e">
        <f t="shared" si="101"/>
        <v>#DIV/0!</v>
      </c>
      <c r="P202" s="79" t="e">
        <f t="shared" si="101"/>
        <v>#DIV/0!</v>
      </c>
      <c r="Q202" s="79" t="e">
        <f t="shared" si="101"/>
        <v>#DIV/0!</v>
      </c>
      <c r="R202" s="79" t="e">
        <f t="shared" si="101"/>
        <v>#DIV/0!</v>
      </c>
      <c r="S202" s="79" t="e">
        <f t="shared" si="101"/>
        <v>#DIV/0!</v>
      </c>
      <c r="T202" s="79" t="e">
        <f t="shared" si="101"/>
        <v>#DIV/0!</v>
      </c>
      <c r="U202" s="79" t="e">
        <f t="shared" si="101"/>
        <v>#DIV/0!</v>
      </c>
      <c r="V202" s="79" t="e">
        <f t="shared" si="101"/>
        <v>#DIV/0!</v>
      </c>
    </row>
    <row r="203" spans="2:22">
      <c r="B203" s="74" t="s">
        <v>455</v>
      </c>
      <c r="C203" s="77"/>
      <c r="D203" s="77"/>
      <c r="E203" s="77"/>
      <c r="F203" s="74"/>
      <c r="G203" s="74"/>
      <c r="H203" s="74"/>
    </row>
    <row r="204" spans="2:22" s="81" customFormat="1">
      <c r="C204" s="89" t="s">
        <v>446</v>
      </c>
      <c r="D204" s="89"/>
      <c r="E204" s="89"/>
      <c r="F204" s="81">
        <f>F79*F$107</f>
        <v>1</v>
      </c>
      <c r="G204" s="81">
        <f>G79*G$107</f>
        <v>1</v>
      </c>
      <c r="H204" s="81">
        <f>H79*H$107</f>
        <v>1</v>
      </c>
      <c r="I204" s="81">
        <f>I79*I$107</f>
        <v>1</v>
      </c>
      <c r="J204" s="81">
        <f t="shared" ref="J204:U204" si="102">J79*J$107</f>
        <v>1</v>
      </c>
      <c r="K204" s="81">
        <f t="shared" si="102"/>
        <v>1</v>
      </c>
      <c r="L204" s="81">
        <f t="shared" si="102"/>
        <v>1</v>
      </c>
      <c r="M204" s="81">
        <f t="shared" si="102"/>
        <v>1</v>
      </c>
      <c r="N204" s="81">
        <f t="shared" si="102"/>
        <v>1</v>
      </c>
      <c r="O204" s="81">
        <f t="shared" si="102"/>
        <v>1</v>
      </c>
      <c r="P204" s="81">
        <f t="shared" si="102"/>
        <v>1</v>
      </c>
      <c r="Q204" s="81">
        <f t="shared" si="102"/>
        <v>1</v>
      </c>
      <c r="R204" s="81">
        <f t="shared" si="102"/>
        <v>1</v>
      </c>
      <c r="S204" s="81">
        <f t="shared" si="102"/>
        <v>1</v>
      </c>
      <c r="T204" s="81">
        <f t="shared" si="102"/>
        <v>1</v>
      </c>
      <c r="U204" s="81">
        <f t="shared" si="102"/>
        <v>1</v>
      </c>
      <c r="V204" s="81">
        <f>V79*V$107</f>
        <v>1</v>
      </c>
    </row>
    <row r="205" spans="2:22">
      <c r="C205" s="77" t="s">
        <v>437</v>
      </c>
      <c r="D205" s="77"/>
      <c r="E205" s="77"/>
      <c r="F205" s="97">
        <f>F80</f>
        <v>1</v>
      </c>
      <c r="G205" s="97">
        <f>G80</f>
        <v>1</v>
      </c>
      <c r="H205" s="97">
        <f>H80</f>
        <v>1</v>
      </c>
      <c r="I205" s="97">
        <f>I80</f>
        <v>1</v>
      </c>
      <c r="J205" s="97">
        <f t="shared" ref="J205:U205" si="103">J80</f>
        <v>1</v>
      </c>
      <c r="K205" s="97">
        <f t="shared" si="103"/>
        <v>1</v>
      </c>
      <c r="L205" s="97">
        <f t="shared" si="103"/>
        <v>1</v>
      </c>
      <c r="M205" s="97">
        <f t="shared" si="103"/>
        <v>1</v>
      </c>
      <c r="N205" s="97">
        <f t="shared" si="103"/>
        <v>1</v>
      </c>
      <c r="O205" s="97">
        <f t="shared" si="103"/>
        <v>1</v>
      </c>
      <c r="P205" s="97">
        <f t="shared" si="103"/>
        <v>1</v>
      </c>
      <c r="Q205" s="97">
        <f t="shared" si="103"/>
        <v>1</v>
      </c>
      <c r="R205" s="97">
        <f t="shared" si="103"/>
        <v>1</v>
      </c>
      <c r="S205" s="97">
        <f t="shared" si="103"/>
        <v>1</v>
      </c>
      <c r="T205" s="97">
        <f t="shared" si="103"/>
        <v>1</v>
      </c>
      <c r="U205" s="97">
        <f t="shared" si="103"/>
        <v>1</v>
      </c>
      <c r="V205" s="97">
        <f>V80</f>
        <v>1</v>
      </c>
    </row>
    <row r="206" spans="2:22">
      <c r="C206" s="77" t="s">
        <v>473</v>
      </c>
      <c r="D206" s="77"/>
      <c r="E206" s="77"/>
      <c r="F206" s="95" t="e">
        <f t="shared" ref="F206:V206" si="104">F$39*EXP((F$40-F$42-F$40)*F205)*NORMDIST((LN(F$39/F204)+(F$40-F$42+F$41^2/2)*F205)/(F$41*SQRT(F205)),0,1,TRUE)-F204*EXP(-F$40*F205)*NORMDIST((LN(F$39/F204)+(F$40-F$42-(F$41)^2/2)*F205)/(F$41*SQRT(F205)),0,1,TRUE)</f>
        <v>#NUM!</v>
      </c>
      <c r="G206" s="95" t="e">
        <f t="shared" si="104"/>
        <v>#NUM!</v>
      </c>
      <c r="H206" s="95" t="e">
        <f t="shared" si="104"/>
        <v>#NUM!</v>
      </c>
      <c r="I206" s="95" t="e">
        <f t="shared" si="104"/>
        <v>#NUM!</v>
      </c>
      <c r="J206" s="95" t="e">
        <f t="shared" si="104"/>
        <v>#NUM!</v>
      </c>
      <c r="K206" s="95" t="e">
        <f t="shared" si="104"/>
        <v>#NUM!</v>
      </c>
      <c r="L206" s="95" t="e">
        <f t="shared" si="104"/>
        <v>#NUM!</v>
      </c>
      <c r="M206" s="95" t="e">
        <f t="shared" si="104"/>
        <v>#NUM!</v>
      </c>
      <c r="N206" s="95" t="e">
        <f t="shared" si="104"/>
        <v>#NUM!</v>
      </c>
      <c r="O206" s="95" t="e">
        <f t="shared" si="104"/>
        <v>#NUM!</v>
      </c>
      <c r="P206" s="95" t="e">
        <f t="shared" si="104"/>
        <v>#NUM!</v>
      </c>
      <c r="Q206" s="95" t="e">
        <f t="shared" si="104"/>
        <v>#NUM!</v>
      </c>
      <c r="R206" s="95" t="e">
        <f t="shared" si="104"/>
        <v>#NUM!</v>
      </c>
      <c r="S206" s="95" t="e">
        <f t="shared" si="104"/>
        <v>#NUM!</v>
      </c>
      <c r="T206" s="95" t="e">
        <f t="shared" si="104"/>
        <v>#NUM!</v>
      </c>
      <c r="U206" s="95" t="e">
        <f t="shared" si="104"/>
        <v>#NUM!</v>
      </c>
      <c r="V206" s="95" t="e">
        <f t="shared" si="104"/>
        <v>#NUM!</v>
      </c>
    </row>
    <row r="207" spans="2:22">
      <c r="C207" s="77" t="s">
        <v>447</v>
      </c>
      <c r="D207" s="77"/>
      <c r="E207" s="77"/>
      <c r="F207" s="97">
        <f>F81*F$107</f>
        <v>0</v>
      </c>
      <c r="G207" s="97">
        <f>G81*G$107</f>
        <v>0</v>
      </c>
      <c r="H207" s="97">
        <f>H81*H$107</f>
        <v>0</v>
      </c>
      <c r="I207" s="97">
        <f>I81*I$107</f>
        <v>0</v>
      </c>
      <c r="J207" s="97">
        <f t="shared" ref="J207:U207" si="105">J81*J$107</f>
        <v>0</v>
      </c>
      <c r="K207" s="97">
        <f t="shared" si="105"/>
        <v>0</v>
      </c>
      <c r="L207" s="97">
        <f t="shared" si="105"/>
        <v>0</v>
      </c>
      <c r="M207" s="97">
        <f t="shared" si="105"/>
        <v>0</v>
      </c>
      <c r="N207" s="97">
        <f t="shared" si="105"/>
        <v>0</v>
      </c>
      <c r="O207" s="97">
        <f t="shared" si="105"/>
        <v>0</v>
      </c>
      <c r="P207" s="97">
        <f t="shared" si="105"/>
        <v>0</v>
      </c>
      <c r="Q207" s="97">
        <f t="shared" si="105"/>
        <v>0</v>
      </c>
      <c r="R207" s="97">
        <f t="shared" si="105"/>
        <v>0</v>
      </c>
      <c r="S207" s="97">
        <f t="shared" si="105"/>
        <v>0</v>
      </c>
      <c r="T207" s="97">
        <f t="shared" si="105"/>
        <v>0</v>
      </c>
      <c r="U207" s="97">
        <f t="shared" si="105"/>
        <v>0</v>
      </c>
      <c r="V207" s="97">
        <f>V81*V$107</f>
        <v>0</v>
      </c>
    </row>
    <row r="208" spans="2:22">
      <c r="C208" s="77" t="s">
        <v>474</v>
      </c>
      <c r="D208" s="77"/>
      <c r="E208" s="77"/>
      <c r="F208" s="97">
        <f>IF(F205-F$99&gt;0,F205-F$99,0)</f>
        <v>0</v>
      </c>
      <c r="G208" s="97">
        <f>IF(G205-G$99&gt;0,G205-G$99,0)</f>
        <v>0</v>
      </c>
      <c r="H208" s="97">
        <f>IF(H205-H$99&gt;0,H205-H$99,0)</f>
        <v>0</v>
      </c>
      <c r="I208" s="97">
        <f>IF(I205-I$99&gt;0,I205-I$99,0)</f>
        <v>0</v>
      </c>
      <c r="J208" s="97">
        <f t="shared" ref="J208:V208" si="106">IF(J205-J$99&gt;0,J205-J$99,0)</f>
        <v>0</v>
      </c>
      <c r="K208" s="97">
        <f t="shared" si="106"/>
        <v>0</v>
      </c>
      <c r="L208" s="97">
        <f t="shared" si="106"/>
        <v>0</v>
      </c>
      <c r="M208" s="97">
        <f t="shared" si="106"/>
        <v>0</v>
      </c>
      <c r="N208" s="97">
        <f t="shared" si="106"/>
        <v>0</v>
      </c>
      <c r="O208" s="97">
        <f t="shared" si="106"/>
        <v>0</v>
      </c>
      <c r="P208" s="97">
        <f t="shared" si="106"/>
        <v>1</v>
      </c>
      <c r="Q208" s="97">
        <f t="shared" si="106"/>
        <v>1</v>
      </c>
      <c r="R208" s="97">
        <f t="shared" si="106"/>
        <v>1</v>
      </c>
      <c r="S208" s="97">
        <f t="shared" si="106"/>
        <v>1</v>
      </c>
      <c r="T208" s="97">
        <f t="shared" si="106"/>
        <v>1</v>
      </c>
      <c r="U208" s="97">
        <f t="shared" si="106"/>
        <v>1</v>
      </c>
      <c r="V208" s="97">
        <f t="shared" si="106"/>
        <v>1</v>
      </c>
    </row>
    <row r="209" spans="2:22">
      <c r="C209" s="77" t="s">
        <v>475</v>
      </c>
      <c r="D209" s="77"/>
      <c r="E209" s="77"/>
      <c r="F209" s="97" t="e">
        <f t="shared" ref="F209:V209" si="107">IF(F207*(1-F$100)^F208&gt;0,F207*(1-F$100)^F208,0)</f>
        <v>#DIV/0!</v>
      </c>
      <c r="G209" s="97" t="e">
        <f t="shared" si="107"/>
        <v>#DIV/0!</v>
      </c>
      <c r="H209" s="97" t="e">
        <f t="shared" si="107"/>
        <v>#DIV/0!</v>
      </c>
      <c r="I209" s="97" t="e">
        <f t="shared" si="107"/>
        <v>#DIV/0!</v>
      </c>
      <c r="J209" s="97" t="e">
        <f t="shared" si="107"/>
        <v>#DIV/0!</v>
      </c>
      <c r="K209" s="97" t="e">
        <f t="shared" si="107"/>
        <v>#DIV/0!</v>
      </c>
      <c r="L209" s="97" t="e">
        <f t="shared" si="107"/>
        <v>#DIV/0!</v>
      </c>
      <c r="M209" s="97" t="e">
        <f t="shared" si="107"/>
        <v>#DIV/0!</v>
      </c>
      <c r="N209" s="97" t="e">
        <f t="shared" si="107"/>
        <v>#DIV/0!</v>
      </c>
      <c r="O209" s="97" t="e">
        <f t="shared" si="107"/>
        <v>#DIV/0!</v>
      </c>
      <c r="P209" s="97" t="e">
        <f t="shared" si="107"/>
        <v>#DIV/0!</v>
      </c>
      <c r="Q209" s="97" t="e">
        <f t="shared" si="107"/>
        <v>#DIV/0!</v>
      </c>
      <c r="R209" s="97" t="e">
        <f t="shared" si="107"/>
        <v>#DIV/0!</v>
      </c>
      <c r="S209" s="97" t="e">
        <f t="shared" si="107"/>
        <v>#DIV/0!</v>
      </c>
      <c r="T209" s="97" t="e">
        <f t="shared" si="107"/>
        <v>#DIV/0!</v>
      </c>
      <c r="U209" s="97" t="e">
        <f t="shared" si="107"/>
        <v>#DIV/0!</v>
      </c>
      <c r="V209" s="97" t="e">
        <f t="shared" si="107"/>
        <v>#DIV/0!</v>
      </c>
    </row>
    <row r="210" spans="2:22">
      <c r="C210" s="77" t="s">
        <v>464</v>
      </c>
      <c r="D210" s="77"/>
      <c r="E210" s="77"/>
      <c r="F210" s="33" t="e">
        <f t="shared" ref="F210:V210" si="108">(1/(1+F209/F$43))</f>
        <v>#DIV/0!</v>
      </c>
      <c r="G210" s="33" t="e">
        <f t="shared" si="108"/>
        <v>#DIV/0!</v>
      </c>
      <c r="H210" s="33" t="e">
        <f t="shared" si="108"/>
        <v>#DIV/0!</v>
      </c>
      <c r="I210" s="33" t="e">
        <f t="shared" si="108"/>
        <v>#DIV/0!</v>
      </c>
      <c r="J210" s="33" t="e">
        <f t="shared" si="108"/>
        <v>#DIV/0!</v>
      </c>
      <c r="K210" s="33" t="e">
        <f t="shared" si="108"/>
        <v>#DIV/0!</v>
      </c>
      <c r="L210" s="33" t="e">
        <f t="shared" si="108"/>
        <v>#DIV/0!</v>
      </c>
      <c r="M210" s="33" t="e">
        <f t="shared" si="108"/>
        <v>#DIV/0!</v>
      </c>
      <c r="N210" s="33" t="e">
        <f t="shared" si="108"/>
        <v>#DIV/0!</v>
      </c>
      <c r="O210" s="33" t="e">
        <f t="shared" si="108"/>
        <v>#DIV/0!</v>
      </c>
      <c r="P210" s="33" t="e">
        <f t="shared" si="108"/>
        <v>#DIV/0!</v>
      </c>
      <c r="Q210" s="33" t="e">
        <f t="shared" si="108"/>
        <v>#DIV/0!</v>
      </c>
      <c r="R210" s="33" t="e">
        <f t="shared" si="108"/>
        <v>#DIV/0!</v>
      </c>
      <c r="S210" s="33" t="e">
        <f t="shared" si="108"/>
        <v>#DIV/0!</v>
      </c>
      <c r="T210" s="33" t="e">
        <f t="shared" si="108"/>
        <v>#DIV/0!</v>
      </c>
      <c r="U210" s="33" t="e">
        <f t="shared" si="108"/>
        <v>#DIV/0!</v>
      </c>
      <c r="V210" s="33" t="e">
        <f t="shared" si="108"/>
        <v>#DIV/0!</v>
      </c>
    </row>
    <row r="211" spans="2:22">
      <c r="C211" s="77" t="s">
        <v>476</v>
      </c>
      <c r="D211" s="77"/>
      <c r="E211" s="77"/>
      <c r="F211" s="81" t="e">
        <f t="shared" ref="F211:V211" si="109">F210*F206</f>
        <v>#DIV/0!</v>
      </c>
      <c r="G211" s="81" t="e">
        <f t="shared" si="109"/>
        <v>#DIV/0!</v>
      </c>
      <c r="H211" s="81" t="e">
        <f t="shared" si="109"/>
        <v>#DIV/0!</v>
      </c>
      <c r="I211" s="81" t="e">
        <f t="shared" si="109"/>
        <v>#DIV/0!</v>
      </c>
      <c r="J211" s="81" t="e">
        <f t="shared" si="109"/>
        <v>#DIV/0!</v>
      </c>
      <c r="K211" s="81" t="e">
        <f t="shared" si="109"/>
        <v>#DIV/0!</v>
      </c>
      <c r="L211" s="81" t="e">
        <f t="shared" si="109"/>
        <v>#DIV/0!</v>
      </c>
      <c r="M211" s="81" t="e">
        <f t="shared" si="109"/>
        <v>#DIV/0!</v>
      </c>
      <c r="N211" s="81" t="e">
        <f t="shared" si="109"/>
        <v>#DIV/0!</v>
      </c>
      <c r="O211" s="81" t="e">
        <f t="shared" si="109"/>
        <v>#DIV/0!</v>
      </c>
      <c r="P211" s="81" t="e">
        <f t="shared" si="109"/>
        <v>#DIV/0!</v>
      </c>
      <c r="Q211" s="81" t="e">
        <f t="shared" si="109"/>
        <v>#DIV/0!</v>
      </c>
      <c r="R211" s="81" t="e">
        <f t="shared" si="109"/>
        <v>#DIV/0!</v>
      </c>
      <c r="S211" s="81" t="e">
        <f t="shared" si="109"/>
        <v>#DIV/0!</v>
      </c>
      <c r="T211" s="81" t="e">
        <f t="shared" si="109"/>
        <v>#DIV/0!</v>
      </c>
      <c r="U211" s="81" t="e">
        <f t="shared" si="109"/>
        <v>#DIV/0!</v>
      </c>
      <c r="V211" s="81" t="e">
        <f t="shared" si="109"/>
        <v>#DIV/0!</v>
      </c>
    </row>
    <row r="212" spans="2:22">
      <c r="C212" s="77" t="s">
        <v>477</v>
      </c>
      <c r="D212" s="77"/>
      <c r="E212" s="77"/>
      <c r="F212" s="79" t="e">
        <f t="shared" ref="F212:V212" si="110">F209*F211</f>
        <v>#DIV/0!</v>
      </c>
      <c r="G212" s="79" t="e">
        <f t="shared" si="110"/>
        <v>#DIV/0!</v>
      </c>
      <c r="H212" s="79" t="e">
        <f t="shared" si="110"/>
        <v>#DIV/0!</v>
      </c>
      <c r="I212" s="79" t="e">
        <f t="shared" si="110"/>
        <v>#DIV/0!</v>
      </c>
      <c r="J212" s="79" t="e">
        <f t="shared" si="110"/>
        <v>#DIV/0!</v>
      </c>
      <c r="K212" s="79" t="e">
        <f t="shared" si="110"/>
        <v>#DIV/0!</v>
      </c>
      <c r="L212" s="79" t="e">
        <f t="shared" si="110"/>
        <v>#DIV/0!</v>
      </c>
      <c r="M212" s="79" t="e">
        <f t="shared" si="110"/>
        <v>#DIV/0!</v>
      </c>
      <c r="N212" s="79" t="e">
        <f t="shared" si="110"/>
        <v>#DIV/0!</v>
      </c>
      <c r="O212" s="79" t="e">
        <f t="shared" si="110"/>
        <v>#DIV/0!</v>
      </c>
      <c r="P212" s="79" t="e">
        <f t="shared" si="110"/>
        <v>#DIV/0!</v>
      </c>
      <c r="Q212" s="79" t="e">
        <f t="shared" si="110"/>
        <v>#DIV/0!</v>
      </c>
      <c r="R212" s="79" t="e">
        <f t="shared" si="110"/>
        <v>#DIV/0!</v>
      </c>
      <c r="S212" s="79" t="e">
        <f t="shared" si="110"/>
        <v>#DIV/0!</v>
      </c>
      <c r="T212" s="79" t="e">
        <f t="shared" si="110"/>
        <v>#DIV/0!</v>
      </c>
      <c r="U212" s="79" t="e">
        <f t="shared" si="110"/>
        <v>#DIV/0!</v>
      </c>
      <c r="V212" s="79" t="e">
        <f t="shared" si="110"/>
        <v>#DIV/0!</v>
      </c>
    </row>
    <row r="213" spans="2:22">
      <c r="C213" s="77" t="s">
        <v>478</v>
      </c>
      <c r="D213" s="77"/>
      <c r="E213" s="77"/>
      <c r="F213" s="79" t="e">
        <f t="shared" ref="F213:V213" si="111">F212*(1-F$103)</f>
        <v>#DIV/0!</v>
      </c>
      <c r="G213" s="79" t="e">
        <f t="shared" si="111"/>
        <v>#DIV/0!</v>
      </c>
      <c r="H213" s="79" t="e">
        <f t="shared" si="111"/>
        <v>#DIV/0!</v>
      </c>
      <c r="I213" s="79" t="e">
        <f t="shared" si="111"/>
        <v>#DIV/0!</v>
      </c>
      <c r="J213" s="79" t="e">
        <f t="shared" si="111"/>
        <v>#DIV/0!</v>
      </c>
      <c r="K213" s="79" t="e">
        <f t="shared" si="111"/>
        <v>#DIV/0!</v>
      </c>
      <c r="L213" s="79" t="e">
        <f t="shared" si="111"/>
        <v>#DIV/0!</v>
      </c>
      <c r="M213" s="79" t="e">
        <f t="shared" si="111"/>
        <v>#DIV/0!</v>
      </c>
      <c r="N213" s="79" t="e">
        <f t="shared" si="111"/>
        <v>#DIV/0!</v>
      </c>
      <c r="O213" s="79" t="e">
        <f t="shared" si="111"/>
        <v>#DIV/0!</v>
      </c>
      <c r="P213" s="79" t="e">
        <f t="shared" si="111"/>
        <v>#DIV/0!</v>
      </c>
      <c r="Q213" s="79" t="e">
        <f t="shared" si="111"/>
        <v>#DIV/0!</v>
      </c>
      <c r="R213" s="79" t="e">
        <f t="shared" si="111"/>
        <v>#DIV/0!</v>
      </c>
      <c r="S213" s="79" t="e">
        <f t="shared" si="111"/>
        <v>#DIV/0!</v>
      </c>
      <c r="T213" s="79" t="e">
        <f t="shared" si="111"/>
        <v>#DIV/0!</v>
      </c>
      <c r="U213" s="79" t="e">
        <f t="shared" si="111"/>
        <v>#DIV/0!</v>
      </c>
      <c r="V213" s="79" t="e">
        <f t="shared" si="111"/>
        <v>#DIV/0!</v>
      </c>
    </row>
    <row r="214" spans="2:22">
      <c r="B214" s="74" t="s">
        <v>456</v>
      </c>
      <c r="C214" s="77"/>
      <c r="D214" s="77"/>
      <c r="E214" s="77"/>
      <c r="F214" s="74"/>
      <c r="G214" s="74"/>
      <c r="H214" s="74"/>
    </row>
    <row r="215" spans="2:22" s="81" customFormat="1">
      <c r="C215" s="89" t="s">
        <v>446</v>
      </c>
      <c r="D215" s="89"/>
      <c r="E215" s="89"/>
      <c r="F215" s="81">
        <f>F83*F$107</f>
        <v>1</v>
      </c>
      <c r="G215" s="81">
        <f>G83*G$107</f>
        <v>1</v>
      </c>
      <c r="H215" s="81">
        <f>H83*H$107</f>
        <v>1</v>
      </c>
      <c r="I215" s="81">
        <f>I83*I$107</f>
        <v>1</v>
      </c>
      <c r="J215" s="81">
        <f t="shared" ref="J215:U215" si="112">J83*J$107</f>
        <v>1</v>
      </c>
      <c r="K215" s="81">
        <f t="shared" si="112"/>
        <v>1</v>
      </c>
      <c r="L215" s="81">
        <f t="shared" si="112"/>
        <v>1</v>
      </c>
      <c r="M215" s="81">
        <f t="shared" si="112"/>
        <v>1</v>
      </c>
      <c r="N215" s="81">
        <f t="shared" si="112"/>
        <v>1</v>
      </c>
      <c r="O215" s="81">
        <f t="shared" si="112"/>
        <v>1</v>
      </c>
      <c r="P215" s="81">
        <f t="shared" si="112"/>
        <v>1</v>
      </c>
      <c r="Q215" s="81">
        <f t="shared" si="112"/>
        <v>1</v>
      </c>
      <c r="R215" s="81">
        <f t="shared" si="112"/>
        <v>1</v>
      </c>
      <c r="S215" s="81">
        <f t="shared" si="112"/>
        <v>1</v>
      </c>
      <c r="T215" s="81">
        <f t="shared" si="112"/>
        <v>1</v>
      </c>
      <c r="U215" s="81">
        <f t="shared" si="112"/>
        <v>1</v>
      </c>
      <c r="V215" s="81">
        <f>V83*V$107</f>
        <v>1</v>
      </c>
    </row>
    <row r="216" spans="2:22">
      <c r="C216" s="77" t="s">
        <v>437</v>
      </c>
      <c r="D216" s="77"/>
      <c r="E216" s="77"/>
      <c r="F216" s="97">
        <f>F84</f>
        <v>1</v>
      </c>
      <c r="G216" s="97">
        <f>G84</f>
        <v>1</v>
      </c>
      <c r="H216" s="97">
        <f>H84</f>
        <v>1</v>
      </c>
      <c r="I216" s="97">
        <f>I84</f>
        <v>1</v>
      </c>
      <c r="J216" s="97">
        <f t="shared" ref="J216:U216" si="113">J84</f>
        <v>1</v>
      </c>
      <c r="K216" s="97">
        <f t="shared" si="113"/>
        <v>1</v>
      </c>
      <c r="L216" s="97">
        <f t="shared" si="113"/>
        <v>1</v>
      </c>
      <c r="M216" s="97">
        <f t="shared" si="113"/>
        <v>1</v>
      </c>
      <c r="N216" s="97">
        <f t="shared" si="113"/>
        <v>1</v>
      </c>
      <c r="O216" s="97">
        <f t="shared" si="113"/>
        <v>1</v>
      </c>
      <c r="P216" s="97">
        <f t="shared" si="113"/>
        <v>1</v>
      </c>
      <c r="Q216" s="97">
        <f t="shared" si="113"/>
        <v>1</v>
      </c>
      <c r="R216" s="97">
        <f t="shared" si="113"/>
        <v>1</v>
      </c>
      <c r="S216" s="97">
        <f t="shared" si="113"/>
        <v>1</v>
      </c>
      <c r="T216" s="97">
        <f t="shared" si="113"/>
        <v>1</v>
      </c>
      <c r="U216" s="97">
        <f t="shared" si="113"/>
        <v>1</v>
      </c>
      <c r="V216" s="97">
        <f>V84</f>
        <v>1</v>
      </c>
    </row>
    <row r="217" spans="2:22">
      <c r="C217" s="77" t="s">
        <v>473</v>
      </c>
      <c r="D217" s="77"/>
      <c r="E217" s="77"/>
      <c r="F217" s="95" t="e">
        <f t="shared" ref="F217:V217" si="114">F$39*EXP((F$40-F$42-F$40)*F216)*NORMDIST((LN(F$39/F215)+(F$40-F$42+F$41^2/2)*F216)/(F$41*SQRT(F216)),0,1,TRUE)-F215*EXP(-F$40*F216)*NORMDIST((LN(F$39/F215)+(F$40-F$42-(F$41)^2/2)*F216)/(F$41*SQRT(F216)),0,1,TRUE)</f>
        <v>#NUM!</v>
      </c>
      <c r="G217" s="95" t="e">
        <f t="shared" si="114"/>
        <v>#NUM!</v>
      </c>
      <c r="H217" s="95" t="e">
        <f t="shared" si="114"/>
        <v>#NUM!</v>
      </c>
      <c r="I217" s="95" t="e">
        <f t="shared" si="114"/>
        <v>#NUM!</v>
      </c>
      <c r="J217" s="95" t="e">
        <f t="shared" si="114"/>
        <v>#NUM!</v>
      </c>
      <c r="K217" s="95" t="e">
        <f t="shared" si="114"/>
        <v>#NUM!</v>
      </c>
      <c r="L217" s="95" t="e">
        <f t="shared" si="114"/>
        <v>#NUM!</v>
      </c>
      <c r="M217" s="95" t="e">
        <f t="shared" si="114"/>
        <v>#NUM!</v>
      </c>
      <c r="N217" s="95" t="e">
        <f t="shared" si="114"/>
        <v>#NUM!</v>
      </c>
      <c r="O217" s="95" t="e">
        <f t="shared" si="114"/>
        <v>#NUM!</v>
      </c>
      <c r="P217" s="95" t="e">
        <f t="shared" si="114"/>
        <v>#NUM!</v>
      </c>
      <c r="Q217" s="95" t="e">
        <f t="shared" si="114"/>
        <v>#NUM!</v>
      </c>
      <c r="R217" s="95" t="e">
        <f t="shared" si="114"/>
        <v>#NUM!</v>
      </c>
      <c r="S217" s="95" t="e">
        <f t="shared" si="114"/>
        <v>#NUM!</v>
      </c>
      <c r="T217" s="95" t="e">
        <f t="shared" si="114"/>
        <v>#NUM!</v>
      </c>
      <c r="U217" s="95" t="e">
        <f t="shared" si="114"/>
        <v>#NUM!</v>
      </c>
      <c r="V217" s="95" t="e">
        <f t="shared" si="114"/>
        <v>#NUM!</v>
      </c>
    </row>
    <row r="218" spans="2:22">
      <c r="C218" s="77" t="s">
        <v>447</v>
      </c>
      <c r="D218" s="77"/>
      <c r="E218" s="77"/>
      <c r="F218" s="97">
        <f>F85*F$107</f>
        <v>0</v>
      </c>
      <c r="G218" s="97">
        <f>G85*G$107</f>
        <v>0</v>
      </c>
      <c r="H218" s="97">
        <f>H85*H$107</f>
        <v>0</v>
      </c>
      <c r="I218" s="97">
        <f>I85*I$107</f>
        <v>0</v>
      </c>
      <c r="J218" s="97">
        <f t="shared" ref="J218:U218" si="115">J85*J$107</f>
        <v>0</v>
      </c>
      <c r="K218" s="97">
        <f t="shared" si="115"/>
        <v>0</v>
      </c>
      <c r="L218" s="97">
        <f t="shared" si="115"/>
        <v>0</v>
      </c>
      <c r="M218" s="97">
        <f t="shared" si="115"/>
        <v>0</v>
      </c>
      <c r="N218" s="97">
        <f t="shared" si="115"/>
        <v>0</v>
      </c>
      <c r="O218" s="97">
        <f t="shared" si="115"/>
        <v>0</v>
      </c>
      <c r="P218" s="97">
        <f t="shared" si="115"/>
        <v>0</v>
      </c>
      <c r="Q218" s="97">
        <f t="shared" si="115"/>
        <v>0</v>
      </c>
      <c r="R218" s="97">
        <f t="shared" si="115"/>
        <v>0</v>
      </c>
      <c r="S218" s="97">
        <f t="shared" si="115"/>
        <v>0</v>
      </c>
      <c r="T218" s="97">
        <f t="shared" si="115"/>
        <v>0</v>
      </c>
      <c r="U218" s="97">
        <f t="shared" si="115"/>
        <v>0</v>
      </c>
      <c r="V218" s="97">
        <f>V85*V$107</f>
        <v>0</v>
      </c>
    </row>
    <row r="219" spans="2:22">
      <c r="C219" s="77" t="s">
        <v>474</v>
      </c>
      <c r="D219" s="77"/>
      <c r="E219" s="77"/>
      <c r="F219" s="97">
        <f>IF(F216-F$99&gt;0,F216-F$99,0)</f>
        <v>0</v>
      </c>
      <c r="G219" s="97">
        <f>IF(G216-G$99&gt;0,G216-G$99,0)</f>
        <v>0</v>
      </c>
      <c r="H219" s="97">
        <f>IF(H216-H$99&gt;0,H216-H$99,0)</f>
        <v>0</v>
      </c>
      <c r="I219" s="97">
        <f>IF(I216-I$99&gt;0,I216-I$99,0)</f>
        <v>0</v>
      </c>
      <c r="J219" s="97">
        <f t="shared" ref="J219:V219" si="116">IF(J216-J$99&gt;0,J216-J$99,0)</f>
        <v>0</v>
      </c>
      <c r="K219" s="97">
        <f t="shared" si="116"/>
        <v>0</v>
      </c>
      <c r="L219" s="97">
        <f t="shared" si="116"/>
        <v>0</v>
      </c>
      <c r="M219" s="97">
        <f t="shared" si="116"/>
        <v>0</v>
      </c>
      <c r="N219" s="97">
        <f t="shared" si="116"/>
        <v>0</v>
      </c>
      <c r="O219" s="97">
        <f t="shared" si="116"/>
        <v>0</v>
      </c>
      <c r="P219" s="97">
        <f t="shared" si="116"/>
        <v>1</v>
      </c>
      <c r="Q219" s="97">
        <f t="shared" si="116"/>
        <v>1</v>
      </c>
      <c r="R219" s="97">
        <f t="shared" si="116"/>
        <v>1</v>
      </c>
      <c r="S219" s="97">
        <f t="shared" si="116"/>
        <v>1</v>
      </c>
      <c r="T219" s="97">
        <f t="shared" si="116"/>
        <v>1</v>
      </c>
      <c r="U219" s="97">
        <f t="shared" si="116"/>
        <v>1</v>
      </c>
      <c r="V219" s="97">
        <f t="shared" si="116"/>
        <v>1</v>
      </c>
    </row>
    <row r="220" spans="2:22">
      <c r="C220" s="77" t="s">
        <v>475</v>
      </c>
      <c r="D220" s="77"/>
      <c r="E220" s="77"/>
      <c r="F220" s="97" t="e">
        <f t="shared" ref="F220:V220" si="117">IF(F218*(1-F$100)^F219&gt;0,F218*(1-F$100)^F219,0)</f>
        <v>#DIV/0!</v>
      </c>
      <c r="G220" s="97" t="e">
        <f t="shared" si="117"/>
        <v>#DIV/0!</v>
      </c>
      <c r="H220" s="97" t="e">
        <f t="shared" si="117"/>
        <v>#DIV/0!</v>
      </c>
      <c r="I220" s="97" t="e">
        <f t="shared" si="117"/>
        <v>#DIV/0!</v>
      </c>
      <c r="J220" s="97" t="e">
        <f t="shared" si="117"/>
        <v>#DIV/0!</v>
      </c>
      <c r="K220" s="97" t="e">
        <f t="shared" si="117"/>
        <v>#DIV/0!</v>
      </c>
      <c r="L220" s="97" t="e">
        <f t="shared" si="117"/>
        <v>#DIV/0!</v>
      </c>
      <c r="M220" s="97" t="e">
        <f t="shared" si="117"/>
        <v>#DIV/0!</v>
      </c>
      <c r="N220" s="97" t="e">
        <f t="shared" si="117"/>
        <v>#DIV/0!</v>
      </c>
      <c r="O220" s="97" t="e">
        <f t="shared" si="117"/>
        <v>#DIV/0!</v>
      </c>
      <c r="P220" s="97" t="e">
        <f t="shared" si="117"/>
        <v>#DIV/0!</v>
      </c>
      <c r="Q220" s="97" t="e">
        <f t="shared" si="117"/>
        <v>#DIV/0!</v>
      </c>
      <c r="R220" s="97" t="e">
        <f t="shared" si="117"/>
        <v>#DIV/0!</v>
      </c>
      <c r="S220" s="97" t="e">
        <f t="shared" si="117"/>
        <v>#DIV/0!</v>
      </c>
      <c r="T220" s="97" t="e">
        <f t="shared" si="117"/>
        <v>#DIV/0!</v>
      </c>
      <c r="U220" s="97" t="e">
        <f t="shared" si="117"/>
        <v>#DIV/0!</v>
      </c>
      <c r="V220" s="97" t="e">
        <f t="shared" si="117"/>
        <v>#DIV/0!</v>
      </c>
    </row>
    <row r="221" spans="2:22">
      <c r="C221" s="77" t="s">
        <v>464</v>
      </c>
      <c r="D221" s="77"/>
      <c r="E221" s="77"/>
      <c r="F221" s="33" t="e">
        <f t="shared" ref="F221:V221" si="118">(1/(1+F220/F$43))</f>
        <v>#DIV/0!</v>
      </c>
      <c r="G221" s="33" t="e">
        <f t="shared" si="118"/>
        <v>#DIV/0!</v>
      </c>
      <c r="H221" s="33" t="e">
        <f t="shared" si="118"/>
        <v>#DIV/0!</v>
      </c>
      <c r="I221" s="33" t="e">
        <f t="shared" si="118"/>
        <v>#DIV/0!</v>
      </c>
      <c r="J221" s="33" t="e">
        <f t="shared" si="118"/>
        <v>#DIV/0!</v>
      </c>
      <c r="K221" s="33" t="e">
        <f t="shared" si="118"/>
        <v>#DIV/0!</v>
      </c>
      <c r="L221" s="33" t="e">
        <f t="shared" si="118"/>
        <v>#DIV/0!</v>
      </c>
      <c r="M221" s="33" t="e">
        <f t="shared" si="118"/>
        <v>#DIV/0!</v>
      </c>
      <c r="N221" s="33" t="e">
        <f t="shared" si="118"/>
        <v>#DIV/0!</v>
      </c>
      <c r="O221" s="33" t="e">
        <f t="shared" si="118"/>
        <v>#DIV/0!</v>
      </c>
      <c r="P221" s="33" t="e">
        <f t="shared" si="118"/>
        <v>#DIV/0!</v>
      </c>
      <c r="Q221" s="33" t="e">
        <f t="shared" si="118"/>
        <v>#DIV/0!</v>
      </c>
      <c r="R221" s="33" t="e">
        <f t="shared" si="118"/>
        <v>#DIV/0!</v>
      </c>
      <c r="S221" s="33" t="e">
        <f t="shared" si="118"/>
        <v>#DIV/0!</v>
      </c>
      <c r="T221" s="33" t="e">
        <f t="shared" si="118"/>
        <v>#DIV/0!</v>
      </c>
      <c r="U221" s="33" t="e">
        <f t="shared" si="118"/>
        <v>#DIV/0!</v>
      </c>
      <c r="V221" s="33" t="e">
        <f t="shared" si="118"/>
        <v>#DIV/0!</v>
      </c>
    </row>
    <row r="222" spans="2:22">
      <c r="C222" s="77" t="s">
        <v>476</v>
      </c>
      <c r="D222" s="77"/>
      <c r="E222" s="77"/>
      <c r="F222" s="81" t="e">
        <f t="shared" ref="F222:V222" si="119">F221*F217</f>
        <v>#DIV/0!</v>
      </c>
      <c r="G222" s="81" t="e">
        <f t="shared" si="119"/>
        <v>#DIV/0!</v>
      </c>
      <c r="H222" s="81" t="e">
        <f t="shared" si="119"/>
        <v>#DIV/0!</v>
      </c>
      <c r="I222" s="81" t="e">
        <f t="shared" si="119"/>
        <v>#DIV/0!</v>
      </c>
      <c r="J222" s="81" t="e">
        <f t="shared" si="119"/>
        <v>#DIV/0!</v>
      </c>
      <c r="K222" s="81" t="e">
        <f t="shared" si="119"/>
        <v>#DIV/0!</v>
      </c>
      <c r="L222" s="81" t="e">
        <f t="shared" si="119"/>
        <v>#DIV/0!</v>
      </c>
      <c r="M222" s="81" t="e">
        <f t="shared" si="119"/>
        <v>#DIV/0!</v>
      </c>
      <c r="N222" s="81" t="e">
        <f t="shared" si="119"/>
        <v>#DIV/0!</v>
      </c>
      <c r="O222" s="81" t="e">
        <f t="shared" si="119"/>
        <v>#DIV/0!</v>
      </c>
      <c r="P222" s="81" t="e">
        <f t="shared" si="119"/>
        <v>#DIV/0!</v>
      </c>
      <c r="Q222" s="81" t="e">
        <f t="shared" si="119"/>
        <v>#DIV/0!</v>
      </c>
      <c r="R222" s="81" t="e">
        <f t="shared" si="119"/>
        <v>#DIV/0!</v>
      </c>
      <c r="S222" s="81" t="e">
        <f t="shared" si="119"/>
        <v>#DIV/0!</v>
      </c>
      <c r="T222" s="81" t="e">
        <f t="shared" si="119"/>
        <v>#DIV/0!</v>
      </c>
      <c r="U222" s="81" t="e">
        <f t="shared" si="119"/>
        <v>#DIV/0!</v>
      </c>
      <c r="V222" s="81" t="e">
        <f t="shared" si="119"/>
        <v>#DIV/0!</v>
      </c>
    </row>
    <row r="223" spans="2:22">
      <c r="C223" s="77" t="s">
        <v>477</v>
      </c>
      <c r="D223" s="77"/>
      <c r="E223" s="77"/>
      <c r="F223" s="79" t="e">
        <f t="shared" ref="F223:V223" si="120">F220*F222</f>
        <v>#DIV/0!</v>
      </c>
      <c r="G223" s="79" t="e">
        <f t="shared" si="120"/>
        <v>#DIV/0!</v>
      </c>
      <c r="H223" s="79" t="e">
        <f t="shared" si="120"/>
        <v>#DIV/0!</v>
      </c>
      <c r="I223" s="79" t="e">
        <f t="shared" si="120"/>
        <v>#DIV/0!</v>
      </c>
      <c r="J223" s="79" t="e">
        <f t="shared" si="120"/>
        <v>#DIV/0!</v>
      </c>
      <c r="K223" s="79" t="e">
        <f t="shared" si="120"/>
        <v>#DIV/0!</v>
      </c>
      <c r="L223" s="79" t="e">
        <f t="shared" si="120"/>
        <v>#DIV/0!</v>
      </c>
      <c r="M223" s="79" t="e">
        <f t="shared" si="120"/>
        <v>#DIV/0!</v>
      </c>
      <c r="N223" s="79" t="e">
        <f t="shared" si="120"/>
        <v>#DIV/0!</v>
      </c>
      <c r="O223" s="79" t="e">
        <f t="shared" si="120"/>
        <v>#DIV/0!</v>
      </c>
      <c r="P223" s="79" t="e">
        <f t="shared" si="120"/>
        <v>#DIV/0!</v>
      </c>
      <c r="Q223" s="79" t="e">
        <f t="shared" si="120"/>
        <v>#DIV/0!</v>
      </c>
      <c r="R223" s="79" t="e">
        <f t="shared" si="120"/>
        <v>#DIV/0!</v>
      </c>
      <c r="S223" s="79" t="e">
        <f t="shared" si="120"/>
        <v>#DIV/0!</v>
      </c>
      <c r="T223" s="79" t="e">
        <f t="shared" si="120"/>
        <v>#DIV/0!</v>
      </c>
      <c r="U223" s="79" t="e">
        <f t="shared" si="120"/>
        <v>#DIV/0!</v>
      </c>
      <c r="V223" s="79" t="e">
        <f t="shared" si="120"/>
        <v>#DIV/0!</v>
      </c>
    </row>
    <row r="224" spans="2:22">
      <c r="C224" s="77" t="s">
        <v>478</v>
      </c>
      <c r="D224" s="77"/>
      <c r="E224" s="77"/>
      <c r="F224" s="79" t="e">
        <f t="shared" ref="F224:V224" si="121">F223*(1-F$103)</f>
        <v>#DIV/0!</v>
      </c>
      <c r="G224" s="79" t="e">
        <f t="shared" si="121"/>
        <v>#DIV/0!</v>
      </c>
      <c r="H224" s="79" t="e">
        <f t="shared" si="121"/>
        <v>#DIV/0!</v>
      </c>
      <c r="I224" s="79" t="e">
        <f t="shared" si="121"/>
        <v>#DIV/0!</v>
      </c>
      <c r="J224" s="79" t="e">
        <f t="shared" si="121"/>
        <v>#DIV/0!</v>
      </c>
      <c r="K224" s="79" t="e">
        <f t="shared" si="121"/>
        <v>#DIV/0!</v>
      </c>
      <c r="L224" s="79" t="e">
        <f t="shared" si="121"/>
        <v>#DIV/0!</v>
      </c>
      <c r="M224" s="79" t="e">
        <f t="shared" si="121"/>
        <v>#DIV/0!</v>
      </c>
      <c r="N224" s="79" t="e">
        <f t="shared" si="121"/>
        <v>#DIV/0!</v>
      </c>
      <c r="O224" s="79" t="e">
        <f t="shared" si="121"/>
        <v>#DIV/0!</v>
      </c>
      <c r="P224" s="79" t="e">
        <f t="shared" si="121"/>
        <v>#DIV/0!</v>
      </c>
      <c r="Q224" s="79" t="e">
        <f t="shared" si="121"/>
        <v>#DIV/0!</v>
      </c>
      <c r="R224" s="79" t="e">
        <f t="shared" si="121"/>
        <v>#DIV/0!</v>
      </c>
      <c r="S224" s="79" t="e">
        <f t="shared" si="121"/>
        <v>#DIV/0!</v>
      </c>
      <c r="T224" s="79" t="e">
        <f t="shared" si="121"/>
        <v>#DIV/0!</v>
      </c>
      <c r="U224" s="79" t="e">
        <f t="shared" si="121"/>
        <v>#DIV/0!</v>
      </c>
      <c r="V224" s="79" t="e">
        <f t="shared" si="121"/>
        <v>#DIV/0!</v>
      </c>
    </row>
    <row r="225" spans="3:8">
      <c r="C225" s="77"/>
      <c r="D225" s="77"/>
      <c r="E225" s="77"/>
      <c r="F225" s="74"/>
      <c r="G225" s="74"/>
      <c r="H225" s="74"/>
    </row>
    <row r="226" spans="3:8">
      <c r="F226" s="74"/>
      <c r="G226" s="74"/>
      <c r="H226" s="74"/>
    </row>
    <row r="227" spans="3:8">
      <c r="F227" s="74"/>
      <c r="G227" s="74"/>
      <c r="H227" s="74"/>
    </row>
    <row r="228" spans="3:8">
      <c r="F228" s="74"/>
      <c r="G228" s="74"/>
      <c r="H228" s="74"/>
    </row>
    <row r="229" spans="3:8">
      <c r="F229" s="74"/>
      <c r="G229" s="74"/>
      <c r="H229" s="74"/>
    </row>
    <row r="230" spans="3:8">
      <c r="F230" s="74"/>
      <c r="G230" s="74"/>
      <c r="H230" s="74"/>
    </row>
    <row r="231" spans="3:8">
      <c r="F231" s="74"/>
      <c r="G231" s="74"/>
      <c r="H231" s="74"/>
    </row>
    <row r="232" spans="3:8">
      <c r="F232" s="74"/>
      <c r="G232" s="74"/>
      <c r="H232" s="74"/>
    </row>
    <row r="233" spans="3:8">
      <c r="F233" s="74"/>
      <c r="G233" s="74"/>
      <c r="H233" s="74"/>
    </row>
    <row r="234" spans="3:8">
      <c r="F234" s="74"/>
      <c r="G234" s="74"/>
      <c r="H234" s="74"/>
    </row>
    <row r="235" spans="3:8">
      <c r="F235" s="74"/>
      <c r="G235" s="74"/>
      <c r="H235" s="74"/>
    </row>
    <row r="236" spans="3:8">
      <c r="F236" s="74"/>
      <c r="G236" s="74"/>
      <c r="H236" s="74"/>
    </row>
    <row r="237" spans="3:8">
      <c r="F237" s="74"/>
      <c r="G237" s="74"/>
      <c r="H237" s="74"/>
    </row>
    <row r="238" spans="3:8">
      <c r="F238" s="74"/>
      <c r="G238" s="74"/>
      <c r="H238" s="74"/>
    </row>
    <row r="239" spans="3:8">
      <c r="F239" s="74"/>
      <c r="G239" s="74"/>
      <c r="H239" s="74"/>
    </row>
    <row r="240" spans="3:8">
      <c r="F240" s="74"/>
      <c r="G240" s="74"/>
      <c r="H240" s="74"/>
    </row>
    <row r="241" spans="6:8">
      <c r="F241" s="74"/>
      <c r="G241" s="74"/>
      <c r="H241" s="74"/>
    </row>
    <row r="242" spans="6:8">
      <c r="F242" s="74"/>
      <c r="G242" s="74"/>
      <c r="H242" s="74"/>
    </row>
    <row r="243" spans="6:8">
      <c r="F243" s="74"/>
      <c r="G243" s="74"/>
      <c r="H243" s="74"/>
    </row>
  </sheetData>
  <pageMargins left="0.75" right="0.75" top="1" bottom="1" header="0.5" footer="0.5"/>
  <pageSetup scale="10" orientation="landscape" r:id="rId1"/>
  <headerFooter alignWithMargins="0">
    <oddFooter>&amp;L_x000D_&amp;1#&amp;"Calibri"&amp;10&amp;K000000 Sensitivity: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594D105E0FFE428582EA9D2BEC8F35" ma:contentTypeVersion="11" ma:contentTypeDescription="Create a new document." ma:contentTypeScope="" ma:versionID="414f7aee054cdbef270088aa9e11aeba">
  <xsd:schema xmlns:xsd="http://www.w3.org/2001/XMLSchema" xmlns:xs="http://www.w3.org/2001/XMLSchema" xmlns:p="http://schemas.microsoft.com/office/2006/metadata/properties" xmlns:ns3="f80bba36-a165-48a8-8ce0-36cad4b7ca26" xmlns:ns4="c63f10b6-159e-45e1-aa10-b39f356bfda9" targetNamespace="http://schemas.microsoft.com/office/2006/metadata/properties" ma:root="true" ma:fieldsID="e04a3e9c8b82791c0ef5df50f44f8dcf" ns3:_="" ns4:_="">
    <xsd:import namespace="f80bba36-a165-48a8-8ce0-36cad4b7ca26"/>
    <xsd:import namespace="c63f10b6-159e-45e1-aa10-b39f356bfda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0bba36-a165-48a8-8ce0-36cad4b7ca2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3f10b6-159e-45e1-aa10-b39f356bfda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FdsFormulaCache xmlns="urn:fdsformulacache" version="2" timestamp="1771360684"><![CDATA[{"EXAS^FE_ESTIMATE(EPS,MEAN,CALA,2018,0,,,'')":-0.995,"EXAS^FE_ESTIMATE(EPS,MEAN,CALA,2019,0,,,'')":-0.2309091,"NAUT^FE_ESTIMATE(EPS,MEAN,ANN_ROLL,2024,NOW,,,'')":-0.91,"NAUT^FE_ESTIMATE(EPS,MEAN,ANN_ROLL,2023,NOW,,,'')":-0.8375,"NAUT^FE_ESTIMATE(EPS,MEAN,ANN_ROLL,2022,NOW,,,'')":-0.5375,"LAB^FE_ESTIMATE(EPS,MEAN,ANN_ROLL,2025,NOW,,,'')":-0.27,"LAB^FE_ESTIMATE(EPS,MEAN,ANN_ROLL,2024,NOW,,,'')":-0.57,"LAB^FE_ESTIMATE(EPS,MEAN,ANN_ROLL,2023,NOW,,,'')":-0.89,"NEO^FG_PRICE(NOW)":11.35,"CMTUS10Y-FDS^FG_YIELD(0,0,,,\"YTM\")":4.04,"NEO^P_BETA_LOCIDX(-10AY,0,,\"SP50\")":1.2803603,"TK^FE_ESTIMATE(EPS,MEAN,ANN_ROLL,2025,NOW,,,'')":null,"TK^FE_ESTIMATE(EPS,MEAN,ANN_ROLL,2024,NOW,,,'')":null,"TK^FE_ESTIMATE(EPS,MEAN,ANN_ROLL,2023,NOW,,,'')":null,"NEO^FE_ESTIMATE(EPS,MEAN,ANN_ROLL,2028,NOW,,,'')":0.45,"NEO^FE_ESTIMATE(EBITDA,MEAN,ANN_ROLL,2025,NOW,,,'')":43.357,"NEO^FE_ESTIMATE(EPS,MEAN,ANN_ROLL,2026,NOW,,,'')":0.16745384,"NEO^FE_ESTIMATE(SALES,MEAN,ANN_ROLL,2027,NOW,,,'')":871.8443,"NEO^FE_ESTIMATE(SALES,MEAN,ANN_ROLL,2025,NOW,,,'')":727.332,"NEO^FE_ESTIMATE(EBITDA,MEAN,ANN_ROLL,2024,NOW,,,'')":39.608,"NEO^FE_ESTIMATE(EPS,MEAN,ANN_ROLL,2024,NOW,,,'')":0.11,"NEO^FE_ESTIMATE(EBITDA,MEAN,ANN_ROLL,2023,NOW,,,'')":3.486,"NEO^FE_ESTIMATE(SALES,MEAN,ANN_ROLL,2024,NOW,,,'')":660.566,"NEO^FE_ESTIMATE(EPS,MEAN,ANN_ROLL,2025,NOW,,,'')":0.12,"NEO^FE_ESTIMATE(EPS,MEAN,ANN_ROLL,2023,NOW,,,'')":-0.12,"NEO^FE_ESTIMATE(EBITDA,MEAN,ANN_ROLL,2026,NOW,,,'')":55.16793,"NEO^FG_PRICE(0)":9.97,"NEO^FE_ESTIMATE(EBITDA,MEAN,ANN_ROLL,2027,NOW,,,'')":79.534706,"NEO^FE_ESTIMATE(SALES,MEAN,ANN_ROLL,2023,NOW,,,'')":591.643,"NEO^FE_ESTIMATE(EBITDA,MEAN,ANN_ROLL,2028,NOW,,,'')":99.858,"NEO^FE_ESTIMATE(SALES,MEAN,ANN_ROLL,2028,NOW,,,'')":961.193,"NEO^FE_ESTIMATE(SALES,MEAN,ANN_ROLL,2026,NOW,,,'')":796.66223,"NEO^FE_ESTIMATE(EPS,MEAN,ANN_ROLL,2027,NOW,,,'')":0.354}]]></FdsFormulaCach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2AA224-DC58-43EF-8BB5-229F3703DA71}">
  <ds:schemaRefs>
    <ds:schemaRef ds:uri="http://schemas.microsoft.com/office/2006/documentManagement/types"/>
    <ds:schemaRef ds:uri="http://purl.org/dc/elements/1.1/"/>
    <ds:schemaRef ds:uri="http://schemas.microsoft.com/office/2006/metadata/properties"/>
    <ds:schemaRef ds:uri="f80bba36-a165-48a8-8ce0-36cad4b7ca26"/>
    <ds:schemaRef ds:uri="http://purl.org/dc/terms/"/>
    <ds:schemaRef ds:uri="http://schemas.openxmlformats.org/package/2006/metadata/core-properties"/>
    <ds:schemaRef ds:uri="c63f10b6-159e-45e1-aa10-b39f356bfda9"/>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FC35B1C7-F868-42EE-95D9-3CE5CE37CE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0bba36-a165-48a8-8ce0-36cad4b7ca26"/>
    <ds:schemaRef ds:uri="c63f10b6-159e-45e1-aa10-b39f356bfd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827C5C-3DF6-4003-8790-84FF45B3A82D}">
  <ds:schemaRefs>
    <ds:schemaRef ds:uri="urn:fdsformulacache"/>
  </ds:schemaRefs>
</ds:datastoreItem>
</file>

<file path=customXml/itemProps4.xml><?xml version="1.0" encoding="utf-8"?>
<ds:datastoreItem xmlns:ds="http://schemas.openxmlformats.org/officeDocument/2006/customXml" ds:itemID="{61E0CF5E-5480-49C0-BF35-8D84E82516A8}">
  <ds:schemaRefs>
    <ds:schemaRef ds:uri="http://schemas.microsoft.com/sharepoint/v3/contenttype/forms"/>
  </ds:schemaRefs>
</ds:datastoreItem>
</file>

<file path=docMetadata/LabelInfo.xml><?xml version="1.0" encoding="utf-8"?>
<clbl:labelList xmlns:clbl="http://schemas.microsoft.com/office/2020/mipLabelMetadata">
  <clbl:label id="{0b3ab16f-2b80-4aea-bde8-77b48c8d3723}" enabled="1" method="Standard" siteId="{0483ae51-a627-466e-a7dd-de2ac7e1238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Intro</vt:lpstr>
      <vt:lpstr>IS</vt:lpstr>
      <vt:lpstr>Rev</vt:lpstr>
      <vt:lpstr>BS</vt:lpstr>
      <vt:lpstr>CF</vt:lpstr>
      <vt:lpstr>Other Accts</vt:lpstr>
      <vt:lpstr>Valuation</vt:lpstr>
      <vt:lpstr>DCF</vt:lpstr>
      <vt:lpstr>BM Upload2</vt:lpstr>
      <vt:lpstr>QtrComp</vt:lpstr>
      <vt:lpstr>Guide</vt:lpstr>
      <vt:lpstr>Sheet1</vt:lpstr>
      <vt:lpstr>ESO</vt:lpstr>
      <vt:lpstr>BS!Print_Area</vt:lpstr>
      <vt:lpstr>CF!Print_Area</vt:lpstr>
      <vt:lpstr>ESO!Print_Area</vt:lpstr>
      <vt:lpstr>IS!Print_Area</vt:lpstr>
      <vt:lpstr>'Other Accts'!Print_Area</vt:lpstr>
      <vt:lpstr>Rev!Print_Area</vt:lpstr>
      <vt:lpstr>Valuation!Print_Area</vt:lpstr>
    </vt:vector>
  </TitlesOfParts>
  <Manager/>
  <Company>Jefferies &amp; Company,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bcouillard</dc:creator>
  <cp:keywords/>
  <dc:description/>
  <cp:lastModifiedBy>Yuuji Anderson</cp:lastModifiedBy>
  <cp:revision/>
  <cp:lastPrinted>2026-02-17T20:32:36Z</cp:lastPrinted>
  <dcterms:created xsi:type="dcterms:W3CDTF">2009-08-31T18:14:21Z</dcterms:created>
  <dcterms:modified xsi:type="dcterms:W3CDTF">2026-03-20T12:29:36Z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0x01010040594D105E0FFE428582EA9D2BEC8F35</vt:lpwstr>
  </property>
  <property fmtid="{D5CDD505-2E9C-101B-9397-08002B2CF9AE}" pid="3" name="Id">
    <vt:lpwstr>d39fcd2a-6986-4507-a65f-4f3a4137987e</vt:lpwstr>
  </property>
  <property fmtid="{D5CDD505-2E9C-101B-9397-08002B2CF9AE}" pid="4" name="_AdHocReviewCycleID">
    <vt:i4>571096992</vt:i4>
  </property>
  <property fmtid="{D5CDD505-2E9C-101B-9397-08002B2CF9AE}" pid="5" name="_NewReviewCycle">
    <vt:lpwstr/>
  </property>
  <property fmtid="{D5CDD505-2E9C-101B-9397-08002B2CF9AE}" pid="6" name="_EmailSubject">
    <vt:lpwstr>JEF Evalueserve Request</vt:lpwstr>
  </property>
  <property fmtid="{D5CDD505-2E9C-101B-9397-08002B2CF9AE}" pid="7" name="_AuthorEmail">
    <vt:lpwstr>jefferies_pool@evalueserve.com</vt:lpwstr>
  </property>
  <property fmtid="{D5CDD505-2E9C-101B-9397-08002B2CF9AE}" pid="8" name="_AuthorEmailDisplayName">
    <vt:lpwstr>jefferies_pool</vt:lpwstr>
  </property>
  <property fmtid="{D5CDD505-2E9C-101B-9397-08002B2CF9AE}" pid="9" name="_ReviewingToolsShownOnce">
    <vt:lpwstr/>
  </property>
</Properties>
</file>